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23"/>
  <workbookPr defaultThemeVersion="166925"/>
  <mc:AlternateContent xmlns:mc="http://schemas.openxmlformats.org/markup-compatibility/2006">
    <mc:Choice Requires="x15">
      <x15ac:absPath xmlns:x15ac="http://schemas.microsoft.com/office/spreadsheetml/2010/11/ac" url="https://cohcpf-my.sharepoint.com/personal/vamuth_hcpf_co_gov/Documents/Desktop/"/>
    </mc:Choice>
  </mc:AlternateContent>
  <xr:revisionPtr revIDLastSave="408" documentId="13_ncr:1_{C134B1A4-97B3-4564-ADC4-5B04559A01A3}" xr6:coauthVersionLast="47" xr6:coauthVersionMax="47" xr10:uidLastSave="{D1FEA002-3F9F-4F2D-880B-5C741AE9C941}"/>
  <bookViews>
    <workbookView xWindow="-110" yWindow="-110" windowWidth="19420" windowHeight="11500" xr2:uid="{76C71A13-D11F-4443-A930-B5450E9287BA}"/>
  </bookViews>
  <sheets>
    <sheet name="PETI Denver" sheetId="10" r:id="rId1"/>
    <sheet name="PETI Pricing Key" sheetId="11" r:id="rId2"/>
    <sheet name="SLP Pricing Key Denver" sheetId="12" r:id="rId3"/>
  </sheets>
  <definedNames>
    <definedName name="ClientACFServicePayment" localSheetId="0">'PETI Denver'!#REF!</definedName>
    <definedName name="ClientACFServicePayment">#REF!</definedName>
    <definedName name="ClientLTInsurance" localSheetId="0">'PETI Denver'!$G$9</definedName>
    <definedName name="ClientLTInsurance">#REF!</definedName>
    <definedName name="ClientPNA" localSheetId="0">'PETI Denver'!$G$11</definedName>
    <definedName name="ClientPNA">#REF!</definedName>
    <definedName name="ClientSLPServicePayment">'PETI Denver'!$G$18</definedName>
    <definedName name="GrossIncome" localSheetId="0">'PETI Denver'!$G$8</definedName>
    <definedName name="GrossIncome">#REF!</definedName>
    <definedName name="NoncoveredMedicalAllowance" localSheetId="0">'PETI Denver'!$G$14</definedName>
    <definedName name="NoncoveredMedicalAllowance">#REF!</definedName>
    <definedName name="OtherFamilymemberAllowance" localSheetId="0">'PETI Denver'!$G$13</definedName>
    <definedName name="OtherFamilymemberAllowance">#REF!</definedName>
    <definedName name="PNAMax" localSheetId="0">'PETI Denver'!$G$12</definedName>
    <definedName name="PNAMax">#REF!</definedName>
    <definedName name="ProvRate" localSheetId="0">#REF!</definedName>
    <definedName name="ProvRate">#REF!</definedName>
    <definedName name="RoomBoard" localSheetId="0">'PETI Denver'!$G$19</definedName>
    <definedName name="RoomBoard">#REF!</definedName>
    <definedName name="ServiceAmount" localSheetId="0">'PETI Denver'!$G$26</definedName>
    <definedName name="ServiceAmount">#REF!</definedName>
    <definedName name="TaxAllowance" localSheetId="0">'PETI Denver'!$G$15</definedName>
    <definedName name="TaxAllowance">#REF!</definedName>
    <definedName name="TotalGrossIncome" localSheetId="0">'PETI Denver'!$G$10</definedName>
    <definedName name="TotalGrossIncom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3" i="11" l="1"/>
  <c r="G53" i="11"/>
  <c r="F53" i="11"/>
  <c r="E53" i="11"/>
  <c r="I44" i="11"/>
  <c r="H44" i="11"/>
  <c r="G44" i="11"/>
  <c r="F44" i="11"/>
  <c r="H42" i="11"/>
  <c r="G42" i="11"/>
  <c r="F42" i="11"/>
  <c r="D53" i="11"/>
  <c r="C55" i="11" l="1"/>
  <c r="C53" i="11"/>
  <c r="G19" i="10"/>
  <c r="G26" i="10"/>
  <c r="F6" i="10" l="1"/>
  <c r="D45" i="11" l="1"/>
  <c r="D41" i="11"/>
  <c r="D42" i="11" s="1"/>
  <c r="D32" i="11"/>
  <c r="E32" i="11" s="1"/>
  <c r="A43" i="11"/>
  <c r="B43" i="11" s="1"/>
  <c r="D30" i="11"/>
  <c r="E30" i="11" s="1"/>
  <c r="F30" i="11" s="1"/>
  <c r="G30" i="11" s="1"/>
  <c r="B29" i="11"/>
  <c r="B41" i="11"/>
  <c r="B42" i="11" s="1"/>
  <c r="J28" i="11"/>
  <c r="J29" i="11" s="1"/>
  <c r="C28" i="11"/>
  <c r="D28" i="11" s="1"/>
  <c r="B55" i="11"/>
  <c r="B5" i="11"/>
  <c r="B53" i="11"/>
  <c r="G10" i="10"/>
  <c r="G11" i="10" l="1"/>
  <c r="G16" i="10" s="1"/>
  <c r="J32" i="11"/>
  <c r="G32" i="11"/>
  <c r="F32" i="11"/>
  <c r="E28" i="11"/>
  <c r="D29" i="11"/>
  <c r="C29" i="11"/>
  <c r="G18" i="10" l="1"/>
  <c r="G20" i="10" s="1"/>
  <c r="G22" i="10"/>
  <c r="G28" i="11"/>
  <c r="G29" i="11" s="1"/>
  <c r="F28" i="11"/>
  <c r="F29" i="11" s="1"/>
  <c r="E29" i="11"/>
  <c r="G23" i="10" l="1"/>
  <c r="G24" i="10" s="1"/>
  <c r="G27" i="10"/>
  <c r="G28" i="10" s="1"/>
  <c r="G30" i="10" s="1"/>
  <c r="C38" i="10"/>
  <c r="C39" i="10" l="1"/>
</calcChain>
</file>

<file path=xl/sharedStrings.xml><?xml version="1.0" encoding="utf-8"?>
<sst xmlns="http://schemas.openxmlformats.org/spreadsheetml/2006/main" count="120" uniqueCount="97">
  <si>
    <t>Member Name:</t>
  </si>
  <si>
    <t>County:</t>
  </si>
  <si>
    <t>Member ID:</t>
  </si>
  <si>
    <t>Case Manager:</t>
  </si>
  <si>
    <t>SLP Provider:</t>
  </si>
  <si>
    <t>CM Phone #:</t>
  </si>
  <si>
    <t>Start Date:</t>
  </si>
  <si>
    <t>End Date:</t>
  </si>
  <si>
    <t>Total Days:</t>
  </si>
  <si>
    <t>Select a Tier</t>
  </si>
  <si>
    <r>
      <t>Member's Gross Monthly Income (from all sources)</t>
    </r>
    <r>
      <rPr>
        <sz val="10"/>
        <rFont val="Times New Roman"/>
        <family val="1"/>
      </rPr>
      <t xml:space="preserve">
</t>
    </r>
    <r>
      <rPr>
        <sz val="8"/>
        <rFont val="Times New Roman"/>
        <family val="1"/>
      </rPr>
      <t>This includes, but is not limited to:  Social Security, Railroad Retirement Benefits, Veterans Assistance, Private Pension/Retirement Benefits, or other.</t>
    </r>
  </si>
  <si>
    <t>Step 1</t>
  </si>
  <si>
    <t xml:space="preserve">Member's Gross Monthly Long Term Care Insurance Amount </t>
  </si>
  <si>
    <t>Step 2</t>
  </si>
  <si>
    <t>Total Member's Gross Monthly Income</t>
  </si>
  <si>
    <t>Personal Needs Allowance</t>
  </si>
  <si>
    <t xml:space="preserve"> Member's Personal Needs Allowance Maximum</t>
  </si>
  <si>
    <r>
      <t>Maintenance Allowance for Other Family Member</t>
    </r>
    <r>
      <rPr>
        <b/>
        <vertAlign val="superscript"/>
        <sz val="10"/>
        <rFont val="Times New Roman"/>
        <family val="1"/>
      </rPr>
      <t>2</t>
    </r>
    <r>
      <rPr>
        <b/>
        <sz val="10"/>
        <rFont val="Times New Roman"/>
        <family val="1"/>
      </rPr>
      <t xml:space="preserve">
</t>
    </r>
    <r>
      <rPr>
        <sz val="8"/>
        <rFont val="Times New Roman"/>
        <family val="1"/>
      </rPr>
      <t>(See Section 8.486.61 B.2. and B.3.)</t>
    </r>
  </si>
  <si>
    <t>Step 3</t>
  </si>
  <si>
    <r>
      <t xml:space="preserve">Allowances for Member's Non-covered Medical Needs
</t>
    </r>
    <r>
      <rPr>
        <sz val="8"/>
        <rFont val="Times New Roman"/>
        <family val="1"/>
      </rPr>
      <t>(See Section 8.486.61(4))  This includes, but is not limited to:  Health Insurance Premiums, Non-covered Medical Bills, Non-covered Prescription Drugs, Non-covered Medical Supplies and Equipment, Eye, Ear &amp; Dental, and other Medical or Remedial Care  (Please specify the non-covered needs and their amount, if you need more room, please attach on another sheet)</t>
    </r>
  </si>
  <si>
    <t>Step 4</t>
  </si>
  <si>
    <t>Tax Allowance</t>
  </si>
  <si>
    <t>Step 5</t>
  </si>
  <si>
    <t>Total Allowances including Personal Needs Allowance</t>
  </si>
  <si>
    <t>Member Payment Amount</t>
  </si>
  <si>
    <t xml:space="preserve">    Member Obligation for Service Payment to SLP</t>
  </si>
  <si>
    <r>
      <t xml:space="preserve">    Standard Room and Board Rate</t>
    </r>
    <r>
      <rPr>
        <vertAlign val="superscript"/>
        <sz val="10"/>
        <rFont val="Times New Roman"/>
        <family val="1"/>
      </rPr>
      <t>3</t>
    </r>
  </si>
  <si>
    <t>Total Member Payment to SLP</t>
  </si>
  <si>
    <t>Member's Income</t>
  </si>
  <si>
    <t xml:space="preserve">    Income Available to member to pay to SLP</t>
  </si>
  <si>
    <t>Overage Income</t>
  </si>
  <si>
    <t>Total Income available to the member including Personal Needs Allowance</t>
  </si>
  <si>
    <t>Monthly Payment to SLP</t>
  </si>
  <si>
    <t xml:space="preserve">    Monthly Payment to SLP</t>
  </si>
  <si>
    <t xml:space="preserve">    Member's Payment for Services to SLP</t>
  </si>
  <si>
    <r>
      <t xml:space="preserve"> Monthly amount billable by fiscal agent for remaining Services</t>
    </r>
    <r>
      <rPr>
        <sz val="8"/>
        <rFont val="Times New Roman"/>
        <family val="1"/>
      </rPr>
      <t xml:space="preserve">
 (Service amount minus the member's payment for Services)</t>
    </r>
  </si>
  <si>
    <t>Daily Medicaid payment for services</t>
  </si>
  <si>
    <t>Member Consent and Understanding</t>
  </si>
  <si>
    <t>I have reviewed the information included on this page and understand that the payments indicated here are</t>
  </si>
  <si>
    <t>due beginning (enter date)</t>
  </si>
  <si>
    <t>and the 1st of each following month I receive services.</t>
  </si>
  <si>
    <t xml:space="preserve">I agree to report immediately to my case manager changes of $50 or more in income, expenses, or </t>
  </si>
  <si>
    <t>household makeup which affect my payment amount.</t>
  </si>
  <si>
    <t>Member's/Guardian's Signature &amp; Date</t>
  </si>
  <si>
    <t>Case Manager's Signature &amp; Date</t>
  </si>
  <si>
    <t>Resident Payment</t>
  </si>
  <si>
    <t>a month</t>
  </si>
  <si>
    <t>Provider Reimbursement</t>
  </si>
  <si>
    <t>a day</t>
  </si>
  <si>
    <t xml:space="preserve">C.C.R 8.486.10 "HCBS-EBD Case Management Funtions"; C.C.R 8.509.30 "HCBS-CMHS Case Management Funtions";C.C.R. 8.486.60 "Calculation of Client Payment (PETI)" </t>
  </si>
  <si>
    <t>See Special Instructions for Spousal Protection Clients</t>
  </si>
  <si>
    <t>COLA Increase 1/1/2026</t>
  </si>
  <si>
    <t>Rate Increase</t>
  </si>
  <si>
    <t>COLA</t>
  </si>
  <si>
    <t>SSI</t>
  </si>
  <si>
    <t>300% Maximum (I)</t>
  </si>
  <si>
    <t>Room and Board</t>
  </si>
  <si>
    <t>Current Rate here. The historic should be below.</t>
  </si>
  <si>
    <t>NOTES</t>
  </si>
  <si>
    <t>Amount equal to the Old Age Pension amount ($878.00) plus the unearned income disregard ($20.00).  Old Age Pension amount set by Deparment of Human Services.  The unearned income disregard is set by the Social Security Administration. 01/01/2021</t>
  </si>
  <si>
    <t>For a client with a spouse only an amount equal to the Aid to the Needy and Disabled Standard minus the spouses income.  For a client with a spouse and/or dependents an amount equal to TANF minus the spouses income.</t>
  </si>
  <si>
    <t>Room and Board can rise dollar for dollar with social security increases if the Old Age Pension amount also increases.  The Old Age Pension  amount was increased in January 2021 but Room and Board was not increased. C.C.R 8.495.7.A</t>
  </si>
  <si>
    <t>Historical ACF PETI Information</t>
  </si>
  <si>
    <t>FY2011-12</t>
  </si>
  <si>
    <t>Interim Increases</t>
  </si>
  <si>
    <t>FY2012-13</t>
  </si>
  <si>
    <t>FY2013-14</t>
  </si>
  <si>
    <t>FY2014-15</t>
  </si>
  <si>
    <t>FY2015-16</t>
  </si>
  <si>
    <t>FY2016-17</t>
  </si>
  <si>
    <t>OAP Increase</t>
  </si>
  <si>
    <t>OAP Pension $</t>
  </si>
  <si>
    <t>FY2017-18</t>
  </si>
  <si>
    <t>FY 2018-19</t>
  </si>
  <si>
    <t>FY 2019-20</t>
  </si>
  <si>
    <t>COVID-19 Increase</t>
  </si>
  <si>
    <t>FY 2020-21</t>
  </si>
  <si>
    <t>Interim Increases (1/1/2021-3/31/2021</t>
  </si>
  <si>
    <t>4/30/20201-6/30/2021</t>
  </si>
  <si>
    <t>FY 2021-22</t>
  </si>
  <si>
    <t>FY 2022-23</t>
  </si>
  <si>
    <t>COLA Increase 1/1/2023</t>
  </si>
  <si>
    <t>FY 2023-24</t>
  </si>
  <si>
    <t>COLA Increase 1/1/2024</t>
  </si>
  <si>
    <t>FY 2024-25</t>
  </si>
  <si>
    <t>COLA Increase 1/1/2025</t>
  </si>
  <si>
    <t>FY 2025-26 7/1/2025</t>
  </si>
  <si>
    <t>FY 2025-26 10/1/2025</t>
  </si>
  <si>
    <t>SLP Acuity Tier</t>
  </si>
  <si>
    <t>Tier 1 (0-35)</t>
  </si>
  <si>
    <t>Tier 2 (36-49)</t>
  </si>
  <si>
    <t>Tier 3 (50-59)</t>
  </si>
  <si>
    <t>Tier 4 (60-69)</t>
  </si>
  <si>
    <t>Tier 5 (70-79)</t>
  </si>
  <si>
    <t>Tier 6 (80+)</t>
  </si>
  <si>
    <t/>
  </si>
  <si>
    <t>Historical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</si>
</sst>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409]mmmm\ d\,\ yyyy;@"/>
    <numFmt numFmtId="166" formatCode="0.0%"/>
  </numFmts>
  <fonts count="21">
    <font>
      <sz val="11"/>
      <color theme="1"/>
      <name val="Calibri"/>
      <family val="2"/>
      <scheme val="minor"/>
    </font>
    <font>
      <sz val="11"/>
      <color theme="1"/>
      <name val="Calibri"/>
      <family val="2"/>
      <scheme val="minor"/>
    </font>
    <font>
      <b/>
      <sz val="10"/>
      <color theme="1"/>
      <name val="Times New Roman"/>
      <family val="1"/>
    </font>
    <font>
      <sz val="10"/>
      <color theme="1"/>
      <name val="Times New Roman"/>
      <family val="1"/>
    </font>
    <font>
      <b/>
      <sz val="12"/>
      <color theme="1"/>
      <name val="Times New Roman"/>
      <family val="1"/>
    </font>
    <font>
      <sz val="10"/>
      <name val="Verdana"/>
      <family val="2"/>
    </font>
    <font>
      <b/>
      <sz val="10"/>
      <name val="Times New Roman"/>
      <family val="1"/>
    </font>
    <font>
      <sz val="10"/>
      <name val="Times New Roman"/>
      <family val="1"/>
    </font>
    <font>
      <sz val="8"/>
      <name val="Times New Roman"/>
      <family val="1"/>
    </font>
    <font>
      <b/>
      <vertAlign val="superscript"/>
      <sz val="10"/>
      <name val="Times New Roman"/>
      <family val="1"/>
    </font>
    <font>
      <vertAlign val="superscript"/>
      <sz val="10"/>
      <name val="Times New Roman"/>
      <family val="1"/>
    </font>
    <font>
      <sz val="10"/>
      <color indexed="57"/>
      <name val="Times New Roman"/>
      <family val="1"/>
    </font>
    <font>
      <b/>
      <sz val="9"/>
      <name val="Times New Roman"/>
      <family val="1"/>
    </font>
    <font>
      <sz val="10.5"/>
      <name val="Times New Roman"/>
      <family val="1"/>
    </font>
    <font>
      <sz val="10.7"/>
      <name val="Times New Roman"/>
      <family val="1"/>
    </font>
    <font>
      <u/>
      <sz val="9"/>
      <color theme="1"/>
      <name val="Times New Roman"/>
      <family val="1"/>
    </font>
    <font>
      <sz val="9"/>
      <name val="Times New Roman"/>
      <family val="1"/>
    </font>
    <font>
      <sz val="11"/>
      <name val="Times New Roman"/>
      <family val="1"/>
    </font>
    <font>
      <sz val="10"/>
      <color rgb="FF000000"/>
      <name val="Times New Roman"/>
      <family val="1"/>
    </font>
    <font>
      <b/>
      <sz val="10"/>
      <color rgb="FFFF0000"/>
      <name val="Times New Roman"/>
      <family val="1"/>
    </font>
    <font>
      <b/>
      <sz val="10"/>
      <color rgb="FF000000"/>
      <name val="Times New Roman"/>
      <family val="1"/>
    </font>
  </fonts>
  <fills count="7">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rgb="FFCCECFF"/>
        <bgColor indexed="64"/>
      </patternFill>
    </fill>
    <fill>
      <patternFill patternType="solid">
        <fgColor theme="0"/>
        <bgColor indexed="64"/>
      </patternFill>
    </fill>
    <fill>
      <patternFill patternType="solid">
        <fgColor theme="2" tint="-0.249977111117893"/>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rgb="FF0070C0"/>
      </left>
      <right style="medium">
        <color rgb="FF0070C0"/>
      </right>
      <top style="medium">
        <color rgb="FF0070C0"/>
      </top>
      <bottom style="medium">
        <color rgb="FF0070C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xf numFmtId="0" fontId="1" fillId="0" borderId="0"/>
    <xf numFmtId="44" fontId="5" fillId="0" borderId="0" applyFont="0" applyFill="0" applyBorder="0" applyAlignment="0" applyProtection="0"/>
    <xf numFmtId="9" fontId="5" fillId="0" borderId="0" applyFont="0" applyFill="0" applyBorder="0" applyAlignment="0" applyProtection="0"/>
  </cellStyleXfs>
  <cellXfs count="227">
    <xf numFmtId="0" fontId="0" fillId="0" borderId="0" xfId="0"/>
    <xf numFmtId="0" fontId="3" fillId="0" borderId="0" xfId="0" applyFont="1"/>
    <xf numFmtId="9" fontId="7" fillId="0" borderId="5" xfId="2" applyFont="1" applyFill="1" applyBorder="1" applyAlignment="1" applyProtection="1">
      <alignment horizontal="left" indent="1"/>
    </xf>
    <xf numFmtId="0" fontId="2" fillId="0" borderId="2" xfId="0" applyFont="1" applyBorder="1" applyAlignment="1">
      <alignment horizontal="right" vertical="center"/>
    </xf>
    <xf numFmtId="0" fontId="2" fillId="0" borderId="2" xfId="0" applyFont="1" applyBorder="1" applyAlignment="1">
      <alignment horizontal="right"/>
    </xf>
    <xf numFmtId="0" fontId="7" fillId="0" borderId="0" xfId="3" applyFont="1"/>
    <xf numFmtId="0" fontId="6" fillId="0" borderId="10" xfId="3" applyFont="1" applyBorder="1" applyAlignment="1">
      <alignment horizontal="left" indent="1"/>
    </xf>
    <xf numFmtId="0" fontId="6" fillId="0" borderId="10" xfId="3" applyFont="1" applyBorder="1"/>
    <xf numFmtId="0" fontId="8" fillId="0" borderId="10" xfId="3" applyFont="1" applyBorder="1" applyAlignment="1">
      <alignment horizontal="right" vertical="top"/>
    </xf>
    <xf numFmtId="9" fontId="6" fillId="0" borderId="9" xfId="2" applyFont="1" applyFill="1" applyBorder="1" applyAlignment="1" applyProtection="1"/>
    <xf numFmtId="0" fontId="6" fillId="0" borderId="7" xfId="3" applyFont="1" applyBorder="1"/>
    <xf numFmtId="0" fontId="8" fillId="0" borderId="7" xfId="3" applyFont="1" applyBorder="1" applyAlignment="1">
      <alignment horizontal="right" vertical="top"/>
    </xf>
    <xf numFmtId="44" fontId="13" fillId="0" borderId="5" xfId="1" applyFont="1" applyBorder="1" applyAlignment="1" applyProtection="1"/>
    <xf numFmtId="0" fontId="7" fillId="0" borderId="13" xfId="3" applyFont="1" applyBorder="1" applyAlignment="1">
      <alignment horizontal="right" vertical="top"/>
    </xf>
    <xf numFmtId="44" fontId="14" fillId="0" borderId="5" xfId="1" applyFont="1" applyBorder="1" applyAlignment="1" applyProtection="1">
      <alignment horizontal="left"/>
    </xf>
    <xf numFmtId="0" fontId="7" fillId="0" borderId="13" xfId="3" applyFont="1" applyBorder="1" applyAlignment="1" applyProtection="1">
      <alignment horizontal="right"/>
      <protection locked="0"/>
    </xf>
    <xf numFmtId="44" fontId="13" fillId="0" borderId="5" xfId="1" applyFont="1" applyBorder="1" applyAlignment="1" applyProtection="1">
      <alignment horizontal="left"/>
    </xf>
    <xf numFmtId="0" fontId="16" fillId="0" borderId="13" xfId="3" applyFont="1" applyBorder="1" applyAlignment="1">
      <alignment horizontal="right"/>
    </xf>
    <xf numFmtId="44" fontId="7" fillId="0" borderId="5" xfId="1" applyFont="1" applyBorder="1" applyAlignment="1" applyProtection="1">
      <alignment horizontal="left"/>
    </xf>
    <xf numFmtId="44" fontId="17" fillId="0" borderId="9" xfId="1" applyFont="1" applyBorder="1" applyProtection="1"/>
    <xf numFmtId="0" fontId="7" fillId="0" borderId="10" xfId="3" applyFont="1" applyBorder="1"/>
    <xf numFmtId="44" fontId="17" fillId="0" borderId="10" xfId="1" applyFont="1" applyBorder="1" applyProtection="1"/>
    <xf numFmtId="0" fontId="7" fillId="0" borderId="7" xfId="3" applyFont="1" applyBorder="1" applyAlignment="1">
      <alignment horizontal="left" indent="1"/>
    </xf>
    <xf numFmtId="0" fontId="7" fillId="0" borderId="7" xfId="3" applyFont="1" applyBorder="1"/>
    <xf numFmtId="0" fontId="6" fillId="0" borderId="9" xfId="3" applyFont="1" applyBorder="1"/>
    <xf numFmtId="0" fontId="6" fillId="0" borderId="6" xfId="3" applyFont="1" applyBorder="1" applyAlignment="1">
      <alignment horizontal="left" indent="1"/>
    </xf>
    <xf numFmtId="0" fontId="6" fillId="0" borderId="7" xfId="3" applyFont="1" applyBorder="1" applyAlignment="1">
      <alignment horizontal="right"/>
    </xf>
    <xf numFmtId="0" fontId="6" fillId="0" borderId="9" xfId="3" applyFont="1" applyBorder="1" applyAlignment="1">
      <alignment horizontal="left" wrapText="1" indent="1"/>
    </xf>
    <xf numFmtId="0" fontId="6" fillId="0" borderId="10" xfId="3" applyFont="1" applyBorder="1" applyAlignment="1">
      <alignment horizontal="right"/>
    </xf>
    <xf numFmtId="44" fontId="6" fillId="0" borderId="13" xfId="3" applyNumberFormat="1" applyFont="1" applyBorder="1" applyAlignment="1">
      <alignment horizontal="right"/>
    </xf>
    <xf numFmtId="44" fontId="7" fillId="4" borderId="13" xfId="3" applyNumberFormat="1" applyFont="1" applyFill="1" applyBorder="1" applyAlignment="1" applyProtection="1">
      <alignment horizontal="right"/>
      <protection locked="0"/>
    </xf>
    <xf numFmtId="0" fontId="2" fillId="0" borderId="24" xfId="0" applyFont="1" applyBorder="1" applyAlignment="1">
      <alignment horizontal="right" vertical="center"/>
    </xf>
    <xf numFmtId="0" fontId="2" fillId="0" borderId="27" xfId="0" applyFont="1" applyBorder="1" applyAlignment="1">
      <alignment horizontal="right" vertical="center"/>
    </xf>
    <xf numFmtId="0" fontId="2" fillId="0" borderId="29" xfId="0" applyFont="1" applyBorder="1" applyAlignment="1">
      <alignment horizontal="right"/>
    </xf>
    <xf numFmtId="0" fontId="3" fillId="3" borderId="9" xfId="0" applyFont="1" applyFill="1" applyBorder="1"/>
    <xf numFmtId="164" fontId="6" fillId="0" borderId="24" xfId="3" applyNumberFormat="1" applyFont="1" applyBorder="1" applyAlignment="1">
      <alignment horizontal="center" vertical="center"/>
    </xf>
    <xf numFmtId="0" fontId="6" fillId="0" borderId="22" xfId="3" applyFont="1" applyBorder="1" applyAlignment="1">
      <alignment horizontal="center" vertical="center" wrapText="1"/>
    </xf>
    <xf numFmtId="0" fontId="6" fillId="0" borderId="0" xfId="3" applyFont="1" applyAlignment="1">
      <alignment horizontal="center" vertical="center"/>
    </xf>
    <xf numFmtId="0" fontId="6" fillId="0" borderId="29" xfId="3" applyFont="1" applyBorder="1" applyAlignment="1">
      <alignment vertical="center" wrapText="1"/>
    </xf>
    <xf numFmtId="0" fontId="7" fillId="0" borderId="0" xfId="3" applyFont="1" applyAlignment="1">
      <alignment vertical="center"/>
    </xf>
    <xf numFmtId="44" fontId="7" fillId="0" borderId="35" xfId="5" applyFont="1" applyBorder="1" applyAlignment="1">
      <alignment vertical="center"/>
    </xf>
    <xf numFmtId="10" fontId="7" fillId="0" borderId="35" xfId="6" applyNumberFormat="1" applyFont="1" applyBorder="1" applyAlignment="1">
      <alignment vertical="center"/>
    </xf>
    <xf numFmtId="0" fontId="6" fillId="0" borderId="20" xfId="3" applyFont="1" applyBorder="1" applyAlignment="1">
      <alignment vertical="center" wrapText="1"/>
    </xf>
    <xf numFmtId="44" fontId="7" fillId="0" borderId="23" xfId="5" applyFont="1" applyBorder="1" applyAlignment="1">
      <alignment vertical="center"/>
    </xf>
    <xf numFmtId="0" fontId="7" fillId="0" borderId="0" xfId="3" applyFont="1" applyAlignment="1">
      <alignment wrapText="1"/>
    </xf>
    <xf numFmtId="44" fontId="7" fillId="0" borderId="0" xfId="3" applyNumberFormat="1" applyFont="1"/>
    <xf numFmtId="0" fontId="18" fillId="0" borderId="0" xfId="3" applyFont="1" applyAlignment="1">
      <alignment horizontal="center" vertical="center" wrapText="1"/>
    </xf>
    <xf numFmtId="10" fontId="7" fillId="0" borderId="0" xfId="6" applyNumberFormat="1" applyFont="1"/>
    <xf numFmtId="0" fontId="3" fillId="0" borderId="7" xfId="0" applyFont="1" applyBorder="1" applyAlignment="1">
      <alignment horizontal="right"/>
    </xf>
    <xf numFmtId="44" fontId="3" fillId="0" borderId="13" xfId="0" applyNumberFormat="1" applyFont="1" applyBorder="1" applyAlignment="1">
      <alignment horizontal="right"/>
    </xf>
    <xf numFmtId="0" fontId="6" fillId="0" borderId="10" xfId="3" applyFont="1" applyBorder="1" applyAlignment="1">
      <alignment vertical="top"/>
    </xf>
    <xf numFmtId="0" fontId="3" fillId="0" borderId="19" xfId="0" applyFont="1" applyBorder="1" applyAlignment="1">
      <alignment horizontal="center"/>
    </xf>
    <xf numFmtId="0" fontId="3" fillId="3" borderId="13" xfId="0" applyFont="1" applyFill="1" applyBorder="1"/>
    <xf numFmtId="0" fontId="3" fillId="3" borderId="11" xfId="0" applyFont="1" applyFill="1" applyBorder="1"/>
    <xf numFmtId="164" fontId="12" fillId="0" borderId="12" xfId="3" applyNumberFormat="1" applyFont="1" applyBorder="1"/>
    <xf numFmtId="0" fontId="7" fillId="0" borderId="11" xfId="3" applyFont="1" applyBorder="1" applyAlignment="1" applyProtection="1">
      <alignment horizontal="right"/>
      <protection locked="0"/>
    </xf>
    <xf numFmtId="44" fontId="6" fillId="0" borderId="12" xfId="1" applyFont="1" applyBorder="1" applyAlignment="1" applyProtection="1">
      <alignment horizontal="right"/>
    </xf>
    <xf numFmtId="44" fontId="6" fillId="0" borderId="11" xfId="1" applyFont="1" applyBorder="1" applyAlignment="1" applyProtection="1">
      <alignment horizontal="right"/>
    </xf>
    <xf numFmtId="0" fontId="2" fillId="0" borderId="18" xfId="0" applyFont="1" applyBorder="1" applyAlignment="1">
      <alignment horizontal="right"/>
    </xf>
    <xf numFmtId="0" fontId="6" fillId="0" borderId="39" xfId="3" applyFont="1" applyBorder="1" applyAlignment="1">
      <alignment horizontal="center" vertical="center" wrapText="1"/>
    </xf>
    <xf numFmtId="0" fontId="6" fillId="0" borderId="27" xfId="3" applyFont="1" applyBorder="1" applyAlignment="1">
      <alignment horizontal="center" vertical="center" wrapText="1"/>
    </xf>
    <xf numFmtId="14" fontId="6" fillId="0" borderId="39" xfId="3" applyNumberFormat="1" applyFont="1" applyBorder="1" applyAlignment="1">
      <alignment horizontal="center" vertical="center" wrapText="1"/>
    </xf>
    <xf numFmtId="10" fontId="7" fillId="0" borderId="1" xfId="6" applyNumberFormat="1" applyFont="1" applyFill="1" applyBorder="1" applyAlignment="1">
      <alignment horizontal="center" vertical="center"/>
    </xf>
    <xf numFmtId="10" fontId="7" fillId="0" borderId="1" xfId="6" applyNumberFormat="1" applyFont="1" applyFill="1" applyBorder="1" applyAlignment="1">
      <alignment vertical="center"/>
    </xf>
    <xf numFmtId="10" fontId="7" fillId="0" borderId="2" xfId="6" applyNumberFormat="1" applyFont="1" applyBorder="1" applyAlignment="1">
      <alignment vertical="center"/>
    </xf>
    <xf numFmtId="10" fontId="7" fillId="0" borderId="1" xfId="6" applyNumberFormat="1" applyFont="1" applyBorder="1" applyAlignment="1">
      <alignment vertical="center"/>
    </xf>
    <xf numFmtId="44" fontId="7" fillId="0" borderId="1" xfId="5" applyFont="1" applyFill="1" applyBorder="1" applyAlignment="1">
      <alignment horizontal="center" vertical="center"/>
    </xf>
    <xf numFmtId="44" fontId="7" fillId="0" borderId="1" xfId="5" applyFont="1" applyFill="1" applyBorder="1" applyAlignment="1">
      <alignment vertical="center"/>
    </xf>
    <xf numFmtId="44" fontId="7" fillId="0" borderId="2" xfId="5" applyFont="1" applyBorder="1" applyAlignment="1">
      <alignment vertical="center"/>
    </xf>
    <xf numFmtId="44" fontId="7" fillId="0" borderId="1" xfId="5" applyFont="1" applyBorder="1" applyAlignment="1">
      <alignment vertical="center"/>
    </xf>
    <xf numFmtId="44" fontId="7" fillId="0" borderId="40" xfId="5" applyFont="1" applyFill="1" applyBorder="1" applyAlignment="1">
      <alignment horizontal="center" vertical="center"/>
    </xf>
    <xf numFmtId="44" fontId="7" fillId="0" borderId="40" xfId="5" applyFont="1" applyFill="1" applyBorder="1" applyAlignment="1">
      <alignment vertical="center"/>
    </xf>
    <xf numFmtId="44" fontId="7" fillId="0" borderId="37" xfId="5" applyFont="1" applyBorder="1" applyAlignment="1">
      <alignment vertical="center"/>
    </xf>
    <xf numFmtId="44" fontId="7" fillId="0" borderId="40" xfId="5" applyFont="1" applyBorder="1" applyAlignment="1">
      <alignment vertical="center"/>
    </xf>
    <xf numFmtId="0" fontId="6" fillId="0" borderId="39" xfId="3" applyFont="1" applyBorder="1" applyAlignment="1">
      <alignment horizontal="center" vertical="center"/>
    </xf>
    <xf numFmtId="0" fontId="6" fillId="0" borderId="43" xfId="3" applyFont="1" applyBorder="1" applyAlignment="1">
      <alignment horizontal="center" vertical="center" wrapText="1"/>
    </xf>
    <xf numFmtId="0" fontId="6" fillId="0" borderId="42" xfId="3" applyFont="1" applyBorder="1" applyAlignment="1">
      <alignment horizontal="center" vertical="center"/>
    </xf>
    <xf numFmtId="10" fontId="7" fillId="0" borderId="1" xfId="3" applyNumberFormat="1" applyFont="1" applyBorder="1" applyAlignment="1">
      <alignment horizontal="center" vertical="center"/>
    </xf>
    <xf numFmtId="9" fontId="7" fillId="0" borderId="1" xfId="3" applyNumberFormat="1" applyFont="1" applyBorder="1" applyAlignment="1">
      <alignment horizontal="center" vertical="center"/>
    </xf>
    <xf numFmtId="10" fontId="7" fillId="0" borderId="1" xfId="6" applyNumberFormat="1" applyFont="1" applyBorder="1" applyAlignment="1">
      <alignment horizontal="center" vertical="center"/>
    </xf>
    <xf numFmtId="10" fontId="7" fillId="0" borderId="31" xfId="6" applyNumberFormat="1" applyFont="1" applyBorder="1" applyAlignment="1">
      <alignment horizontal="center" vertical="center"/>
    </xf>
    <xf numFmtId="10" fontId="7" fillId="0" borderId="33" xfId="6" applyNumberFormat="1" applyFont="1" applyBorder="1" applyAlignment="1">
      <alignment horizontal="center" vertical="center"/>
    </xf>
    <xf numFmtId="44" fontId="7" fillId="0" borderId="1" xfId="5" applyFont="1" applyBorder="1" applyAlignment="1">
      <alignment horizontal="center" vertical="center"/>
    </xf>
    <xf numFmtId="44" fontId="7" fillId="0" borderId="31" xfId="5" applyFont="1" applyBorder="1" applyAlignment="1">
      <alignment horizontal="center" vertical="center"/>
    </xf>
    <xf numFmtId="44" fontId="7" fillId="0" borderId="33" xfId="5" applyFont="1" applyBorder="1" applyAlignment="1">
      <alignment horizontal="center" vertical="center"/>
    </xf>
    <xf numFmtId="44" fontId="7" fillId="0" borderId="33" xfId="3" applyNumberFormat="1" applyFont="1" applyBorder="1" applyAlignment="1">
      <alignment horizontal="center" vertical="center"/>
    </xf>
    <xf numFmtId="44" fontId="7" fillId="0" borderId="1" xfId="3" applyNumberFormat="1" applyFont="1" applyBorder="1" applyAlignment="1">
      <alignment horizontal="center" vertical="center"/>
    </xf>
    <xf numFmtId="166" fontId="7" fillId="0" borderId="1" xfId="3" applyNumberFormat="1" applyFont="1" applyBorder="1" applyAlignment="1">
      <alignment horizontal="center" vertical="center"/>
    </xf>
    <xf numFmtId="44" fontId="7" fillId="0" borderId="40" xfId="3" applyNumberFormat="1" applyFont="1" applyBorder="1" applyAlignment="1">
      <alignment horizontal="center" vertical="center"/>
    </xf>
    <xf numFmtId="44" fontId="7" fillId="0" borderId="40" xfId="5" applyFont="1" applyBorder="1" applyAlignment="1">
      <alignment horizontal="center" vertical="center"/>
    </xf>
    <xf numFmtId="44" fontId="7" fillId="0" borderId="44" xfId="5" applyFont="1" applyBorder="1" applyAlignment="1">
      <alignment horizontal="center" vertical="center"/>
    </xf>
    <xf numFmtId="44" fontId="7" fillId="0" borderId="36" xfId="5" applyFont="1" applyBorder="1" applyAlignment="1">
      <alignment horizontal="center" vertical="center"/>
    </xf>
    <xf numFmtId="0" fontId="4" fillId="3" borderId="10" xfId="0" applyFont="1" applyFill="1" applyBorder="1"/>
    <xf numFmtId="0" fontId="3" fillId="0" borderId="0" xfId="0" applyFont="1" applyAlignment="1">
      <alignment horizontal="right"/>
    </xf>
    <xf numFmtId="0" fontId="8" fillId="0" borderId="0" xfId="3" applyFont="1" applyAlignment="1">
      <alignment horizontal="right" vertical="top"/>
    </xf>
    <xf numFmtId="0" fontId="6" fillId="0" borderId="0" xfId="3" applyFont="1"/>
    <xf numFmtId="0" fontId="7" fillId="0" borderId="0" xfId="3" applyFont="1" applyAlignment="1">
      <alignment horizontal="left" indent="1"/>
    </xf>
    <xf numFmtId="0" fontId="6" fillId="0" borderId="0" xfId="3" applyFont="1" applyAlignment="1">
      <alignment horizontal="left" indent="1"/>
    </xf>
    <xf numFmtId="0" fontId="11" fillId="0" borderId="0" xfId="3" applyFont="1"/>
    <xf numFmtId="0" fontId="7" fillId="0" borderId="0" xfId="3" applyFont="1" applyAlignment="1">
      <alignment horizontal="right" vertical="top"/>
    </xf>
    <xf numFmtId="165" fontId="7" fillId="0" borderId="0" xfId="3" applyNumberFormat="1" applyFont="1" applyAlignment="1">
      <alignment horizontal="center"/>
    </xf>
    <xf numFmtId="14" fontId="15" fillId="2" borderId="0" xfId="3" applyNumberFormat="1" applyFont="1" applyFill="1" applyAlignment="1" applyProtection="1">
      <alignment horizontal="center"/>
      <protection locked="0"/>
    </xf>
    <xf numFmtId="0" fontId="16" fillId="0" borderId="0" xfId="3" applyFont="1"/>
    <xf numFmtId="17" fontId="6" fillId="0" borderId="39" xfId="3" applyNumberFormat="1" applyFont="1" applyBorder="1" applyAlignment="1">
      <alignment horizontal="center" vertical="center"/>
    </xf>
    <xf numFmtId="14" fontId="6" fillId="0" borderId="43" xfId="3" applyNumberFormat="1" applyFont="1" applyBorder="1" applyAlignment="1">
      <alignment horizontal="center" vertical="center"/>
    </xf>
    <xf numFmtId="10" fontId="7" fillId="0" borderId="31" xfId="6" applyNumberFormat="1" applyFont="1" applyBorder="1" applyAlignment="1">
      <alignment vertical="center"/>
    </xf>
    <xf numFmtId="49" fontId="2" fillId="0" borderId="29" xfId="5" applyNumberFormat="1" applyFont="1" applyBorder="1" applyAlignment="1">
      <alignment horizontal="left" vertical="center" wrapText="1"/>
    </xf>
    <xf numFmtId="44" fontId="7" fillId="0" borderId="31" xfId="5" applyFont="1" applyBorder="1" applyAlignment="1">
      <alignment vertical="center"/>
    </xf>
    <xf numFmtId="44" fontId="7" fillId="0" borderId="44" xfId="5" applyFont="1" applyBorder="1" applyAlignment="1">
      <alignment vertical="center"/>
    </xf>
    <xf numFmtId="0" fontId="5" fillId="0" borderId="0" xfId="3"/>
    <xf numFmtId="0" fontId="20" fillId="0" borderId="41" xfId="3" applyFont="1" applyBorder="1" applyAlignment="1">
      <alignment horizontal="center" vertical="center" wrapText="1"/>
    </xf>
    <xf numFmtId="10" fontId="7" fillId="0" borderId="33" xfId="3" applyNumberFormat="1" applyFont="1" applyBorder="1" applyAlignment="1">
      <alignment horizontal="center" vertical="center"/>
    </xf>
    <xf numFmtId="10" fontId="7" fillId="0" borderId="31" xfId="3" applyNumberFormat="1" applyFont="1" applyBorder="1" applyAlignment="1">
      <alignment horizontal="center" vertical="center"/>
    </xf>
    <xf numFmtId="44" fontId="7" fillId="0" borderId="31" xfId="3" applyNumberFormat="1" applyFont="1" applyBorder="1" applyAlignment="1">
      <alignment horizontal="center" vertical="center"/>
    </xf>
    <xf numFmtId="9" fontId="7" fillId="0" borderId="33" xfId="5" applyNumberFormat="1" applyFont="1" applyBorder="1" applyAlignment="1">
      <alignment horizontal="center" vertical="center"/>
    </xf>
    <xf numFmtId="10" fontId="7" fillId="0" borderId="1" xfId="5" applyNumberFormat="1" applyFont="1" applyBorder="1" applyAlignment="1">
      <alignment horizontal="center" vertical="center"/>
    </xf>
    <xf numFmtId="166" fontId="7" fillId="0" borderId="31" xfId="3" applyNumberFormat="1" applyFont="1" applyBorder="1" applyAlignment="1">
      <alignment horizontal="center" vertical="center"/>
    </xf>
    <xf numFmtId="166" fontId="7" fillId="0" borderId="33" xfId="3" applyNumberFormat="1" applyFont="1" applyBorder="1" applyAlignment="1">
      <alignment horizontal="center" vertical="center"/>
    </xf>
    <xf numFmtId="44" fontId="7" fillId="0" borderId="0" xfId="5" applyFont="1"/>
    <xf numFmtId="49" fontId="7" fillId="0" borderId="0" xfId="3" applyNumberFormat="1" applyFont="1"/>
    <xf numFmtId="44" fontId="7" fillId="4" borderId="12" xfId="1" quotePrefix="1" applyFont="1" applyFill="1" applyBorder="1" applyAlignment="1" applyProtection="1">
      <alignment horizontal="right"/>
      <protection locked="0"/>
    </xf>
    <xf numFmtId="44" fontId="7" fillId="4" borderId="13" xfId="1" applyFont="1" applyFill="1" applyBorder="1" applyAlignment="1" applyProtection="1">
      <alignment horizontal="right"/>
      <protection locked="0"/>
    </xf>
    <xf numFmtId="44" fontId="7" fillId="0" borderId="12" xfId="3" applyNumberFormat="1" applyFont="1" applyBorder="1" applyAlignment="1">
      <alignment horizontal="right"/>
    </xf>
    <xf numFmtId="44" fontId="7" fillId="0" borderId="13" xfId="1" applyFont="1" applyFill="1" applyBorder="1" applyAlignment="1" applyProtection="1">
      <alignment horizontal="right"/>
    </xf>
    <xf numFmtId="44" fontId="6" fillId="0" borderId="12" xfId="1" applyFont="1" applyFill="1" applyBorder="1" applyAlignment="1" applyProtection="1">
      <alignment horizontal="right"/>
    </xf>
    <xf numFmtId="44" fontId="7" fillId="0" borderId="13" xfId="5" applyFont="1" applyFill="1" applyBorder="1" applyAlignment="1" applyProtection="1">
      <alignment horizontal="right"/>
    </xf>
    <xf numFmtId="44" fontId="6" fillId="0" borderId="13" xfId="5" applyFont="1" applyFill="1" applyBorder="1" applyAlignment="1" applyProtection="1">
      <alignment horizontal="right"/>
    </xf>
    <xf numFmtId="14" fontId="6" fillId="0" borderId="0" xfId="3" applyNumberFormat="1" applyFont="1"/>
    <xf numFmtId="14" fontId="6" fillId="0" borderId="0" xfId="5" applyNumberFormat="1" applyFont="1"/>
    <xf numFmtId="44" fontId="6" fillId="0" borderId="11" xfId="1" applyFont="1" applyFill="1" applyBorder="1" applyAlignment="1" applyProtection="1">
      <alignment horizontal="right"/>
    </xf>
    <xf numFmtId="0" fontId="16" fillId="0" borderId="0" xfId="3" applyFont="1" applyProtection="1">
      <protection locked="0"/>
    </xf>
    <xf numFmtId="0" fontId="3" fillId="0" borderId="0" xfId="0" applyFont="1" applyAlignment="1">
      <alignment horizontal="center"/>
    </xf>
    <xf numFmtId="14" fontId="3" fillId="0" borderId="3" xfId="0" applyNumberFormat="1" applyFont="1" applyBorder="1" applyProtection="1">
      <protection locked="0"/>
    </xf>
    <xf numFmtId="14" fontId="3" fillId="0" borderId="4" xfId="0" applyNumberFormat="1" applyFont="1" applyBorder="1" applyAlignment="1" applyProtection="1">
      <alignment horizontal="center"/>
      <protection locked="0"/>
    </xf>
    <xf numFmtId="44" fontId="7" fillId="0" borderId="0" xfId="3" applyNumberFormat="1" applyFont="1" applyAlignment="1">
      <alignment vertical="center"/>
    </xf>
    <xf numFmtId="14" fontId="6" fillId="0" borderId="22" xfId="3" applyNumberFormat="1" applyFont="1" applyBorder="1" applyAlignment="1">
      <alignment horizontal="center" vertical="center" wrapText="1"/>
    </xf>
    <xf numFmtId="10" fontId="7" fillId="6" borderId="35" xfId="6" applyNumberFormat="1" applyFont="1" applyFill="1" applyBorder="1" applyAlignment="1">
      <alignment vertical="center"/>
    </xf>
    <xf numFmtId="44" fontId="7" fillId="6" borderId="23" xfId="5" applyFont="1" applyFill="1" applyBorder="1" applyAlignment="1">
      <alignment vertical="center"/>
    </xf>
    <xf numFmtId="14" fontId="7" fillId="0" borderId="0" xfId="3" applyNumberFormat="1" applyFont="1"/>
    <xf numFmtId="44" fontId="7" fillId="0" borderId="0" xfId="5" applyFont="1" applyFill="1"/>
    <xf numFmtId="44" fontId="6" fillId="0" borderId="13" xfId="1" applyFont="1" applyFill="1" applyBorder="1" applyAlignment="1" applyProtection="1">
      <alignment horizontal="right"/>
    </xf>
    <xf numFmtId="44" fontId="7" fillId="0" borderId="13" xfId="3" applyNumberFormat="1" applyFont="1" applyBorder="1" applyAlignment="1">
      <alignment horizontal="right"/>
    </xf>
    <xf numFmtId="0" fontId="7" fillId="0" borderId="5" xfId="3" applyFont="1" applyBorder="1" applyAlignment="1">
      <alignment horizontal="left"/>
    </xf>
    <xf numFmtId="0" fontId="7" fillId="0" borderId="0" xfId="3" applyFont="1" applyAlignment="1">
      <alignment horizontal="left"/>
    </xf>
    <xf numFmtId="0" fontId="7" fillId="0" borderId="0" xfId="3" applyFont="1"/>
    <xf numFmtId="0" fontId="7" fillId="0" borderId="0" xfId="3" applyFont="1" applyAlignment="1">
      <alignment wrapText="1"/>
    </xf>
    <xf numFmtId="9" fontId="7" fillId="0" borderId="5" xfId="2" applyFont="1" applyFill="1" applyBorder="1" applyAlignment="1" applyProtection="1">
      <alignment horizontal="left"/>
    </xf>
    <xf numFmtId="9" fontId="7" fillId="0" borderId="0" xfId="2" applyFont="1" applyFill="1" applyBorder="1" applyAlignment="1" applyProtection="1">
      <alignment horizontal="left"/>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25"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25" xfId="0" applyFont="1" applyBorder="1" applyAlignment="1" applyProtection="1">
      <alignment horizontal="center"/>
      <protection locked="0"/>
    </xf>
    <xf numFmtId="0" fontId="3" fillId="0" borderId="28" xfId="0" applyFont="1" applyBorder="1" applyAlignment="1" applyProtection="1">
      <alignment horizontal="center"/>
      <protection locked="0"/>
    </xf>
    <xf numFmtId="0" fontId="3" fillId="0" borderId="3"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3" fillId="0" borderId="30" xfId="0" applyFont="1" applyBorder="1" applyAlignment="1" applyProtection="1">
      <alignment horizontal="center"/>
      <protection locked="0"/>
    </xf>
    <xf numFmtId="0" fontId="3" fillId="5" borderId="3" xfId="0" applyFont="1" applyFill="1" applyBorder="1" applyAlignment="1" applyProtection="1">
      <alignment horizontal="center"/>
      <protection locked="0"/>
    </xf>
    <xf numFmtId="0" fontId="3" fillId="5" borderId="14" xfId="0" applyFont="1" applyFill="1" applyBorder="1" applyAlignment="1" applyProtection="1">
      <alignment horizontal="center"/>
      <protection locked="0"/>
    </xf>
    <xf numFmtId="0" fontId="4" fillId="4" borderId="20" xfId="0" applyFont="1" applyFill="1" applyBorder="1" applyAlignment="1" applyProtection="1">
      <alignment horizontal="center"/>
      <protection locked="0"/>
    </xf>
    <xf numFmtId="0" fontId="4" fillId="4" borderId="21" xfId="0" applyFont="1" applyFill="1" applyBorder="1" applyAlignment="1" applyProtection="1">
      <alignment horizontal="center"/>
      <protection locked="0"/>
    </xf>
    <xf numFmtId="0" fontId="4" fillId="4" borderId="10" xfId="0" applyFont="1" applyFill="1" applyBorder="1" applyAlignment="1" applyProtection="1">
      <alignment horizontal="center"/>
      <protection locked="0"/>
    </xf>
    <xf numFmtId="0" fontId="6" fillId="0" borderId="6" xfId="3" applyFont="1" applyBorder="1" applyAlignment="1">
      <alignment horizontal="left" vertical="top" wrapText="1"/>
    </xf>
    <xf numFmtId="0" fontId="6" fillId="0" borderId="7" xfId="3" applyFont="1" applyBorder="1" applyAlignment="1">
      <alignment horizontal="left" vertical="top" wrapText="1"/>
    </xf>
    <xf numFmtId="0" fontId="6" fillId="0" borderId="5" xfId="3" applyFont="1" applyBorder="1" applyAlignment="1">
      <alignment horizontal="left"/>
    </xf>
    <xf numFmtId="0" fontId="6" fillId="0" borderId="0" xfId="3" applyFont="1" applyAlignment="1">
      <alignment horizontal="left"/>
    </xf>
    <xf numFmtId="9" fontId="6" fillId="0" borderId="5" xfId="2" applyFont="1" applyFill="1" applyBorder="1" applyAlignment="1" applyProtection="1">
      <alignment horizontal="left"/>
    </xf>
    <xf numFmtId="9" fontId="6" fillId="0" borderId="0" xfId="2" applyFont="1" applyFill="1" applyBorder="1" applyAlignment="1" applyProtection="1">
      <alignment horizontal="left"/>
    </xf>
    <xf numFmtId="44" fontId="6" fillId="0" borderId="13" xfId="1" applyFont="1" applyFill="1" applyBorder="1" applyAlignment="1" applyProtection="1">
      <alignment horizontal="right"/>
    </xf>
    <xf numFmtId="44" fontId="7" fillId="0" borderId="13" xfId="3" applyNumberFormat="1" applyFont="1" applyBorder="1" applyAlignment="1">
      <alignment horizontal="right"/>
    </xf>
    <xf numFmtId="0" fontId="6" fillId="0" borderId="5" xfId="3" applyFont="1" applyBorder="1" applyAlignment="1">
      <alignment horizontal="left" vertical="center" wrapText="1"/>
    </xf>
    <xf numFmtId="0" fontId="6" fillId="0" borderId="0" xfId="3" applyFont="1" applyAlignment="1">
      <alignment horizontal="left" vertical="center" wrapText="1"/>
    </xf>
    <xf numFmtId="0" fontId="6" fillId="0" borderId="5" xfId="3" applyFont="1" applyBorder="1" applyAlignment="1">
      <alignment horizontal="left" vertical="top" wrapText="1"/>
    </xf>
    <xf numFmtId="0" fontId="6" fillId="0" borderId="0" xfId="3" applyFont="1" applyAlignment="1">
      <alignment horizontal="left" vertical="top" wrapText="1"/>
    </xf>
    <xf numFmtId="0" fontId="6" fillId="0" borderId="9" xfId="3" applyFont="1" applyBorder="1" applyAlignment="1">
      <alignment horizontal="left" vertical="top"/>
    </xf>
    <xf numFmtId="0" fontId="6" fillId="0" borderId="10" xfId="3" applyFont="1" applyBorder="1" applyAlignment="1">
      <alignment horizontal="left" vertical="top"/>
    </xf>
    <xf numFmtId="0" fontId="6" fillId="0" borderId="6" xfId="3" applyFont="1" applyBorder="1" applyAlignment="1">
      <alignment horizontal="left"/>
    </xf>
    <xf numFmtId="0" fontId="6" fillId="0" borderId="7" xfId="3" applyFont="1" applyBorder="1" applyAlignment="1">
      <alignment horizontal="left"/>
    </xf>
    <xf numFmtId="0" fontId="7" fillId="0" borderId="5" xfId="3" applyFont="1" applyBorder="1" applyAlignment="1">
      <alignment horizontal="left"/>
    </xf>
    <xf numFmtId="0" fontId="7" fillId="0" borderId="0" xfId="3" applyFont="1" applyAlignment="1">
      <alignment horizontal="left"/>
    </xf>
    <xf numFmtId="9" fontId="6" fillId="0" borderId="9" xfId="2" applyFont="1" applyFill="1" applyBorder="1" applyAlignment="1" applyProtection="1">
      <alignment horizontal="left"/>
    </xf>
    <xf numFmtId="9" fontId="6" fillId="0" borderId="10" xfId="2" applyFont="1" applyFill="1" applyBorder="1" applyAlignment="1" applyProtection="1">
      <alignment horizontal="left"/>
    </xf>
    <xf numFmtId="44" fontId="6" fillId="0" borderId="6" xfId="1" applyFont="1" applyBorder="1" applyAlignment="1" applyProtection="1">
      <alignment horizontal="left"/>
    </xf>
    <xf numFmtId="44" fontId="6" fillId="0" borderId="7" xfId="1" applyFont="1" applyBorder="1" applyAlignment="1" applyProtection="1">
      <alignment horizontal="left"/>
    </xf>
    <xf numFmtId="0" fontId="7" fillId="0" borderId="5" xfId="3" applyFont="1" applyBorder="1" applyAlignment="1">
      <alignment horizontal="left" wrapText="1" indent="1"/>
    </xf>
    <xf numFmtId="0" fontId="7" fillId="0" borderId="0" xfId="3" applyFont="1" applyAlignment="1">
      <alignment wrapText="1"/>
    </xf>
    <xf numFmtId="0" fontId="7" fillId="0" borderId="5" xfId="3" applyFont="1" applyBorder="1" applyAlignment="1">
      <alignment wrapText="1"/>
    </xf>
    <xf numFmtId="44" fontId="6" fillId="0" borderId="7" xfId="1" applyFont="1" applyBorder="1" applyAlignment="1" applyProtection="1">
      <alignment horizontal="center"/>
    </xf>
    <xf numFmtId="44" fontId="12" fillId="0" borderId="10" xfId="1" applyFont="1" applyBorder="1" applyAlignment="1" applyProtection="1">
      <alignment horizontal="center"/>
    </xf>
    <xf numFmtId="44" fontId="7" fillId="0" borderId="6" xfId="1" applyFont="1" applyBorder="1" applyAlignment="1" applyProtection="1">
      <alignment horizontal="center" wrapText="1"/>
    </xf>
    <xf numFmtId="44" fontId="7" fillId="0" borderId="7" xfId="1" applyFont="1" applyBorder="1" applyAlignment="1" applyProtection="1">
      <alignment horizontal="center" wrapText="1"/>
    </xf>
    <xf numFmtId="44" fontId="7" fillId="0" borderId="12" xfId="1" applyFont="1" applyBorder="1" applyAlignment="1" applyProtection="1">
      <alignment horizontal="center" wrapText="1"/>
    </xf>
    <xf numFmtId="44" fontId="7" fillId="0" borderId="9" xfId="1" applyFont="1" applyBorder="1" applyAlignment="1" applyProtection="1">
      <alignment horizontal="center" wrapText="1"/>
    </xf>
    <xf numFmtId="44" fontId="7" fillId="0" borderId="10" xfId="1" applyFont="1" applyBorder="1" applyAlignment="1" applyProtection="1">
      <alignment horizontal="center" wrapText="1"/>
    </xf>
    <xf numFmtId="44" fontId="7" fillId="0" borderId="11" xfId="1" applyFont="1" applyBorder="1" applyAlignment="1" applyProtection="1">
      <alignment horizontal="center" wrapText="1"/>
    </xf>
    <xf numFmtId="0" fontId="19" fillId="0" borderId="7" xfId="3" applyFont="1" applyBorder="1" applyAlignment="1" applyProtection="1">
      <alignment horizontal="center"/>
      <protection locked="0"/>
    </xf>
    <xf numFmtId="44" fontId="16" fillId="0" borderId="9" xfId="1" applyFont="1" applyBorder="1" applyAlignment="1" applyProtection="1">
      <alignment horizontal="center"/>
      <protection locked="0"/>
    </xf>
    <xf numFmtId="44" fontId="16" fillId="0" borderId="10" xfId="1" applyFont="1" applyBorder="1" applyAlignment="1" applyProtection="1">
      <alignment horizontal="center"/>
      <protection locked="0"/>
    </xf>
    <xf numFmtId="0" fontId="6" fillId="0" borderId="45" xfId="3" applyFont="1" applyBorder="1" applyAlignment="1">
      <alignment horizontal="center" wrapText="1"/>
    </xf>
    <xf numFmtId="0" fontId="6" fillId="0" borderId="46" xfId="3" applyFont="1" applyBorder="1" applyAlignment="1">
      <alignment horizontal="center" wrapText="1"/>
    </xf>
    <xf numFmtId="0" fontId="6" fillId="0" borderId="47" xfId="3" applyFont="1" applyBorder="1" applyAlignment="1">
      <alignment horizontal="center" wrapText="1"/>
    </xf>
    <xf numFmtId="0" fontId="6" fillId="0" borderId="24" xfId="3" applyFont="1" applyBorder="1" applyAlignment="1">
      <alignment horizontal="center"/>
    </xf>
    <xf numFmtId="0" fontId="6" fillId="0" borderId="25" xfId="3" applyFont="1" applyBorder="1" applyAlignment="1">
      <alignment horizontal="center"/>
    </xf>
    <xf numFmtId="0" fontId="6" fillId="0" borderId="26" xfId="3" applyFont="1" applyBorder="1" applyAlignment="1">
      <alignment horizontal="center"/>
    </xf>
    <xf numFmtId="0" fontId="7" fillId="0" borderId="16" xfId="3" applyFont="1" applyBorder="1" applyAlignment="1">
      <alignment horizontal="center" vertical="center" wrapText="1"/>
    </xf>
    <xf numFmtId="0" fontId="7" fillId="0" borderId="17" xfId="3" applyFont="1" applyBorder="1" applyAlignment="1">
      <alignment horizontal="center" vertical="center" wrapText="1"/>
    </xf>
    <xf numFmtId="0" fontId="7" fillId="0" borderId="14" xfId="3" applyFont="1" applyBorder="1" applyAlignment="1">
      <alignment horizontal="center" vertical="center" wrapText="1"/>
    </xf>
    <xf numFmtId="0" fontId="7" fillId="0" borderId="8" xfId="3" applyFont="1" applyBorder="1" applyAlignment="1">
      <alignment horizontal="center" vertical="center" wrapText="1"/>
    </xf>
    <xf numFmtId="0" fontId="7" fillId="0" borderId="0" xfId="3" applyFont="1" applyAlignment="1">
      <alignment horizontal="center" vertical="center" wrapText="1"/>
    </xf>
    <xf numFmtId="0" fontId="7" fillId="0" borderId="32" xfId="3" applyFont="1" applyBorder="1" applyAlignment="1">
      <alignment horizontal="center" vertical="center" wrapText="1"/>
    </xf>
    <xf numFmtId="0" fontId="7" fillId="0" borderId="18" xfId="3" applyFont="1" applyBorder="1" applyAlignment="1">
      <alignment horizontal="center" vertical="center" wrapText="1"/>
    </xf>
    <xf numFmtId="0" fontId="7" fillId="0" borderId="15" xfId="3" applyFont="1" applyBorder="1" applyAlignment="1">
      <alignment horizontal="center" vertical="center" wrapText="1"/>
    </xf>
    <xf numFmtId="0" fontId="7" fillId="0" borderId="19" xfId="3" applyFont="1" applyBorder="1" applyAlignment="1">
      <alignment horizontal="center" vertical="center" wrapText="1"/>
    </xf>
    <xf numFmtId="0" fontId="7" fillId="0" borderId="34" xfId="3" applyFont="1" applyBorder="1" applyAlignment="1">
      <alignment horizontal="center" vertical="center" wrapText="1"/>
    </xf>
    <xf numFmtId="0" fontId="7" fillId="0" borderId="10" xfId="3" applyFont="1" applyBorder="1" applyAlignment="1">
      <alignment horizontal="center" vertical="center" wrapText="1"/>
    </xf>
    <xf numFmtId="0" fontId="7" fillId="0" borderId="38" xfId="3" applyFont="1" applyBorder="1" applyAlignment="1">
      <alignment horizontal="center" vertical="center" wrapText="1"/>
    </xf>
    <xf numFmtId="0" fontId="7" fillId="0" borderId="33" xfId="3" applyFont="1" applyBorder="1" applyAlignment="1">
      <alignment horizontal="center" vertical="center" wrapText="1"/>
    </xf>
    <xf numFmtId="0" fontId="7" fillId="0" borderId="36" xfId="3" applyFont="1" applyBorder="1" applyAlignment="1">
      <alignment horizontal="center" vertical="center" wrapText="1"/>
    </xf>
    <xf numFmtId="0" fontId="6" fillId="0" borderId="0" xfId="3" applyFont="1" applyAlignment="1">
      <alignment horizontal="center"/>
    </xf>
    <xf numFmtId="0" fontId="7" fillId="0" borderId="5" xfId="3" applyFont="1" applyBorder="1" applyAlignment="1"/>
    <xf numFmtId="0" fontId="7" fillId="0" borderId="0" xfId="3" applyFont="1" applyAlignment="1"/>
    <xf numFmtId="0" fontId="16" fillId="0" borderId="10" xfId="3" applyFont="1" applyBorder="1" applyAlignment="1" applyProtection="1">
      <protection locked="0"/>
    </xf>
    <xf numFmtId="0" fontId="16" fillId="0" borderId="11" xfId="3" applyFont="1" applyBorder="1" applyAlignment="1" applyProtection="1">
      <protection locked="0"/>
    </xf>
  </cellXfs>
  <cellStyles count="7">
    <cellStyle name="Currency" xfId="1" builtinId="4"/>
    <cellStyle name="Currency 2" xfId="5" xr:uid="{CAF6FD19-723C-4A73-AF9C-40725BDE3172}"/>
    <cellStyle name="Normal" xfId="0" builtinId="0"/>
    <cellStyle name="Normal 2" xfId="4" xr:uid="{8CD4754D-187B-4630-9E7E-E60E4BF8A378}"/>
    <cellStyle name="Normal 3" xfId="3" xr:uid="{DB8019D6-D60D-4795-A849-047D4072A4B0}"/>
    <cellStyle name="Percent" xfId="2" builtinId="5"/>
    <cellStyle name="Percent 2" xfId="6" xr:uid="{839285BB-B15F-4C88-8C21-43D569D8A1E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Radio" checked="Checked" firstButton="1"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0</xdr:row>
          <xdr:rowOff>12700</xdr:rowOff>
        </xdr:from>
        <xdr:to>
          <xdr:col>3</xdr:col>
          <xdr:colOff>755650</xdr:colOff>
          <xdr:row>2</xdr:row>
          <xdr:rowOff>19050</xdr:rowOff>
        </xdr:to>
        <xdr:sp macro="" textlink="">
          <xdr:nvSpPr>
            <xdr:cNvPr id="12289" name="Option Button 1" hidden="1">
              <a:extLst>
                <a:ext uri="{63B3BB69-23CF-44E3-9099-C40C66FF867C}">
                  <a14:compatExt spid="_x0000_s12289"/>
                </a:ext>
                <a:ext uri="{FF2B5EF4-FFF2-40B4-BE49-F238E27FC236}">
                  <a16:creationId xmlns:a16="http://schemas.microsoft.com/office/drawing/2014/main" id="{00000000-0008-0000-00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Supported Living Program (BI)</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179390</xdr:colOff>
      <xdr:row>6</xdr:row>
      <xdr:rowOff>21431</xdr:rowOff>
    </xdr:from>
    <xdr:to>
      <xdr:col>1</xdr:col>
      <xdr:colOff>601665</xdr:colOff>
      <xdr:row>7</xdr:row>
      <xdr:rowOff>154778</xdr:rowOff>
    </xdr:to>
    <xdr:sp macro="" textlink="">
      <xdr:nvSpPr>
        <xdr:cNvPr id="2" name="Right Arrow 3">
          <a:extLst>
            <a:ext uri="{FF2B5EF4-FFF2-40B4-BE49-F238E27FC236}">
              <a16:creationId xmlns:a16="http://schemas.microsoft.com/office/drawing/2014/main" id="{00000000-0008-0000-0100-000002000000}"/>
            </a:ext>
          </a:extLst>
        </xdr:cNvPr>
        <xdr:cNvSpPr/>
      </xdr:nvSpPr>
      <xdr:spPr>
        <a:xfrm rot="16200000">
          <a:off x="9625017" y="2053429"/>
          <a:ext cx="295272" cy="422275"/>
        </a:xfrm>
        <a:prstGeom prst="right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3B4D3-0C95-4FEA-B61C-17F93B8A6E2C}">
  <dimension ref="A1:I42"/>
  <sheetViews>
    <sheetView tabSelected="1" view="pageLayout" topLeftCell="A21" zoomScaleNormal="100" workbookViewId="0">
      <selection activeCell="G14" sqref="G14"/>
    </sheetView>
  </sheetViews>
  <sheetFormatPr defaultColWidth="9.140625" defaultRowHeight="12.95"/>
  <cols>
    <col min="1" max="1" width="12.42578125" style="1" customWidth="1"/>
    <col min="2" max="2" width="13.28515625" style="1" customWidth="1"/>
    <col min="3" max="3" width="11.140625" style="1" customWidth="1"/>
    <col min="4" max="4" width="11.42578125" style="1" customWidth="1"/>
    <col min="5" max="5" width="13.28515625" style="1" customWidth="1"/>
    <col min="6" max="6" width="16.5703125" style="1" customWidth="1"/>
    <col min="7" max="7" width="11.85546875" style="1" customWidth="1"/>
    <col min="8" max="16384" width="9.140625" style="1"/>
  </cols>
  <sheetData>
    <row r="1" spans="1:7">
      <c r="A1" s="148"/>
      <c r="B1" s="149"/>
      <c r="C1" s="149"/>
      <c r="D1" s="149"/>
      <c r="E1" s="149"/>
      <c r="F1" s="149"/>
      <c r="G1" s="150"/>
    </row>
    <row r="2" spans="1:7" ht="11.45" customHeight="1" thickBot="1">
      <c r="A2" s="151"/>
      <c r="B2" s="152"/>
      <c r="C2" s="152"/>
      <c r="D2" s="152"/>
      <c r="E2" s="152"/>
      <c r="F2" s="152"/>
      <c r="G2" s="153"/>
    </row>
    <row r="3" spans="1:7">
      <c r="A3" s="31" t="s">
        <v>0</v>
      </c>
      <c r="B3" s="154"/>
      <c r="C3" s="154"/>
      <c r="D3" s="155"/>
      <c r="E3" s="32" t="s">
        <v>1</v>
      </c>
      <c r="F3" s="156"/>
      <c r="G3" s="157"/>
    </row>
    <row r="4" spans="1:7">
      <c r="A4" s="33" t="s">
        <v>2</v>
      </c>
      <c r="B4" s="158"/>
      <c r="C4" s="158"/>
      <c r="D4" s="159"/>
      <c r="E4" s="3" t="s">
        <v>3</v>
      </c>
      <c r="F4" s="158"/>
      <c r="G4" s="160"/>
    </row>
    <row r="5" spans="1:7">
      <c r="A5" s="33" t="s">
        <v>4</v>
      </c>
      <c r="B5" s="161"/>
      <c r="C5" s="161"/>
      <c r="D5" s="162"/>
      <c r="E5" s="3" t="s">
        <v>5</v>
      </c>
      <c r="F5" s="158"/>
      <c r="G5" s="160"/>
    </row>
    <row r="6" spans="1:7">
      <c r="A6" s="33" t="s">
        <v>6</v>
      </c>
      <c r="B6" s="133">
        <v>46023</v>
      </c>
      <c r="C6" s="4" t="s">
        <v>7</v>
      </c>
      <c r="D6" s="132">
        <v>46387</v>
      </c>
      <c r="E6" s="58" t="s">
        <v>8</v>
      </c>
      <c r="F6" s="51">
        <f>DATEDIF(B6,D6,"D")+1</f>
        <v>365</v>
      </c>
      <c r="G6" s="52"/>
    </row>
    <row r="7" spans="1:7" ht="15.75" customHeight="1" thickBot="1">
      <c r="A7" s="34"/>
      <c r="B7" s="163" t="s">
        <v>9</v>
      </c>
      <c r="C7" s="164"/>
      <c r="D7" s="164"/>
      <c r="E7" s="165"/>
      <c r="F7" s="92"/>
      <c r="G7" s="53"/>
    </row>
    <row r="8" spans="1:7" ht="36.950000000000003" customHeight="1">
      <c r="A8" s="166" t="s">
        <v>10</v>
      </c>
      <c r="B8" s="167"/>
      <c r="C8" s="167"/>
      <c r="D8" s="167"/>
      <c r="E8" s="167"/>
      <c r="F8" s="48" t="s">
        <v>11</v>
      </c>
      <c r="G8" s="120"/>
    </row>
    <row r="9" spans="1:7">
      <c r="A9" s="168" t="s">
        <v>12</v>
      </c>
      <c r="B9" s="169"/>
      <c r="C9" s="169"/>
      <c r="D9" s="169"/>
      <c r="E9" s="169"/>
      <c r="F9" s="93" t="s">
        <v>13</v>
      </c>
      <c r="G9" s="30"/>
    </row>
    <row r="10" spans="1:7">
      <c r="A10" s="168" t="s">
        <v>14</v>
      </c>
      <c r="B10" s="169"/>
      <c r="C10" s="169"/>
      <c r="D10" s="169"/>
      <c r="E10" s="169"/>
      <c r="F10" s="93"/>
      <c r="G10" s="141">
        <f>GrossIncome+ClientLTInsurance</f>
        <v>0</v>
      </c>
    </row>
    <row r="11" spans="1:7">
      <c r="A11" s="170" t="s">
        <v>15</v>
      </c>
      <c r="B11" s="171"/>
      <c r="C11" s="171"/>
      <c r="D11" s="171"/>
      <c r="E11" s="171"/>
      <c r="F11" s="93"/>
      <c r="G11" s="29">
        <f>IF((TotalGrossIncome-RoomBoard)&lt;=PNAMax,IF((TotalGrossIncome-RoomBoard)&lt;0,0,(TotalGrossIncome-RoomBoard)),PNAMax)</f>
        <v>0</v>
      </c>
    </row>
    <row r="12" spans="1:7">
      <c r="A12" s="146" t="s">
        <v>16</v>
      </c>
      <c r="B12" s="147"/>
      <c r="C12" s="147"/>
      <c r="D12" s="147"/>
      <c r="E12" s="147"/>
      <c r="F12" s="93"/>
      <c r="G12" s="49">
        <v>435.46</v>
      </c>
    </row>
    <row r="13" spans="1:7" ht="26.25" customHeight="1">
      <c r="A13" s="174" t="s">
        <v>17</v>
      </c>
      <c r="B13" s="175"/>
      <c r="C13" s="175"/>
      <c r="D13" s="175"/>
      <c r="E13" s="175"/>
      <c r="F13" s="93" t="s">
        <v>18</v>
      </c>
      <c r="G13" s="121"/>
    </row>
    <row r="14" spans="1:7" ht="61.5" customHeight="1">
      <c r="A14" s="176" t="s">
        <v>19</v>
      </c>
      <c r="B14" s="177"/>
      <c r="C14" s="177"/>
      <c r="D14" s="177"/>
      <c r="E14" s="177"/>
      <c r="F14" s="93" t="s">
        <v>20</v>
      </c>
      <c r="G14" s="121"/>
    </row>
    <row r="15" spans="1:7" ht="18.75" customHeight="1">
      <c r="A15" s="176" t="s">
        <v>21</v>
      </c>
      <c r="B15" s="177"/>
      <c r="C15" s="177"/>
      <c r="D15" s="177"/>
      <c r="E15" s="177"/>
      <c r="F15" s="93" t="s">
        <v>22</v>
      </c>
      <c r="G15" s="121"/>
    </row>
    <row r="16" spans="1:7" ht="18.75" customHeight="1" thickBot="1">
      <c r="A16" s="178" t="s">
        <v>23</v>
      </c>
      <c r="B16" s="179"/>
      <c r="C16" s="179"/>
      <c r="D16" s="179"/>
      <c r="E16" s="179"/>
      <c r="F16" s="50"/>
      <c r="G16" s="129">
        <f>IF(SUM(G13:G15)&gt;(G10-G19-G11),IF((G10-G19-G11)&lt;0,0,(G10-G19-G11)+G11),G11+(SUM(G13:G15)))</f>
        <v>0</v>
      </c>
    </row>
    <row r="17" spans="1:7" ht="15.75" customHeight="1">
      <c r="A17" s="180" t="s">
        <v>24</v>
      </c>
      <c r="B17" s="181"/>
      <c r="C17" s="22"/>
      <c r="D17" s="22"/>
      <c r="E17" s="23"/>
      <c r="F17" s="23"/>
      <c r="G17" s="122"/>
    </row>
    <row r="18" spans="1:7">
      <c r="A18" s="182" t="s">
        <v>25</v>
      </c>
      <c r="B18" s="183"/>
      <c r="C18" s="183"/>
      <c r="D18" s="144"/>
      <c r="E18" s="144"/>
      <c r="F18" s="94"/>
      <c r="G18" s="49" t="e">
        <f>IF((TotalGrossIncome-RoomBoard-G16)&gt;=ServiceAmount,ServiceAmount,MAX((TotalGrossIncome-RoomBoard-G16),0))</f>
        <v>#N/A</v>
      </c>
    </row>
    <row r="19" spans="1:7" ht="15.6">
      <c r="A19" s="146" t="s">
        <v>26</v>
      </c>
      <c r="B19" s="147"/>
      <c r="C19" s="147"/>
      <c r="D19" s="94"/>
      <c r="E19" s="95"/>
      <c r="F19" s="94"/>
      <c r="G19" s="123">
        <f>'PETI Pricing Key'!B6</f>
        <v>811</v>
      </c>
    </row>
    <row r="20" spans="1:7" ht="15.75" customHeight="1" thickBot="1">
      <c r="A20" s="184" t="s">
        <v>27</v>
      </c>
      <c r="B20" s="185"/>
      <c r="C20" s="7"/>
      <c r="D20" s="8"/>
      <c r="E20" s="7"/>
      <c r="F20" s="8"/>
      <c r="G20" s="140" t="e">
        <f>IF(G18&lt;=0, G19, G18+G19)</f>
        <v>#N/A</v>
      </c>
    </row>
    <row r="21" spans="1:7">
      <c r="A21" s="180" t="s">
        <v>28</v>
      </c>
      <c r="B21" s="181"/>
      <c r="C21" s="10"/>
      <c r="D21" s="11"/>
      <c r="E21" s="10"/>
      <c r="F21" s="11"/>
      <c r="G21" s="124"/>
    </row>
    <row r="22" spans="1:7">
      <c r="A22" s="142" t="s">
        <v>29</v>
      </c>
      <c r="B22" s="96"/>
      <c r="C22" s="96"/>
      <c r="D22" s="96"/>
      <c r="E22" s="144"/>
      <c r="F22" s="144"/>
      <c r="G22" s="141">
        <f>IF((TotalGrossIncome-G16-RoomBoard)&lt;0,0,(TotalGrossIncome-G16-RoomBoard))</f>
        <v>0</v>
      </c>
    </row>
    <row r="23" spans="1:7">
      <c r="A23" s="2" t="s">
        <v>30</v>
      </c>
      <c r="B23" s="97"/>
      <c r="C23" s="95"/>
      <c r="D23" s="94"/>
      <c r="E23" s="95"/>
      <c r="F23" s="94"/>
      <c r="G23" s="123" t="e">
        <f>IF(G22&gt;G18,(G22-G18),0)</f>
        <v>#N/A</v>
      </c>
    </row>
    <row r="24" spans="1:7" ht="13.5" thickBot="1">
      <c r="A24" s="9" t="s">
        <v>31</v>
      </c>
      <c r="B24" s="6"/>
      <c r="C24" s="7"/>
      <c r="D24" s="8"/>
      <c r="E24" s="7"/>
      <c r="F24" s="8"/>
      <c r="G24" s="129" t="e">
        <f>G23+G16</f>
        <v>#N/A</v>
      </c>
    </row>
    <row r="25" spans="1:7">
      <c r="A25" s="186" t="s">
        <v>32</v>
      </c>
      <c r="B25" s="187"/>
      <c r="C25" s="10"/>
      <c r="D25" s="23"/>
      <c r="E25" s="23"/>
      <c r="F25" s="23"/>
      <c r="G25" s="122"/>
    </row>
    <row r="26" spans="1:7">
      <c r="A26" s="223" t="s">
        <v>33</v>
      </c>
      <c r="B26" s="224"/>
      <c r="C26" s="224"/>
      <c r="D26" s="144"/>
      <c r="E26" s="144"/>
      <c r="F26" s="144"/>
      <c r="G26" s="125" t="e">
        <f>IF(B7&gt;0,(VLOOKUP(B7,'SLP Pricing Key Denver'!A2:B7,2,FALSE)*30.42))</f>
        <v>#N/A</v>
      </c>
    </row>
    <row r="27" spans="1:7">
      <c r="A27" s="142" t="s">
        <v>34</v>
      </c>
      <c r="B27" s="144"/>
      <c r="C27" s="143"/>
      <c r="D27" s="144"/>
      <c r="E27" s="98"/>
      <c r="F27" s="94"/>
      <c r="G27" s="123" t="e">
        <f>IF(ClientSLPServicePayment&lt;ServiceAmount,IF(ClientSLPServicePayment&lt;0,0,ClientSLPServicePayment),ServiceAmount)</f>
        <v>#N/A</v>
      </c>
    </row>
    <row r="28" spans="1:7">
      <c r="A28" s="188" t="s">
        <v>35</v>
      </c>
      <c r="B28" s="189"/>
      <c r="C28" s="189"/>
      <c r="D28" s="189"/>
      <c r="E28" s="189"/>
      <c r="F28" s="189"/>
      <c r="G28" s="172" t="e">
        <f>ServiceAmount-G27</f>
        <v>#N/A</v>
      </c>
    </row>
    <row r="29" spans="1:7">
      <c r="A29" s="190"/>
      <c r="B29" s="189"/>
      <c r="C29" s="189"/>
      <c r="D29" s="189"/>
      <c r="E29" s="189"/>
      <c r="F29" s="189"/>
      <c r="G29" s="173"/>
    </row>
    <row r="30" spans="1:7" ht="13.5" thickBot="1">
      <c r="A30" s="24" t="s">
        <v>36</v>
      </c>
      <c r="B30" s="7"/>
      <c r="C30" s="7"/>
      <c r="D30" s="7"/>
      <c r="E30" s="7"/>
      <c r="F30" s="8"/>
      <c r="G30" s="126" t="e">
        <f>IF(ClientSLPServicePayment&gt;ServiceAmount,0.01,IF(ClientSLPServicePayment&lt;0,VLOOKUP(B7,'SLP Pricing Key Denver'!A2:B7,2,FALSE),TRUNC(G28/30.42,3)))</f>
        <v>#N/A</v>
      </c>
    </row>
    <row r="31" spans="1:7" ht="15" customHeight="1">
      <c r="A31" s="180" t="s">
        <v>37</v>
      </c>
      <c r="B31" s="181"/>
      <c r="C31" s="181"/>
      <c r="D31" s="10"/>
      <c r="E31" s="10"/>
      <c r="F31" s="11"/>
      <c r="G31" s="54"/>
    </row>
    <row r="32" spans="1:7" ht="13.5">
      <c r="A32" s="12" t="s">
        <v>38</v>
      </c>
      <c r="B32" s="99"/>
      <c r="C32" s="99"/>
      <c r="D32" s="99"/>
      <c r="E32" s="99"/>
      <c r="F32" s="99"/>
      <c r="G32" s="13"/>
    </row>
    <row r="33" spans="1:9" ht="13.5">
      <c r="A33" s="14" t="s">
        <v>39</v>
      </c>
      <c r="B33" s="100"/>
      <c r="C33" s="101">
        <v>46023</v>
      </c>
      <c r="D33" s="144" t="s">
        <v>40</v>
      </c>
      <c r="E33" s="144"/>
      <c r="F33" s="144"/>
      <c r="G33" s="15"/>
    </row>
    <row r="34" spans="1:9" ht="13.5">
      <c r="A34" s="16" t="s">
        <v>41</v>
      </c>
      <c r="B34" s="102"/>
      <c r="C34" s="102"/>
      <c r="D34" s="102"/>
      <c r="E34" s="102"/>
      <c r="F34" s="102"/>
      <c r="G34" s="17"/>
    </row>
    <row r="35" spans="1:9">
      <c r="A35" s="18" t="s">
        <v>42</v>
      </c>
      <c r="B35" s="102"/>
      <c r="C35" s="102"/>
      <c r="D35" s="102"/>
      <c r="E35" s="102"/>
      <c r="F35" s="102"/>
      <c r="G35" s="17"/>
    </row>
    <row r="36" spans="1:9" ht="24.6" customHeight="1" thickBot="1">
      <c r="A36" s="200"/>
      <c r="B36" s="201"/>
      <c r="C36" s="201"/>
      <c r="D36" s="130"/>
      <c r="E36" s="225"/>
      <c r="F36" s="225"/>
      <c r="G36" s="226"/>
    </row>
    <row r="37" spans="1:9" ht="14.45" thickBot="1">
      <c r="A37" s="19" t="s">
        <v>43</v>
      </c>
      <c r="B37" s="20"/>
      <c r="C37" s="20"/>
      <c r="D37" s="20"/>
      <c r="E37" s="21" t="s">
        <v>44</v>
      </c>
      <c r="F37" s="20"/>
      <c r="G37" s="55"/>
      <c r="I37" s="131"/>
    </row>
    <row r="38" spans="1:9">
      <c r="A38" s="25" t="s">
        <v>45</v>
      </c>
      <c r="B38" s="26"/>
      <c r="C38" s="191" t="e">
        <f>G20</f>
        <v>#N/A</v>
      </c>
      <c r="D38" s="191"/>
      <c r="E38" s="10" t="s">
        <v>46</v>
      </c>
      <c r="F38" s="23"/>
      <c r="G38" s="56"/>
    </row>
    <row r="39" spans="1:9" ht="13.5" thickBot="1">
      <c r="A39" s="27"/>
      <c r="B39" s="28" t="s">
        <v>47</v>
      </c>
      <c r="C39" s="192" t="e">
        <f>G30</f>
        <v>#N/A</v>
      </c>
      <c r="D39" s="192"/>
      <c r="E39" s="7" t="s">
        <v>48</v>
      </c>
      <c r="F39" s="20"/>
      <c r="G39" s="57"/>
    </row>
    <row r="40" spans="1:9" ht="12.75" customHeight="1">
      <c r="A40" s="193" t="s">
        <v>49</v>
      </c>
      <c r="B40" s="194"/>
      <c r="C40" s="194"/>
      <c r="D40" s="194"/>
      <c r="E40" s="194"/>
      <c r="F40" s="194"/>
      <c r="G40" s="195"/>
    </row>
    <row r="41" spans="1:9" ht="12.75" customHeight="1" thickBot="1">
      <c r="A41" s="196"/>
      <c r="B41" s="197"/>
      <c r="C41" s="197"/>
      <c r="D41" s="197"/>
      <c r="E41" s="197"/>
      <c r="F41" s="197"/>
      <c r="G41" s="198"/>
    </row>
    <row r="42" spans="1:9">
      <c r="A42" s="199" t="s">
        <v>50</v>
      </c>
      <c r="B42" s="199"/>
      <c r="C42" s="199"/>
      <c r="D42" s="199"/>
      <c r="E42" s="199"/>
      <c r="F42" s="199"/>
      <c r="G42" s="199"/>
    </row>
  </sheetData>
  <sheetProtection algorithmName="SHA-512" hashValue="LIOXCCDfEIV4Nz5Bs5zP3yTKY9Gi03XoNKVxliu9z5RF8NtG+IOLuwkzTUer7AB7574tgvh1s08BHaOmD5dg2Q==" saltValue="Xs7cT1aSNlvdzSbNuwLLvw==" spinCount="100000" sheet="1" objects="1" scenarios="1"/>
  <mergeCells count="33">
    <mergeCell ref="A31:C31"/>
    <mergeCell ref="C38:D38"/>
    <mergeCell ref="C39:D39"/>
    <mergeCell ref="A40:G41"/>
    <mergeCell ref="A42:G42"/>
    <mergeCell ref="A36:C36"/>
    <mergeCell ref="E36:G36"/>
    <mergeCell ref="G28:G29"/>
    <mergeCell ref="A13:E13"/>
    <mergeCell ref="A14:E14"/>
    <mergeCell ref="A15:E15"/>
    <mergeCell ref="A16:E16"/>
    <mergeCell ref="A17:B17"/>
    <mergeCell ref="A18:C18"/>
    <mergeCell ref="A19:C19"/>
    <mergeCell ref="A20:B20"/>
    <mergeCell ref="A25:B25"/>
    <mergeCell ref="A26:C26"/>
    <mergeCell ref="A28:F29"/>
    <mergeCell ref="A21:B21"/>
    <mergeCell ref="A12:E12"/>
    <mergeCell ref="A1:G2"/>
    <mergeCell ref="B3:D3"/>
    <mergeCell ref="F3:G3"/>
    <mergeCell ref="B4:D4"/>
    <mergeCell ref="F4:G4"/>
    <mergeCell ref="B5:D5"/>
    <mergeCell ref="F5:G5"/>
    <mergeCell ref="B7:E7"/>
    <mergeCell ref="A8:E8"/>
    <mergeCell ref="A9:E9"/>
    <mergeCell ref="A10:E10"/>
    <mergeCell ref="A11:E11"/>
  </mergeCells>
  <dataValidations count="2">
    <dataValidation type="custom" allowBlank="1" showInputMessage="1" showErrorMessage="1" error="Tax Allowance cannot be greater than $300" sqref="G15" xr:uid="{B4E6498D-6B57-4506-ABE5-16FFBE44DC7B}">
      <formula1>G15&lt;=300</formula1>
    </dataValidation>
    <dataValidation type="list" allowBlank="1" showInputMessage="1" showErrorMessage="1" sqref="B7:E7" xr:uid="{8DD73CC1-F04B-4ED0-9EA6-CC88E6798EC2}">
      <formula1>"Select a Tier, Tier 1 (0-35), Tier 2 (36-49), Tier 3 (50-59), Tier 4 (60-69), Tier 5 (70-79), Tier 6 (80+)"</formula1>
    </dataValidation>
  </dataValidations>
  <pageMargins left="0.67361111111111116" right="0.75" top="0.92361111111111116" bottom="1" header="0.5" footer="0.5"/>
  <pageSetup orientation="portrait" r:id="rId1"/>
  <headerFooter>
    <oddHeader>&amp;L&amp;G&amp;R&amp;"Verdana,Bold"&amp;8Member Payment For Home And Community Based Services
Post Eligibility Treatment Of Income (PETI) Form</oddHeader>
    <oddFooter>&amp;R&amp;"-,Bold"&amp;9Version : 1.0
Effective Date : January 1, 2026</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2289" r:id="rId5" name="Option Button 1">
              <controlPr defaultSize="0" autoFill="0" autoLine="0" autoPict="0">
                <anchor moveWithCells="1">
                  <from>
                    <xdr:col>0</xdr:col>
                    <xdr:colOff>19050</xdr:colOff>
                    <xdr:row>0</xdr:row>
                    <xdr:rowOff>12700</xdr:rowOff>
                  </from>
                  <to>
                    <xdr:col>3</xdr:col>
                    <xdr:colOff>755650</xdr:colOff>
                    <xdr:row>2</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88164-8BF4-4502-ABF5-65ECD7450844}">
  <sheetPr codeName="Sheet2"/>
  <dimension ref="A1:N64"/>
  <sheetViews>
    <sheetView view="pageLayout" zoomScale="80" zoomScaleNormal="100" zoomScalePageLayoutView="80" workbookViewId="0">
      <selection activeCell="D9" sqref="D9"/>
    </sheetView>
  </sheetViews>
  <sheetFormatPr defaultColWidth="10.5703125" defaultRowHeight="12.95"/>
  <cols>
    <col min="1" max="1" width="11.5703125" style="44" customWidth="1"/>
    <col min="2" max="2" width="12.42578125" style="5" customWidth="1"/>
    <col min="3" max="13" width="11.5703125" style="5" customWidth="1"/>
    <col min="14" max="14" width="11.5703125" style="5" bestFit="1" customWidth="1"/>
    <col min="15" max="16384" width="10.5703125" style="5"/>
  </cols>
  <sheetData>
    <row r="1" spans="1:14" s="37" customFormat="1" ht="39">
      <c r="A1" s="35"/>
      <c r="B1" s="135" t="s">
        <v>51</v>
      </c>
    </row>
    <row r="2" spans="1:14" s="39" customFormat="1" ht="26.1">
      <c r="A2" s="38" t="s">
        <v>52</v>
      </c>
      <c r="B2" s="41">
        <v>0</v>
      </c>
    </row>
    <row r="3" spans="1:14" s="39" customFormat="1">
      <c r="A3" s="106" t="s">
        <v>53</v>
      </c>
      <c r="B3" s="41">
        <v>2.8000000000000001E-2</v>
      </c>
    </row>
    <row r="4" spans="1:14" s="39" customFormat="1">
      <c r="A4" s="38" t="s">
        <v>54</v>
      </c>
      <c r="B4" s="40">
        <v>994</v>
      </c>
      <c r="C4" s="134"/>
    </row>
    <row r="5" spans="1:14" s="39" customFormat="1" ht="26.1">
      <c r="A5" s="38" t="s">
        <v>55</v>
      </c>
      <c r="B5" s="40">
        <f>B4*3</f>
        <v>2982</v>
      </c>
    </row>
    <row r="6" spans="1:14" s="39" customFormat="1" ht="24.6" customHeight="1">
      <c r="A6" s="38" t="s">
        <v>56</v>
      </c>
      <c r="B6" s="40">
        <v>811</v>
      </c>
    </row>
    <row r="7" spans="1:14">
      <c r="A7" s="145"/>
      <c r="B7" s="144"/>
      <c r="C7" s="144"/>
      <c r="D7" s="45"/>
      <c r="E7" s="144"/>
      <c r="F7" s="144"/>
      <c r="G7" s="45"/>
      <c r="H7" s="144"/>
      <c r="I7" s="144"/>
      <c r="J7" s="144"/>
      <c r="K7" s="144"/>
      <c r="L7" s="144"/>
      <c r="M7" s="144"/>
      <c r="N7" s="144"/>
    </row>
    <row r="8" spans="1:14" ht="13.5" thickBot="1">
      <c r="A8" s="46"/>
      <c r="B8" s="144"/>
      <c r="C8" s="144"/>
      <c r="D8" s="144"/>
      <c r="E8" s="144"/>
      <c r="F8" s="144"/>
      <c r="G8" s="144"/>
      <c r="H8" s="144"/>
      <c r="I8" s="144"/>
      <c r="J8" s="144"/>
      <c r="K8" s="144"/>
      <c r="L8" s="144"/>
      <c r="M8" s="144"/>
      <c r="N8" s="47"/>
    </row>
    <row r="9" spans="1:14" ht="76.5" customHeight="1" thickBot="1">
      <c r="A9" s="145"/>
      <c r="B9" s="110" t="s">
        <v>57</v>
      </c>
      <c r="C9" s="144"/>
      <c r="D9" s="144"/>
      <c r="E9" s="144"/>
      <c r="F9" s="144"/>
      <c r="G9" s="144"/>
      <c r="H9" s="144"/>
      <c r="I9" s="144"/>
      <c r="J9" s="144"/>
      <c r="K9" s="109"/>
      <c r="L9" s="109"/>
      <c r="M9" s="144"/>
      <c r="N9" s="144"/>
    </row>
    <row r="10" spans="1:14" ht="13.5" thickBot="1">
      <c r="A10" s="145"/>
      <c r="B10" s="144"/>
      <c r="C10" s="144"/>
      <c r="D10" s="144"/>
      <c r="E10" s="144"/>
      <c r="F10" s="144"/>
      <c r="G10" s="144"/>
      <c r="H10" s="144"/>
      <c r="I10" s="144"/>
      <c r="J10" s="46"/>
      <c r="K10" s="144"/>
      <c r="L10" s="144"/>
      <c r="M10" s="144"/>
      <c r="N10" s="144"/>
    </row>
    <row r="11" spans="1:14" ht="15" customHeight="1">
      <c r="A11" s="205" t="s">
        <v>58</v>
      </c>
      <c r="B11" s="206"/>
      <c r="C11" s="206"/>
      <c r="D11" s="206"/>
      <c r="E11" s="206"/>
      <c r="F11" s="206"/>
      <c r="G11" s="206"/>
      <c r="H11" s="206"/>
      <c r="I11" s="206"/>
      <c r="J11" s="206"/>
      <c r="K11" s="206"/>
      <c r="L11" s="206"/>
      <c r="M11" s="207"/>
      <c r="N11" s="144"/>
    </row>
    <row r="12" spans="1:14" ht="12.75" customHeight="1">
      <c r="A12" s="220">
        <v>1</v>
      </c>
      <c r="B12" s="208" t="s">
        <v>59</v>
      </c>
      <c r="C12" s="209"/>
      <c r="D12" s="209"/>
      <c r="E12" s="209"/>
      <c r="F12" s="209"/>
      <c r="G12" s="209"/>
      <c r="H12" s="209"/>
      <c r="I12" s="209"/>
      <c r="J12" s="209"/>
      <c r="K12" s="209"/>
      <c r="L12" s="209"/>
      <c r="M12" s="210"/>
      <c r="N12" s="144"/>
    </row>
    <row r="13" spans="1:14">
      <c r="A13" s="220"/>
      <c r="B13" s="211"/>
      <c r="C13" s="212"/>
      <c r="D13" s="212"/>
      <c r="E13" s="212"/>
      <c r="F13" s="212"/>
      <c r="G13" s="212"/>
      <c r="H13" s="212"/>
      <c r="I13" s="212"/>
      <c r="J13" s="212"/>
      <c r="K13" s="212"/>
      <c r="L13" s="212"/>
      <c r="M13" s="213"/>
      <c r="N13" s="144"/>
    </row>
    <row r="14" spans="1:14">
      <c r="A14" s="220"/>
      <c r="B14" s="211"/>
      <c r="C14" s="212"/>
      <c r="D14" s="212"/>
      <c r="E14" s="212"/>
      <c r="F14" s="212"/>
      <c r="G14" s="212"/>
      <c r="H14" s="212"/>
      <c r="I14" s="212"/>
      <c r="J14" s="212"/>
      <c r="K14" s="212"/>
      <c r="L14" s="212"/>
      <c r="M14" s="213"/>
      <c r="N14" s="144"/>
    </row>
    <row r="15" spans="1:14" ht="2.25" customHeight="1">
      <c r="A15" s="220"/>
      <c r="B15" s="214"/>
      <c r="C15" s="215"/>
      <c r="D15" s="215"/>
      <c r="E15" s="215"/>
      <c r="F15" s="215"/>
      <c r="G15" s="215"/>
      <c r="H15" s="215"/>
      <c r="I15" s="215"/>
      <c r="J15" s="215"/>
      <c r="K15" s="215"/>
      <c r="L15" s="215"/>
      <c r="M15" s="216"/>
      <c r="N15" s="144"/>
    </row>
    <row r="16" spans="1:14" ht="12.75" customHeight="1">
      <c r="A16" s="220">
        <v>2</v>
      </c>
      <c r="B16" s="208" t="s">
        <v>60</v>
      </c>
      <c r="C16" s="209"/>
      <c r="D16" s="209"/>
      <c r="E16" s="209"/>
      <c r="F16" s="209"/>
      <c r="G16" s="209"/>
      <c r="H16" s="209"/>
      <c r="I16" s="209"/>
      <c r="J16" s="209"/>
      <c r="K16" s="209"/>
      <c r="L16" s="209"/>
      <c r="M16" s="210"/>
      <c r="N16" s="144"/>
    </row>
    <row r="17" spans="1:13" ht="16.5" customHeight="1">
      <c r="A17" s="220"/>
      <c r="B17" s="211"/>
      <c r="C17" s="212"/>
      <c r="D17" s="212"/>
      <c r="E17" s="212"/>
      <c r="F17" s="212"/>
      <c r="G17" s="212"/>
      <c r="H17" s="212"/>
      <c r="I17" s="212"/>
      <c r="J17" s="212"/>
      <c r="K17" s="212"/>
      <c r="L17" s="212"/>
      <c r="M17" s="213"/>
    </row>
    <row r="18" spans="1:13" ht="3" customHeight="1">
      <c r="A18" s="220"/>
      <c r="B18" s="214"/>
      <c r="C18" s="215"/>
      <c r="D18" s="215"/>
      <c r="E18" s="215"/>
      <c r="F18" s="215"/>
      <c r="G18" s="215"/>
      <c r="H18" s="215"/>
      <c r="I18" s="215"/>
      <c r="J18" s="215"/>
      <c r="K18" s="215"/>
      <c r="L18" s="215"/>
      <c r="M18" s="216"/>
    </row>
    <row r="19" spans="1:13" ht="12.75" customHeight="1">
      <c r="A19" s="220">
        <v>3</v>
      </c>
      <c r="B19" s="208" t="s">
        <v>61</v>
      </c>
      <c r="C19" s="209"/>
      <c r="D19" s="209"/>
      <c r="E19" s="209"/>
      <c r="F19" s="209"/>
      <c r="G19" s="209"/>
      <c r="H19" s="209"/>
      <c r="I19" s="209"/>
      <c r="J19" s="209"/>
      <c r="K19" s="209"/>
      <c r="L19" s="209"/>
      <c r="M19" s="210"/>
    </row>
    <row r="20" spans="1:13" ht="15" customHeight="1">
      <c r="A20" s="220"/>
      <c r="B20" s="211"/>
      <c r="C20" s="212"/>
      <c r="D20" s="212"/>
      <c r="E20" s="212"/>
      <c r="F20" s="212"/>
      <c r="G20" s="212"/>
      <c r="H20" s="212"/>
      <c r="I20" s="212"/>
      <c r="J20" s="212"/>
      <c r="K20" s="212"/>
      <c r="L20" s="212"/>
      <c r="M20" s="213"/>
    </row>
    <row r="21" spans="1:13" ht="15" customHeight="1">
      <c r="A21" s="220"/>
      <c r="B21" s="211"/>
      <c r="C21" s="212"/>
      <c r="D21" s="212"/>
      <c r="E21" s="212"/>
      <c r="F21" s="212"/>
      <c r="G21" s="212"/>
      <c r="H21" s="212"/>
      <c r="I21" s="212"/>
      <c r="J21" s="212"/>
      <c r="K21" s="212"/>
      <c r="L21" s="212"/>
      <c r="M21" s="213"/>
    </row>
    <row r="22" spans="1:13" ht="0.75" customHeight="1" thickBot="1">
      <c r="A22" s="221"/>
      <c r="B22" s="217"/>
      <c r="C22" s="218"/>
      <c r="D22" s="218"/>
      <c r="E22" s="218"/>
      <c r="F22" s="218"/>
      <c r="G22" s="218"/>
      <c r="H22" s="218"/>
      <c r="I22" s="218"/>
      <c r="J22" s="218"/>
      <c r="K22" s="218"/>
      <c r="L22" s="218"/>
      <c r="M22" s="219"/>
    </row>
    <row r="23" spans="1:13" ht="13.5" thickBot="1">
      <c r="A23" s="145"/>
      <c r="B23" s="144"/>
      <c r="C23" s="144"/>
      <c r="D23" s="144"/>
      <c r="E23" s="144"/>
      <c r="F23" s="144"/>
      <c r="G23" s="144"/>
      <c r="H23" s="144"/>
      <c r="I23" s="144"/>
      <c r="J23" s="144"/>
      <c r="K23" s="144"/>
      <c r="L23" s="144"/>
      <c r="M23" s="144"/>
    </row>
    <row r="24" spans="1:13" ht="14.1" customHeight="1" thickBot="1">
      <c r="A24" s="202" t="s">
        <v>62</v>
      </c>
      <c r="B24" s="203"/>
      <c r="C24" s="203"/>
      <c r="D24" s="203"/>
      <c r="E24" s="203"/>
      <c r="F24" s="203"/>
      <c r="G24" s="203"/>
      <c r="H24" s="203"/>
      <c r="I24" s="203"/>
      <c r="J24" s="203"/>
      <c r="K24" s="203"/>
      <c r="L24" s="203"/>
      <c r="M24" s="204"/>
    </row>
    <row r="25" spans="1:13" ht="26.1">
      <c r="A25" s="38"/>
      <c r="B25" s="76" t="s">
        <v>63</v>
      </c>
      <c r="C25" s="59" t="s">
        <v>64</v>
      </c>
      <c r="D25" s="74" t="s">
        <v>65</v>
      </c>
      <c r="E25" s="59" t="s">
        <v>64</v>
      </c>
      <c r="F25" s="74" t="s">
        <v>66</v>
      </c>
      <c r="G25" s="75" t="s">
        <v>64</v>
      </c>
      <c r="H25" s="76" t="s">
        <v>67</v>
      </c>
      <c r="I25" s="59" t="s">
        <v>64</v>
      </c>
      <c r="J25" s="74" t="s">
        <v>68</v>
      </c>
      <c r="K25" s="59" t="s">
        <v>64</v>
      </c>
      <c r="L25" s="74" t="s">
        <v>69</v>
      </c>
      <c r="M25" s="59" t="s">
        <v>64</v>
      </c>
    </row>
    <row r="26" spans="1:13" ht="26.1">
      <c r="A26" s="106" t="s">
        <v>52</v>
      </c>
      <c r="B26" s="111">
        <v>0</v>
      </c>
      <c r="C26" s="78" t="s">
        <v>53</v>
      </c>
      <c r="D26" s="77">
        <v>0</v>
      </c>
      <c r="E26" s="78" t="s">
        <v>53</v>
      </c>
      <c r="F26" s="77">
        <v>8.2600000000000007E-2</v>
      </c>
      <c r="G26" s="112" t="s">
        <v>53</v>
      </c>
      <c r="H26" s="111">
        <v>0.02</v>
      </c>
      <c r="I26" s="77">
        <v>0</v>
      </c>
      <c r="J26" s="77">
        <v>5.0000000000000001E-3</v>
      </c>
      <c r="K26" s="79">
        <v>0</v>
      </c>
      <c r="L26" s="79">
        <v>0</v>
      </c>
      <c r="M26" s="79">
        <v>0</v>
      </c>
    </row>
    <row r="27" spans="1:13">
      <c r="A27" s="38" t="s">
        <v>53</v>
      </c>
      <c r="B27" s="81"/>
      <c r="C27" s="79">
        <v>3.5999999999999997E-2</v>
      </c>
      <c r="D27" s="79">
        <v>0</v>
      </c>
      <c r="E27" s="79">
        <v>1.7000000000000001E-2</v>
      </c>
      <c r="F27" s="79">
        <v>0</v>
      </c>
      <c r="G27" s="80">
        <v>1.4999999999999999E-2</v>
      </c>
      <c r="H27" s="81">
        <v>0</v>
      </c>
      <c r="I27" s="79">
        <v>1.7000000000000001E-2</v>
      </c>
      <c r="J27" s="79">
        <v>0</v>
      </c>
      <c r="K27" s="79">
        <v>0</v>
      </c>
      <c r="L27" s="79">
        <v>0</v>
      </c>
      <c r="M27" s="79">
        <v>0</v>
      </c>
    </row>
    <row r="28" spans="1:13">
      <c r="A28" s="38" t="s">
        <v>54</v>
      </c>
      <c r="B28" s="84">
        <v>674</v>
      </c>
      <c r="C28" s="82">
        <f>ROUND((B28*C27)+B28,0)</f>
        <v>698</v>
      </c>
      <c r="D28" s="82">
        <f>(C28*0%)+C28</f>
        <v>698</v>
      </c>
      <c r="E28" s="82">
        <f>ROUND((D28*E27)+D28,0)</f>
        <v>710</v>
      </c>
      <c r="F28" s="82">
        <f>ROUND((E28*F27)+E28,0)</f>
        <v>710</v>
      </c>
      <c r="G28" s="83">
        <f>ROUND((E28*G27)+E28,0)</f>
        <v>721</v>
      </c>
      <c r="H28" s="84">
        <v>721</v>
      </c>
      <c r="I28" s="82">
        <v>733</v>
      </c>
      <c r="J28" s="82">
        <f>I28</f>
        <v>733</v>
      </c>
      <c r="K28" s="82">
        <v>733</v>
      </c>
      <c r="L28" s="82">
        <v>733</v>
      </c>
      <c r="M28" s="82">
        <v>733</v>
      </c>
    </row>
    <row r="29" spans="1:13" ht="26.1">
      <c r="A29" s="38" t="s">
        <v>55</v>
      </c>
      <c r="B29" s="85">
        <f>B28*300%</f>
        <v>2022</v>
      </c>
      <c r="C29" s="86">
        <f>C28*300%</f>
        <v>2094</v>
      </c>
      <c r="D29" s="86">
        <f>D28*300%</f>
        <v>2094</v>
      </c>
      <c r="E29" s="86">
        <f>E28*300%</f>
        <v>2130</v>
      </c>
      <c r="F29" s="86">
        <f>F28*300%</f>
        <v>2130</v>
      </c>
      <c r="G29" s="113">
        <f t="shared" ref="G29" si="0">G28*300%</f>
        <v>2163</v>
      </c>
      <c r="H29" s="85">
        <v>2163</v>
      </c>
      <c r="I29" s="86">
        <v>2199</v>
      </c>
      <c r="J29" s="86">
        <f>J28*300%</f>
        <v>2199</v>
      </c>
      <c r="K29" s="82">
        <v>2199</v>
      </c>
      <c r="L29" s="82">
        <v>2199</v>
      </c>
      <c r="M29" s="82">
        <v>2199</v>
      </c>
    </row>
    <row r="30" spans="1:13" ht="26.1">
      <c r="A30" s="38" t="s">
        <v>56</v>
      </c>
      <c r="B30" s="84">
        <v>618</v>
      </c>
      <c r="C30" s="86">
        <v>618</v>
      </c>
      <c r="D30" s="86">
        <f>ROUND((B30*C27)+B30,0)</f>
        <v>640</v>
      </c>
      <c r="E30" s="86">
        <f>ROUND((D30*E27)+D25:D30,0)</f>
        <v>651</v>
      </c>
      <c r="F30" s="86">
        <f>ROUND((E30*F27)+E25:E30,0)</f>
        <v>651</v>
      </c>
      <c r="G30" s="113">
        <f>ROUND((F30*G31)+F30,0)</f>
        <v>661</v>
      </c>
      <c r="H30" s="85">
        <v>661</v>
      </c>
      <c r="I30" s="86">
        <v>675</v>
      </c>
      <c r="J30" s="86">
        <v>675</v>
      </c>
      <c r="K30" s="82">
        <v>675</v>
      </c>
      <c r="L30" s="82">
        <v>675</v>
      </c>
      <c r="M30" s="82">
        <v>675</v>
      </c>
    </row>
    <row r="31" spans="1:13" ht="26.45" thickBot="1">
      <c r="A31" s="42" t="s">
        <v>70</v>
      </c>
      <c r="B31" s="114">
        <v>0</v>
      </c>
      <c r="C31" s="115">
        <v>0</v>
      </c>
      <c r="D31" s="77">
        <v>3.5999999999999997E-2</v>
      </c>
      <c r="E31" s="77">
        <v>1.7000000000000001E-2</v>
      </c>
      <c r="F31" s="78">
        <v>0</v>
      </c>
      <c r="G31" s="116">
        <v>1.4999999999999999E-2</v>
      </c>
      <c r="H31" s="117">
        <v>1.47E-2</v>
      </c>
      <c r="I31" s="87">
        <v>1.5800000000000002E-2</v>
      </c>
      <c r="J31" s="77">
        <v>0</v>
      </c>
      <c r="K31" s="79">
        <v>0</v>
      </c>
      <c r="L31" s="79">
        <v>0</v>
      </c>
      <c r="M31" s="79">
        <v>0</v>
      </c>
    </row>
    <row r="32" spans="1:13" ht="26.45" thickBot="1">
      <c r="A32" s="42" t="s">
        <v>71</v>
      </c>
      <c r="B32" s="91">
        <v>699</v>
      </c>
      <c r="C32" s="89">
        <v>699</v>
      </c>
      <c r="D32" s="88">
        <f>ROUNDUP((B32*D31)+B32,0)</f>
        <v>725</v>
      </c>
      <c r="E32" s="89">
        <f>ROUND((D32*E31)+D32,0)</f>
        <v>737</v>
      </c>
      <c r="F32" s="89">
        <f>ROUND((E32*F31)+E32,0)</f>
        <v>737</v>
      </c>
      <c r="G32" s="90">
        <f>ROUND((E32*G31)+E32,0)</f>
        <v>748</v>
      </c>
      <c r="H32" s="91">
        <v>759</v>
      </c>
      <c r="I32" s="89">
        <v>771</v>
      </c>
      <c r="J32" s="89">
        <f>ROUND((J28-H28)+H32,0)</f>
        <v>771</v>
      </c>
      <c r="K32" s="89">
        <v>771</v>
      </c>
      <c r="L32" s="89">
        <v>771</v>
      </c>
      <c r="M32" s="89">
        <v>771</v>
      </c>
    </row>
    <row r="37" spans="1:13" ht="13.5" thickBot="1">
      <c r="A37" s="145"/>
      <c r="B37" s="144"/>
      <c r="C37" s="144"/>
      <c r="D37" s="144"/>
      <c r="E37" s="144"/>
      <c r="F37" s="144"/>
      <c r="G37" s="144"/>
      <c r="H37" s="144"/>
      <c r="I37" s="144"/>
      <c r="J37" s="144"/>
      <c r="K37" s="144"/>
      <c r="L37" s="144"/>
      <c r="M37" s="144"/>
    </row>
    <row r="38" spans="1:13" ht="51.95">
      <c r="A38" s="74" t="s">
        <v>72</v>
      </c>
      <c r="B38" s="61" t="s">
        <v>64</v>
      </c>
      <c r="C38" s="76" t="s">
        <v>73</v>
      </c>
      <c r="D38" s="75" t="s">
        <v>64</v>
      </c>
      <c r="E38" s="76" t="s">
        <v>74</v>
      </c>
      <c r="F38" s="59" t="s">
        <v>64</v>
      </c>
      <c r="G38" s="59" t="s">
        <v>75</v>
      </c>
      <c r="H38" s="59" t="s">
        <v>76</v>
      </c>
      <c r="I38" s="59" t="s">
        <v>77</v>
      </c>
      <c r="J38" s="60" t="s">
        <v>78</v>
      </c>
      <c r="K38" s="74" t="s">
        <v>79</v>
      </c>
      <c r="L38" s="103">
        <v>44562</v>
      </c>
      <c r="M38" s="104">
        <v>44652</v>
      </c>
    </row>
    <row r="39" spans="1:13">
      <c r="A39" s="79">
        <v>0</v>
      </c>
      <c r="B39" s="79">
        <v>1.4019999999999999E-2</v>
      </c>
      <c r="C39" s="81">
        <v>0.25</v>
      </c>
      <c r="D39" s="80">
        <v>0</v>
      </c>
      <c r="E39" s="81">
        <v>0.01</v>
      </c>
      <c r="F39" s="79">
        <v>0</v>
      </c>
      <c r="G39" s="63">
        <v>0.08</v>
      </c>
      <c r="H39" s="62">
        <v>-0.01</v>
      </c>
      <c r="I39" s="62">
        <v>0</v>
      </c>
      <c r="J39" s="64">
        <v>0</v>
      </c>
      <c r="K39" s="79">
        <v>2.5000000000000001E-2</v>
      </c>
      <c r="L39" s="65">
        <v>0</v>
      </c>
      <c r="M39" s="105">
        <v>0</v>
      </c>
    </row>
    <row r="40" spans="1:13">
      <c r="A40" s="79">
        <v>3.0000000000000001E-3</v>
      </c>
      <c r="B40" s="79">
        <v>0.02</v>
      </c>
      <c r="C40" s="81">
        <v>0</v>
      </c>
      <c r="D40" s="80">
        <v>2.8000000000000001E-2</v>
      </c>
      <c r="E40" s="81">
        <v>0</v>
      </c>
      <c r="F40" s="79">
        <v>1.6E-2</v>
      </c>
      <c r="G40" s="62">
        <v>0</v>
      </c>
      <c r="H40" s="62">
        <v>0</v>
      </c>
      <c r="I40" s="62">
        <v>0</v>
      </c>
      <c r="J40" s="64">
        <v>0</v>
      </c>
      <c r="K40" s="79">
        <v>0</v>
      </c>
      <c r="L40" s="65">
        <v>5.8999999999999997E-2</v>
      </c>
      <c r="M40" s="105">
        <v>0</v>
      </c>
    </row>
    <row r="41" spans="1:13">
      <c r="A41" s="82">
        <v>735</v>
      </c>
      <c r="B41" s="82">
        <f>ROUND(A41*(1+B40), 0)</f>
        <v>750</v>
      </c>
      <c r="C41" s="84">
        <v>750</v>
      </c>
      <c r="D41" s="83">
        <f>ROUND(C41*(1+D40), 0)</f>
        <v>771</v>
      </c>
      <c r="E41" s="84">
        <v>771</v>
      </c>
      <c r="F41" s="82">
        <v>783</v>
      </c>
      <c r="G41" s="66">
        <v>783</v>
      </c>
      <c r="H41" s="66">
        <v>783</v>
      </c>
      <c r="I41" s="67">
        <v>794</v>
      </c>
      <c r="J41" s="68">
        <v>794</v>
      </c>
      <c r="K41" s="82">
        <v>794</v>
      </c>
      <c r="L41" s="69">
        <v>841</v>
      </c>
      <c r="M41" s="107">
        <v>841</v>
      </c>
    </row>
    <row r="42" spans="1:13">
      <c r="A42" s="82">
        <v>2205</v>
      </c>
      <c r="B42" s="82">
        <f>B41*300%</f>
        <v>2250</v>
      </c>
      <c r="C42" s="84">
        <v>2250</v>
      </c>
      <c r="D42" s="83">
        <f>D41*300%</f>
        <v>2313</v>
      </c>
      <c r="E42" s="84">
        <v>2313</v>
      </c>
      <c r="F42" s="82">
        <f>F41*300%</f>
        <v>2349</v>
      </c>
      <c r="G42" s="66">
        <f>G41*300%</f>
        <v>2349</v>
      </c>
      <c r="H42" s="66">
        <f>H41*300%</f>
        <v>2349</v>
      </c>
      <c r="I42" s="67">
        <v>2349</v>
      </c>
      <c r="J42" s="68">
        <v>2349</v>
      </c>
      <c r="K42" s="82">
        <v>2349</v>
      </c>
      <c r="L42" s="69">
        <v>2523</v>
      </c>
      <c r="M42" s="107">
        <v>2523</v>
      </c>
    </row>
    <row r="43" spans="1:13">
      <c r="A43" s="82">
        <f>ROUND((M30*A44)+M30,0)</f>
        <v>677</v>
      </c>
      <c r="B43" s="82">
        <f>A43+15</f>
        <v>692</v>
      </c>
      <c r="C43" s="84">
        <v>692</v>
      </c>
      <c r="D43" s="83">
        <v>695</v>
      </c>
      <c r="E43" s="84">
        <v>695</v>
      </c>
      <c r="F43" s="82">
        <v>700</v>
      </c>
      <c r="G43" s="66">
        <v>700</v>
      </c>
      <c r="H43" s="66">
        <v>700</v>
      </c>
      <c r="I43" s="67">
        <v>700</v>
      </c>
      <c r="J43" s="68">
        <v>700</v>
      </c>
      <c r="K43" s="82">
        <v>700</v>
      </c>
      <c r="L43" s="69">
        <v>720</v>
      </c>
      <c r="M43" s="107">
        <v>720</v>
      </c>
    </row>
    <row r="44" spans="1:13">
      <c r="A44" s="79">
        <v>3.0000000000000001E-3</v>
      </c>
      <c r="B44" s="79">
        <v>0.02</v>
      </c>
      <c r="C44" s="81">
        <v>0</v>
      </c>
      <c r="D44" s="80">
        <v>2.6649746192893401E-2</v>
      </c>
      <c r="E44" s="81">
        <v>0</v>
      </c>
      <c r="F44" s="79">
        <f>SUM(F45-E45)/E45</f>
        <v>1.4833127317676144E-2</v>
      </c>
      <c r="G44" s="62">
        <f>SUM(G45-F45)/F45</f>
        <v>0</v>
      </c>
      <c r="H44" s="62">
        <f>SUM(H45-G45)/G45</f>
        <v>0</v>
      </c>
      <c r="I44" s="62">
        <f>SUM(I45-H45)/H45</f>
        <v>1.3398294762484775E-2</v>
      </c>
      <c r="J44" s="64">
        <v>0</v>
      </c>
      <c r="K44" s="79">
        <v>0</v>
      </c>
      <c r="L44" s="65">
        <v>5.8999999999999997E-2</v>
      </c>
      <c r="M44" s="105">
        <v>0</v>
      </c>
    </row>
    <row r="45" spans="1:13" ht="13.5" thickBot="1">
      <c r="A45" s="89">
        <v>773</v>
      </c>
      <c r="B45" s="89">
        <v>788</v>
      </c>
      <c r="C45" s="91">
        <v>788</v>
      </c>
      <c r="D45" s="90">
        <f>ROUND(C45*(1+D44), 0)</f>
        <v>809</v>
      </c>
      <c r="E45" s="91">
        <v>809</v>
      </c>
      <c r="F45" s="89">
        <v>821</v>
      </c>
      <c r="G45" s="70">
        <v>821</v>
      </c>
      <c r="H45" s="70">
        <v>821</v>
      </c>
      <c r="I45" s="71">
        <v>832</v>
      </c>
      <c r="J45" s="72">
        <v>832</v>
      </c>
      <c r="K45" s="89">
        <v>832</v>
      </c>
      <c r="L45" s="73">
        <v>879</v>
      </c>
      <c r="M45" s="108">
        <v>879</v>
      </c>
    </row>
    <row r="48" spans="1:13" ht="13.5" thickBot="1">
      <c r="A48" s="145"/>
      <c r="B48" s="144"/>
      <c r="C48" s="144"/>
      <c r="D48" s="144"/>
      <c r="E48" s="144"/>
      <c r="F48" s="144"/>
      <c r="G48" s="144"/>
      <c r="H48" s="144"/>
      <c r="I48" s="144"/>
      <c r="J48" s="144"/>
      <c r="K48" s="144"/>
      <c r="L48" s="144"/>
      <c r="M48" s="144"/>
    </row>
    <row r="49" spans="1:8" ht="39">
      <c r="A49" s="74" t="s">
        <v>80</v>
      </c>
      <c r="B49" s="36" t="s">
        <v>81</v>
      </c>
      <c r="C49" s="36" t="s">
        <v>82</v>
      </c>
      <c r="D49" s="135" t="s">
        <v>83</v>
      </c>
      <c r="E49" s="135" t="s">
        <v>84</v>
      </c>
      <c r="F49" s="135" t="s">
        <v>85</v>
      </c>
      <c r="G49" s="135" t="s">
        <v>86</v>
      </c>
      <c r="H49" s="135" t="s">
        <v>87</v>
      </c>
    </row>
    <row r="50" spans="1:8">
      <c r="A50" s="41">
        <v>0.02</v>
      </c>
      <c r="B50" s="41">
        <v>0</v>
      </c>
      <c r="C50" s="41">
        <v>0.03</v>
      </c>
      <c r="D50" s="41">
        <v>0</v>
      </c>
      <c r="E50" s="41">
        <v>0.02</v>
      </c>
      <c r="F50" s="41">
        <v>0</v>
      </c>
      <c r="G50" s="41">
        <v>1.6E-2</v>
      </c>
      <c r="H50" s="41">
        <v>-1.6E-2</v>
      </c>
    </row>
    <row r="51" spans="1:8">
      <c r="A51" s="41">
        <v>0</v>
      </c>
      <c r="B51" s="41">
        <v>8.6999999999999994E-2</v>
      </c>
      <c r="C51" s="41">
        <v>0</v>
      </c>
      <c r="D51" s="41">
        <v>3.2000000000000001E-2</v>
      </c>
      <c r="E51" s="41">
        <v>0</v>
      </c>
      <c r="F51" s="41">
        <v>2.5000000000000001E-2</v>
      </c>
      <c r="G51" s="41">
        <v>0</v>
      </c>
      <c r="H51" s="41">
        <v>0</v>
      </c>
    </row>
    <row r="52" spans="1:8">
      <c r="A52" s="40">
        <v>841</v>
      </c>
      <c r="B52" s="40">
        <v>914.69</v>
      </c>
      <c r="C52" s="40">
        <v>914.69</v>
      </c>
      <c r="D52" s="40">
        <v>943</v>
      </c>
      <c r="E52" s="40">
        <v>943</v>
      </c>
      <c r="F52" s="40">
        <v>967</v>
      </c>
      <c r="G52" s="40">
        <v>967</v>
      </c>
      <c r="H52" s="40">
        <v>967</v>
      </c>
    </row>
    <row r="53" spans="1:8">
      <c r="A53" s="40">
        <v>2523</v>
      </c>
      <c r="B53" s="40">
        <f t="shared" ref="B53:G53" si="1">B52*3</f>
        <v>2744.07</v>
      </c>
      <c r="C53" s="40">
        <f t="shared" si="1"/>
        <v>2744.07</v>
      </c>
      <c r="D53" s="40">
        <f t="shared" si="1"/>
        <v>2829</v>
      </c>
      <c r="E53" s="40">
        <f t="shared" si="1"/>
        <v>2829</v>
      </c>
      <c r="F53" s="40">
        <f t="shared" si="1"/>
        <v>2901</v>
      </c>
      <c r="G53" s="40">
        <f t="shared" si="1"/>
        <v>2901</v>
      </c>
      <c r="H53" s="40">
        <f>H52*3</f>
        <v>2901</v>
      </c>
    </row>
    <row r="54" spans="1:8">
      <c r="A54" s="40">
        <v>720</v>
      </c>
      <c r="B54" s="40">
        <v>755</v>
      </c>
      <c r="C54" s="40">
        <v>755</v>
      </c>
      <c r="D54" s="40">
        <v>779</v>
      </c>
      <c r="E54" s="40">
        <v>779</v>
      </c>
      <c r="F54" s="40">
        <v>797</v>
      </c>
      <c r="G54" s="40">
        <v>797</v>
      </c>
      <c r="H54" s="40">
        <v>797</v>
      </c>
    </row>
    <row r="55" spans="1:8">
      <c r="A55" s="41">
        <v>0</v>
      </c>
      <c r="B55" s="41">
        <f>SUM(B56-A56)/A56</f>
        <v>8.3048919226393625E-2</v>
      </c>
      <c r="C55" s="41">
        <f>SUM(C56-B56)/B56</f>
        <v>0</v>
      </c>
      <c r="D55" s="136"/>
      <c r="E55" s="136"/>
      <c r="F55" s="136"/>
      <c r="G55" s="136"/>
      <c r="H55" s="136"/>
    </row>
    <row r="56" spans="1:8" ht="13.5" thickBot="1">
      <c r="A56" s="43">
        <v>879</v>
      </c>
      <c r="B56" s="43">
        <v>952</v>
      </c>
      <c r="C56" s="43">
        <v>952</v>
      </c>
      <c r="D56" s="137"/>
      <c r="E56" s="137"/>
      <c r="F56" s="137"/>
      <c r="G56" s="137"/>
      <c r="H56" s="137"/>
    </row>
    <row r="57" spans="1:8" ht="14.45">
      <c r="A57"/>
      <c r="B57"/>
      <c r="C57" s="144"/>
      <c r="D57" s="144"/>
      <c r="E57" s="144"/>
      <c r="F57" s="144"/>
      <c r="G57" s="144"/>
      <c r="H57" s="144"/>
    </row>
    <row r="58" spans="1:8" ht="14.45">
      <c r="A58"/>
      <c r="B58"/>
      <c r="C58" s="144"/>
      <c r="D58" s="144"/>
      <c r="E58" s="144"/>
      <c r="F58" s="144"/>
      <c r="G58" s="144"/>
      <c r="H58" s="144"/>
    </row>
    <row r="59" spans="1:8" ht="14.45">
      <c r="A59"/>
      <c r="B59"/>
      <c r="C59" s="144"/>
      <c r="D59" s="144"/>
      <c r="E59" s="144"/>
      <c r="F59" s="144"/>
      <c r="G59" s="144"/>
      <c r="H59" s="144"/>
    </row>
    <row r="60" spans="1:8" ht="14.45">
      <c r="A60"/>
      <c r="B60"/>
      <c r="C60" s="144"/>
      <c r="D60" s="144"/>
      <c r="E60" s="144"/>
      <c r="F60" s="144"/>
      <c r="G60" s="144"/>
      <c r="H60" s="144"/>
    </row>
    <row r="61" spans="1:8" ht="14.45">
      <c r="A61"/>
      <c r="B61"/>
      <c r="C61" s="144"/>
      <c r="D61" s="144"/>
      <c r="E61" s="144"/>
      <c r="F61" s="144"/>
      <c r="G61" s="144"/>
      <c r="H61" s="144"/>
    </row>
    <row r="62" spans="1:8" ht="14.45">
      <c r="A62"/>
      <c r="B62"/>
      <c r="C62" s="144"/>
      <c r="D62" s="144"/>
      <c r="E62" s="144"/>
      <c r="F62" s="144"/>
      <c r="G62" s="144"/>
      <c r="H62" s="144"/>
    </row>
    <row r="63" spans="1:8" ht="14.45">
      <c r="A63"/>
      <c r="B63"/>
      <c r="C63" s="144"/>
      <c r="D63" s="144"/>
      <c r="E63" s="144"/>
      <c r="F63" s="144"/>
      <c r="G63" s="144"/>
      <c r="H63" s="144"/>
    </row>
    <row r="64" spans="1:8" ht="14.45">
      <c r="A64"/>
      <c r="B64"/>
      <c r="C64" s="144"/>
      <c r="D64" s="144"/>
      <c r="E64" s="144"/>
      <c r="F64" s="144"/>
      <c r="G64" s="144"/>
      <c r="H64" s="144"/>
    </row>
  </sheetData>
  <mergeCells count="8">
    <mergeCell ref="A24:M24"/>
    <mergeCell ref="A11:M11"/>
    <mergeCell ref="B12:M15"/>
    <mergeCell ref="B16:M18"/>
    <mergeCell ref="B19:M22"/>
    <mergeCell ref="A12:A15"/>
    <mergeCell ref="A16:A18"/>
    <mergeCell ref="A19:A22"/>
  </mergeCells>
  <pageMargins left="0.7" right="0.7" top="0.75" bottom="0.75" header="0.3" footer="0.3"/>
  <pageSetup scale="80" orientation="landscape" r:id="rId1"/>
  <headerFooter>
    <oddHeader xml:space="preserve">&amp;C&amp;"Times New Roman,Bold"&amp;16PETI KEY 
&amp;"Times New Roman,Regular"&amp;10(RATE, SSI, COLA, Room and Board&amp;"Times New Roman,Bold")
</oddHeader>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6A81F-D60A-422C-A71E-CF30F0DAFB24}">
  <sheetPr codeName="Sheet3"/>
  <dimension ref="A1:L25"/>
  <sheetViews>
    <sheetView workbookViewId="0">
      <selection activeCell="D20" sqref="D20"/>
    </sheetView>
  </sheetViews>
  <sheetFormatPr defaultColWidth="10.5703125" defaultRowHeight="12.95"/>
  <cols>
    <col min="1" max="1" width="27.7109375" style="5" bestFit="1" customWidth="1"/>
    <col min="2" max="2" width="13.5703125" style="5" customWidth="1"/>
    <col min="3" max="3" width="10.5703125" style="118"/>
    <col min="4" max="6" width="10.5703125" style="5"/>
    <col min="7" max="7" width="8.5703125" style="5" customWidth="1"/>
    <col min="8" max="16384" width="10.5703125" style="5"/>
  </cols>
  <sheetData>
    <row r="1" spans="1:12" ht="13.5">
      <c r="A1" s="144" t="s">
        <v>88</v>
      </c>
      <c r="B1" s="138">
        <v>45931</v>
      </c>
      <c r="C1" s="144"/>
      <c r="D1" s="95"/>
      <c r="E1" s="109"/>
      <c r="F1" s="109"/>
      <c r="G1" s="109"/>
      <c r="H1" s="109"/>
      <c r="I1" s="109"/>
      <c r="J1" s="144"/>
      <c r="K1" s="144"/>
      <c r="L1" s="144"/>
    </row>
    <row r="2" spans="1:12" ht="13.5">
      <c r="A2" s="144" t="s">
        <v>89</v>
      </c>
      <c r="B2" s="139">
        <v>241.70999999999998</v>
      </c>
      <c r="C2" s="45"/>
      <c r="D2" s="109"/>
      <c r="E2" s="109"/>
      <c r="F2" s="109"/>
      <c r="G2" s="109"/>
      <c r="H2" s="109"/>
      <c r="I2" s="109"/>
      <c r="J2" s="144"/>
      <c r="K2" s="144"/>
      <c r="L2" s="144"/>
    </row>
    <row r="3" spans="1:12" ht="13.5">
      <c r="A3" s="144" t="s">
        <v>90</v>
      </c>
      <c r="B3" s="139">
        <v>283.96000000000004</v>
      </c>
      <c r="C3" s="45"/>
      <c r="D3" s="109"/>
      <c r="E3" s="109"/>
      <c r="F3" s="109"/>
      <c r="G3" s="109"/>
      <c r="H3" s="109"/>
      <c r="I3" s="109"/>
      <c r="J3" s="144"/>
      <c r="K3" s="144"/>
      <c r="L3" s="144"/>
    </row>
    <row r="4" spans="1:12" ht="13.5">
      <c r="A4" s="144" t="s">
        <v>91</v>
      </c>
      <c r="B4" s="139">
        <v>316.98000000000008</v>
      </c>
      <c r="C4" s="45"/>
      <c r="D4" s="109"/>
      <c r="E4" s="109"/>
      <c r="F4" s="109"/>
      <c r="G4" s="109"/>
      <c r="H4" s="109"/>
      <c r="I4" s="109"/>
      <c r="J4" s="144"/>
      <c r="K4" s="144"/>
      <c r="L4" s="144"/>
    </row>
    <row r="5" spans="1:12" ht="13.5">
      <c r="A5" s="144" t="s">
        <v>92</v>
      </c>
      <c r="B5" s="139">
        <v>380.92</v>
      </c>
      <c r="C5" s="45"/>
      <c r="D5" s="109"/>
      <c r="E5" s="109"/>
      <c r="F5" s="109"/>
      <c r="G5" s="109"/>
      <c r="H5" s="109"/>
      <c r="I5" s="109"/>
      <c r="J5" s="144"/>
      <c r="K5" s="144"/>
      <c r="L5" s="144"/>
    </row>
    <row r="6" spans="1:12" ht="13.5">
      <c r="A6" s="144" t="s">
        <v>93</v>
      </c>
      <c r="B6" s="139">
        <v>420.18</v>
      </c>
      <c r="C6" s="45"/>
      <c r="D6" s="109"/>
      <c r="E6" s="109"/>
      <c r="F6" s="109"/>
      <c r="G6" s="109"/>
      <c r="H6" s="109"/>
      <c r="I6" s="109"/>
      <c r="J6" s="144"/>
      <c r="K6" s="144"/>
      <c r="L6" s="144"/>
    </row>
    <row r="7" spans="1:12" ht="13.5">
      <c r="A7" s="144" t="s">
        <v>94</v>
      </c>
      <c r="B7" s="139">
        <v>467.89</v>
      </c>
      <c r="C7" s="45"/>
      <c r="D7" s="109"/>
      <c r="E7" s="109"/>
      <c r="F7" s="109"/>
      <c r="G7" s="109"/>
      <c r="H7" s="109"/>
      <c r="I7" s="109"/>
      <c r="J7" s="144"/>
      <c r="K7" s="144"/>
      <c r="L7" s="144"/>
    </row>
    <row r="8" spans="1:12" ht="13.5">
      <c r="A8" s="109"/>
      <c r="B8" s="119"/>
      <c r="C8" s="109"/>
      <c r="D8" s="109"/>
      <c r="E8" s="109"/>
      <c r="F8" s="109"/>
      <c r="G8" s="109"/>
      <c r="H8" s="109"/>
      <c r="I8" s="109"/>
      <c r="J8" s="144"/>
      <c r="K8" s="144"/>
      <c r="L8" s="144"/>
    </row>
    <row r="9" spans="1:12" ht="13.5">
      <c r="A9" s="144" t="s">
        <v>95</v>
      </c>
      <c r="B9" s="109"/>
      <c r="C9" s="109"/>
      <c r="D9" s="109"/>
      <c r="E9" s="109"/>
      <c r="F9" s="109"/>
      <c r="G9" s="109"/>
      <c r="H9" s="109"/>
      <c r="I9" s="109"/>
      <c r="J9" s="144"/>
      <c r="K9" s="144"/>
      <c r="L9" s="144"/>
    </row>
    <row r="11" spans="1:12" ht="13.5">
      <c r="A11" s="222" t="s">
        <v>96</v>
      </c>
      <c r="B11" s="222"/>
      <c r="C11" s="109"/>
      <c r="D11" s="109"/>
      <c r="E11" s="109"/>
      <c r="F11" s="109"/>
      <c r="G11" s="109"/>
      <c r="H11" s="109"/>
      <c r="I11" s="109"/>
      <c r="J11" s="144"/>
      <c r="K11" s="144"/>
      <c r="L11" s="144"/>
    </row>
    <row r="12" spans="1:12">
      <c r="A12" s="95" t="s">
        <v>88</v>
      </c>
      <c r="B12" s="127">
        <v>43831</v>
      </c>
      <c r="C12" s="128">
        <v>43922</v>
      </c>
      <c r="D12" s="127">
        <v>44013</v>
      </c>
      <c r="E12" s="127">
        <v>44197</v>
      </c>
      <c r="F12" s="127">
        <v>44287</v>
      </c>
      <c r="G12" s="127">
        <v>44378</v>
      </c>
      <c r="H12" s="127">
        <v>44652</v>
      </c>
      <c r="I12" s="127">
        <v>44927</v>
      </c>
      <c r="J12" s="127">
        <v>45108</v>
      </c>
      <c r="K12" s="127">
        <v>45474</v>
      </c>
      <c r="L12" s="127">
        <v>45839</v>
      </c>
    </row>
    <row r="13" spans="1:12">
      <c r="A13" s="144" t="s">
        <v>89</v>
      </c>
      <c r="B13" s="118">
        <v>199.90860000000001</v>
      </c>
      <c r="C13" s="118">
        <v>215.90280000000001</v>
      </c>
      <c r="D13" s="118">
        <v>197.91</v>
      </c>
      <c r="E13" s="118">
        <v>213.74</v>
      </c>
      <c r="F13" s="118">
        <v>197.91</v>
      </c>
      <c r="G13" s="118">
        <v>202.86</v>
      </c>
      <c r="H13" s="118">
        <v>215.03</v>
      </c>
      <c r="I13" s="118">
        <v>219.33</v>
      </c>
      <c r="J13" s="118">
        <v>233.66</v>
      </c>
      <c r="K13" s="118">
        <v>241.70999999999998</v>
      </c>
      <c r="L13" s="118">
        <v>245.58</v>
      </c>
    </row>
    <row r="14" spans="1:12">
      <c r="A14" s="144" t="s">
        <v>90</v>
      </c>
      <c r="B14" s="118">
        <v>231.94200000000001</v>
      </c>
      <c r="C14" s="118">
        <v>250.49520000000001</v>
      </c>
      <c r="D14" s="118">
        <v>229.62</v>
      </c>
      <c r="E14" s="118">
        <v>247.99</v>
      </c>
      <c r="F14" s="118">
        <v>229.62</v>
      </c>
      <c r="G14" s="118">
        <v>235.36</v>
      </c>
      <c r="H14" s="118">
        <v>249.48</v>
      </c>
      <c r="I14" s="118">
        <v>254.47</v>
      </c>
      <c r="J14" s="118">
        <v>273.51</v>
      </c>
      <c r="K14" s="118">
        <v>283.96000000000004</v>
      </c>
      <c r="L14" s="118">
        <v>288.5</v>
      </c>
    </row>
    <row r="15" spans="1:12">
      <c r="A15" s="144" t="s">
        <v>91</v>
      </c>
      <c r="B15" s="118">
        <v>257.7201</v>
      </c>
      <c r="C15" s="118">
        <v>278.33760000000007</v>
      </c>
      <c r="D15" s="118">
        <v>255.14</v>
      </c>
      <c r="E15" s="118">
        <v>275.55</v>
      </c>
      <c r="F15" s="118">
        <v>255.14</v>
      </c>
      <c r="G15" s="118">
        <v>261.52</v>
      </c>
      <c r="H15" s="118">
        <v>277.20999999999998</v>
      </c>
      <c r="I15" s="118">
        <v>282.75</v>
      </c>
      <c r="J15" s="118">
        <v>304.91000000000003</v>
      </c>
      <c r="K15" s="118">
        <v>316.98000000000008</v>
      </c>
      <c r="L15" s="118">
        <v>322.05</v>
      </c>
    </row>
    <row r="16" spans="1:12">
      <c r="A16" s="144" t="s">
        <v>92</v>
      </c>
      <c r="B16" s="118">
        <v>307.18829999999997</v>
      </c>
      <c r="C16" s="118">
        <v>331.76519999999999</v>
      </c>
      <c r="D16" s="118">
        <v>304.12</v>
      </c>
      <c r="E16" s="118">
        <v>328.45</v>
      </c>
      <c r="F16" s="118">
        <v>304.12</v>
      </c>
      <c r="G16" s="118">
        <v>311.72000000000003</v>
      </c>
      <c r="H16" s="118">
        <v>330.42</v>
      </c>
      <c r="I16" s="118">
        <v>337.03</v>
      </c>
      <c r="J16" s="118">
        <v>365.57</v>
      </c>
      <c r="K16" s="118">
        <v>380.92</v>
      </c>
      <c r="L16" s="118">
        <v>387.01</v>
      </c>
    </row>
    <row r="17" spans="1:12">
      <c r="A17" s="144" t="s">
        <v>93</v>
      </c>
      <c r="B17" s="118">
        <v>337.32510000000002</v>
      </c>
      <c r="C17" s="118">
        <v>364.31639999999999</v>
      </c>
      <c r="D17" s="118">
        <v>333.96</v>
      </c>
      <c r="E17" s="118">
        <v>360.67</v>
      </c>
      <c r="F17" s="118">
        <v>333.96</v>
      </c>
      <c r="G17" s="118">
        <v>342.31</v>
      </c>
      <c r="H17" s="118">
        <v>362.85</v>
      </c>
      <c r="I17" s="118">
        <v>370.11</v>
      </c>
      <c r="J17" s="118">
        <v>402.74</v>
      </c>
      <c r="K17" s="118">
        <v>420.18</v>
      </c>
      <c r="L17" s="118">
        <v>426.9</v>
      </c>
    </row>
    <row r="18" spans="1:12">
      <c r="A18" s="144" t="s">
        <v>94</v>
      </c>
      <c r="B18" s="118">
        <v>373.39530000000002</v>
      </c>
      <c r="C18" s="118">
        <v>403.27199999999999</v>
      </c>
      <c r="D18" s="118">
        <v>369.67</v>
      </c>
      <c r="E18" s="118">
        <v>399.24</v>
      </c>
      <c r="F18" s="118">
        <v>369.67</v>
      </c>
      <c r="G18" s="118">
        <v>378.91</v>
      </c>
      <c r="H18" s="118">
        <v>401.64</v>
      </c>
      <c r="I18" s="118">
        <v>409.67</v>
      </c>
      <c r="J18" s="118">
        <v>447.71</v>
      </c>
      <c r="K18" s="118">
        <v>467.89</v>
      </c>
      <c r="L18" s="118">
        <v>475.38</v>
      </c>
    </row>
    <row r="19" spans="1:12">
      <c r="A19" s="144"/>
      <c r="B19" s="119"/>
      <c r="D19" s="118"/>
      <c r="E19" s="118"/>
      <c r="F19" s="118"/>
      <c r="G19" s="144"/>
      <c r="H19" s="144"/>
      <c r="I19" s="144"/>
      <c r="J19" s="144"/>
      <c r="K19" s="144"/>
      <c r="L19" s="144"/>
    </row>
    <row r="20" spans="1:12">
      <c r="A20" s="144"/>
      <c r="B20" s="119"/>
      <c r="D20" s="118"/>
      <c r="E20" s="118"/>
      <c r="F20" s="118"/>
      <c r="G20" s="144"/>
      <c r="H20" s="144"/>
      <c r="I20" s="144"/>
      <c r="J20" s="144"/>
      <c r="K20" s="144"/>
      <c r="L20" s="144"/>
    </row>
    <row r="21" spans="1:12">
      <c r="A21" s="144"/>
      <c r="B21" s="119"/>
      <c r="D21" s="118"/>
      <c r="E21" s="118"/>
      <c r="F21" s="118"/>
      <c r="G21" s="144"/>
      <c r="H21" s="144"/>
      <c r="I21" s="144"/>
      <c r="J21" s="144"/>
      <c r="K21" s="144"/>
      <c r="L21" s="144"/>
    </row>
    <row r="22" spans="1:12">
      <c r="A22" s="144"/>
      <c r="B22" s="119"/>
      <c r="D22" s="118"/>
      <c r="E22" s="118"/>
      <c r="F22" s="118"/>
      <c r="G22" s="144"/>
      <c r="H22" s="144"/>
      <c r="I22" s="144"/>
      <c r="J22" s="144"/>
      <c r="K22" s="144"/>
      <c r="L22" s="144"/>
    </row>
    <row r="23" spans="1:12">
      <c r="A23" s="144"/>
      <c r="B23" s="119"/>
      <c r="D23" s="118"/>
      <c r="E23" s="118"/>
      <c r="F23" s="118"/>
      <c r="G23" s="144"/>
      <c r="H23" s="144"/>
      <c r="I23" s="144"/>
      <c r="J23" s="144"/>
      <c r="K23" s="144"/>
      <c r="L23" s="144"/>
    </row>
    <row r="24" spans="1:12">
      <c r="A24" s="144"/>
      <c r="B24" s="119"/>
      <c r="D24" s="118"/>
      <c r="E24" s="118"/>
      <c r="F24" s="118"/>
      <c r="G24" s="144"/>
      <c r="H24" s="144"/>
      <c r="I24" s="144"/>
      <c r="J24" s="144"/>
      <c r="K24" s="144"/>
      <c r="L24" s="144"/>
    </row>
    <row r="25" spans="1:12">
      <c r="A25" s="144"/>
      <c r="B25" s="119"/>
      <c r="D25" s="118"/>
      <c r="E25" s="118"/>
      <c r="F25" s="118"/>
      <c r="G25" s="144"/>
      <c r="H25" s="144"/>
      <c r="I25" s="144"/>
      <c r="J25" s="144"/>
      <c r="K25" s="144"/>
      <c r="L25" s="144"/>
    </row>
  </sheetData>
  <mergeCells count="1">
    <mergeCell ref="A11:B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755b1d7-a9b7-4be3-8953-f0f9bbbba515" xsi:nil="true"/>
    <lcf76f155ced4ddcb4097134ff3c332f xmlns="88bf42df-5a11-40b7-843f-dde3ea0d9320">
      <Terms xmlns="http://schemas.microsoft.com/office/infopath/2007/PartnerControls"/>
    </lcf76f155ced4ddcb4097134ff3c332f>
    <eClearance_x0020__x002d__x0020_2013 xmlns="88bf42df-5a11-40b7-843f-dde3ea0d9320">
      <Url>https://cohcpf.sharepoint.com/eClearance/_layouts/15/wrkstat.aspx?List=88bf42df-5a11-40b7-843f-dde3ea0d9320&amp;WorkflowInstanceName=95ae6d20-b9d3-4434-9104-3d7c74f9dfd4</Url>
      <Description>Stop</Description>
    </eClearance_x0020__x002d__x0020_2013>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2A383D07DCF1A4A9B22D7FC098ADAD1" ma:contentTypeVersion="31" ma:contentTypeDescription="Create a new document." ma:contentTypeScope="" ma:versionID="9f1070d713d49b78095bc0c9800282eb">
  <xsd:schema xmlns:xsd="http://www.w3.org/2001/XMLSchema" xmlns:xs="http://www.w3.org/2001/XMLSchema" xmlns:p="http://schemas.microsoft.com/office/2006/metadata/properties" xmlns:ns2="88bf42df-5a11-40b7-843f-dde3ea0d9320" xmlns:ns3="205bb03d-a2a2-49e0-822d-095c7bd4e585" xmlns:ns4="9755b1d7-a9b7-4be3-8953-f0f9bbbba515" targetNamespace="http://schemas.microsoft.com/office/2006/metadata/properties" ma:root="true" ma:fieldsID="ac47fbdbf346b80fae59e48a53638413" ns2:_="" ns3:_="" ns4:_="">
    <xsd:import namespace="88bf42df-5a11-40b7-843f-dde3ea0d9320"/>
    <xsd:import namespace="205bb03d-a2a2-49e0-822d-095c7bd4e585"/>
    <xsd:import namespace="9755b1d7-a9b7-4be3-8953-f0f9bbbba515"/>
    <xsd:element name="properties">
      <xsd:complexType>
        <xsd:sequence>
          <xsd:element name="documentManagement">
            <xsd:complexType>
              <xsd:all>
                <xsd:element ref="ns3:SharedWithUsers" minOccurs="0"/>
                <xsd:element ref="ns3:SharingHintHash" minOccurs="0"/>
                <xsd:element ref="ns4:SharedWithDetails" minOccurs="0"/>
                <xsd:element ref="ns4:LastSharedByUser" minOccurs="0"/>
                <xsd:element ref="ns4:LastSharedByTime" minOccurs="0"/>
                <xsd:element ref="ns2:MediaServiceMetadata" minOccurs="0"/>
                <xsd:element ref="ns2:MediaServiceFastMetadata" minOccurs="0"/>
                <xsd:element ref="ns2:MediaServiceDateTaken" minOccurs="0"/>
                <xsd:element ref="ns2:MediaServiceAutoTags" minOccurs="0"/>
                <xsd:element ref="ns2:MediaServiceOCR" minOccurs="0"/>
                <xsd:element ref="ns2:MediaServiceEventHashCode" minOccurs="0"/>
                <xsd:element ref="ns2:MediaServiceGenerationTime" minOccurs="0"/>
                <xsd:element ref="ns2:MediaServiceLocation" minOccurs="0"/>
                <xsd:element ref="ns2:MediaServiceAutoKeyPoints" minOccurs="0"/>
                <xsd:element ref="ns2:MediaServiceKeyPoints" minOccurs="0"/>
                <xsd:element ref="ns2:eClearance_x0020__x002d__x0020_2013"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bf42df-5a11-40b7-843f-dde3ea0d9320" elementFormDefault="qualified">
    <xsd:import namespace="http://schemas.microsoft.com/office/2006/documentManagement/types"/>
    <xsd:import namespace="http://schemas.microsoft.com/office/infopath/2007/PartnerControls"/>
    <xsd:element name="MediaServiceMetadata" ma:index="16" nillable="true" ma:displayName="MediaServiceMetadata" ma:description="" ma:hidden="true" ma:internalName="MediaServiceMetadata" ma:readOnly="true">
      <xsd:simpleType>
        <xsd:restriction base="dms:Note"/>
      </xsd:simpleType>
    </xsd:element>
    <xsd:element name="MediaServiceFastMetadata" ma:index="17" nillable="true" ma:displayName="MediaServiceFastMetadata" ma:description="" ma:hidden="true" ma:internalName="MediaServiceFastMetadata" ma:readOnly="true">
      <xsd:simpleType>
        <xsd:restriction base="dms:Note"/>
      </xsd:simpleType>
    </xsd:element>
    <xsd:element name="MediaServiceDateTaken" ma:index="18" nillable="true" ma:displayName="MediaServiceDateTaken" ma:description="" ma:hidden="true" ma:internalName="MediaServiceDateTaken" ma:readOnly="true">
      <xsd:simpleType>
        <xsd:restriction base="dms:Text"/>
      </xsd:simpleType>
    </xsd:element>
    <xsd:element name="MediaServiceAutoTags" ma:index="19" nillable="true" ma:displayName="MediaServiceAutoTags" ma:internalName="MediaServiceAutoTags" ma:readOnly="true">
      <xsd:simpleType>
        <xsd:restriction base="dms:Text"/>
      </xsd:simpleType>
    </xsd:element>
    <xsd:element name="MediaServiceOCR" ma:index="21" nillable="true" ma:displayName="MediaServiceOCR" ma:internalName="MediaServiceOCR" ma:readOnly="true">
      <xsd:simpleType>
        <xsd:restriction base="dms:Note">
          <xsd:maxLength value="255"/>
        </xsd:restriction>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Location" ma:index="24" nillable="true" ma:displayName="Location" ma:internalName="MediaServiceLocation" ma:readOnly="true">
      <xsd:simpleType>
        <xsd:restriction base="dms:Text"/>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element name="eClearance_x0020__x002d__x0020_2013" ma:index="28" nillable="true" ma:displayName="eClearance - 2013" ma:internalName="eClearance_x0020__x002d__x0020_2013">
      <xsd:complexType>
        <xsd:complexContent>
          <xsd:extension base="dms:URL">
            <xsd:sequence>
              <xsd:element name="Url" type="dms:ValidUrl" minOccurs="0" nillable="true"/>
              <xsd:element name="Description" type="xsd:string" nillable="true"/>
            </xsd:sequence>
          </xsd:extension>
        </xsd:complexContent>
      </xsd:complexType>
    </xsd:element>
    <xsd:element name="MediaLengthInSeconds" ma:index="29" nillable="true" ma:displayName="MediaLengthInSeconds" ma:hidden="true" ma:internalName="MediaLengthInSeconds" ma:readOnly="true">
      <xsd:simpleType>
        <xsd:restriction base="dms:Unknow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00ad1e36-3292-4be9-a1e7-e63c408760a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5bb03d-a2a2-49e0-822d-095c7bd4e585"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2" nillable="true" ma:displayName="Sharing Hint Hash"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55b1d7-a9b7-4be3-8953-f0f9bbbba515" elementFormDefault="qualified">
    <xsd:import namespace="http://schemas.microsoft.com/office/2006/documentManagement/types"/>
    <xsd:import namespace="http://schemas.microsoft.com/office/infopath/2007/PartnerControls"/>
    <xsd:element name="SharedWithDetails" ma:index="13" nillable="true" ma:displayName="Shared With Details" ma:internalName="SharedWithDetails" ma:readOnly="true">
      <xsd:simpleType>
        <xsd:restriction base="dms:Note">
          <xsd:maxLength value="255"/>
        </xsd:restriction>
      </xsd:simpleType>
    </xsd:element>
    <xsd:element name="LastSharedByUser" ma:index="14" nillable="true" ma:displayName="Last Shared By User" ma:description="" ma:internalName="LastSharedByUser" ma:readOnly="true">
      <xsd:simpleType>
        <xsd:restriction base="dms:Note">
          <xsd:maxLength value="255"/>
        </xsd:restriction>
      </xsd:simpleType>
    </xsd:element>
    <xsd:element name="LastSharedByTime" ma:index="15" nillable="true" ma:displayName="Last Shared By Time" ma:description="" ma:internalName="LastSharedByTime" ma:readOnly="true">
      <xsd:simpleType>
        <xsd:restriction base="dms:DateTime"/>
      </xsd:simpleType>
    </xsd:element>
    <xsd:element name="TaxCatchAll" ma:index="32" nillable="true" ma:displayName="Taxonomy Catch All Column" ma:hidden="true" ma:list="{049bfdc5-8783-49eb-9830-a7055166c6d7}" ma:internalName="TaxCatchAll" ma:showField="CatchAllData" ma:web="9755b1d7-a9b7-4be3-8953-f0f9bbbba5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6ED1BC-76E9-4B9D-98D1-6588DE0D89E5}"/>
</file>

<file path=customXml/itemProps2.xml><?xml version="1.0" encoding="utf-8"?>
<ds:datastoreItem xmlns:ds="http://schemas.openxmlformats.org/officeDocument/2006/customXml" ds:itemID="{35BDAE54-F676-4BE4-A694-E267C3ADFD4B}"/>
</file>

<file path=customXml/itemProps3.xml><?xml version="1.0" encoding="utf-8"?>
<ds:datastoreItem xmlns:ds="http://schemas.openxmlformats.org/officeDocument/2006/customXml" ds:itemID="{31776246-CB84-40A9-9374-08133E868E5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Austin, Miles</dc:creator>
  <cp:keywords/>
  <dc:description/>
  <cp:lastModifiedBy>Rodgers, Victoria</cp:lastModifiedBy>
  <cp:revision/>
  <dcterms:created xsi:type="dcterms:W3CDTF">2023-06-09T16:36:15Z</dcterms:created>
  <dcterms:modified xsi:type="dcterms:W3CDTF">2025-12-04T17:48:09Z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0x010100F2A383D07DCF1A4A9B22D7FC098ADAD1</vt:lpwstr>
  </property>
  <property fmtid="{D5CDD505-2E9C-101B-9397-08002B2CF9AE}" pid="3" name="MediaServiceImageTags">
    <vt:lpwstr/>
  </property>
</Properties>
</file>