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EFCA0536-7122-4742-AB95-A542B8F75F68}"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0" l="1"/>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X31" i="70" s="1"/>
  <c r="N32" i="79" s="1"/>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X67" i="69" s="1"/>
  <c r="N68" i="78" s="1"/>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X59" i="69" s="1"/>
  <c r="N60" i="78" s="1"/>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X56" i="69" s="1"/>
  <c r="N57" i="78" s="1"/>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X51" i="69" s="1"/>
  <c r="N52" i="78" s="1"/>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X48" i="69" s="1"/>
  <c r="N49" i="78" s="1"/>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X43" i="69" s="1"/>
  <c r="N44" i="78" s="1"/>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X40" i="69" s="1"/>
  <c r="N41" i="78" s="1"/>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X35" i="69" s="1"/>
  <c r="N36" i="78" s="1"/>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X32" i="69" s="1"/>
  <c r="N33" i="78" s="1"/>
  <c r="V32" i="69"/>
  <c r="O32" i="69"/>
  <c r="N32" i="69"/>
  <c r="G32" i="69"/>
  <c r="F32" i="69"/>
  <c r="B32" i="69"/>
  <c r="B33" i="78" s="1"/>
  <c r="Z31" i="69"/>
  <c r="Y31" i="69"/>
  <c r="W31" i="69"/>
  <c r="V31" i="69"/>
  <c r="O31" i="69"/>
  <c r="N31" i="69"/>
  <c r="G31" i="69"/>
  <c r="H31" i="69" s="1"/>
  <c r="F32" i="78" s="1"/>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X27" i="69" s="1"/>
  <c r="N28" i="78" s="1"/>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X19" i="69" s="1"/>
  <c r="N20" i="78" s="1"/>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X16" i="69" s="1"/>
  <c r="N17" i="78" s="1"/>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X69" i="68" s="1"/>
  <c r="N70" i="77" s="1"/>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X64" i="68" s="1"/>
  <c r="N65" i="77" s="1"/>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X56" i="68" s="1"/>
  <c r="N57" i="77" s="1"/>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X48" i="68" s="1"/>
  <c r="N49" i="77" s="1"/>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X45" i="68" s="1"/>
  <c r="N46" i="77" s="1"/>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X40" i="68" s="1"/>
  <c r="N41" i="77" s="1"/>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X32" i="68" s="1"/>
  <c r="N33" i="77" s="1"/>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X29" i="68" s="1"/>
  <c r="N30" i="77" s="1"/>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X24" i="68" s="1"/>
  <c r="N25" i="77" s="1"/>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P71" i="67" s="1"/>
  <c r="J72" i="76" s="1"/>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P63" i="67" s="1"/>
  <c r="J64" i="76" s="1"/>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P55" i="67" s="1"/>
  <c r="J56" i="76" s="1"/>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P47" i="67" s="1"/>
  <c r="J48" i="76" s="1"/>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P39" i="67" s="1"/>
  <c r="J40" i="76" s="1"/>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X26" i="67" s="1"/>
  <c r="N27" i="76" s="1"/>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P23" i="67" s="1"/>
  <c r="J24" i="76" s="1"/>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H47" i="66"/>
  <c r="F48" i="75" s="1"/>
  <c r="F47" i="66"/>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29" i="72" l="1"/>
  <c r="J30" i="81" s="1"/>
  <c r="X22" i="73"/>
  <c r="N23" i="82" s="1"/>
  <c r="X54" i="73"/>
  <c r="N55" i="82" s="1"/>
  <c r="H19" i="67"/>
  <c r="F20" i="76" s="1"/>
  <c r="X33" i="70"/>
  <c r="N34" i="79" s="1"/>
  <c r="X41" i="70"/>
  <c r="N42" i="79" s="1"/>
  <c r="X49" i="70"/>
  <c r="N50" i="79" s="1"/>
  <c r="X57" i="70"/>
  <c r="N58" i="79" s="1"/>
  <c r="X65" i="70"/>
  <c r="N66" i="79" s="1"/>
  <c r="P25" i="72"/>
  <c r="J26" i="81" s="1"/>
  <c r="X60" i="73"/>
  <c r="N61" i="82" s="1"/>
  <c r="X68" i="73"/>
  <c r="N69" i="82" s="1"/>
  <c r="P56" i="73"/>
  <c r="J57" i="82" s="1"/>
  <c r="P64" i="73"/>
  <c r="J65" i="82" s="1"/>
  <c r="X35" i="72"/>
  <c r="N36" i="81" s="1"/>
  <c r="X44" i="72"/>
  <c r="N45" i="81" s="1"/>
  <c r="X47" i="72"/>
  <c r="N48" i="81" s="1"/>
  <c r="X59" i="72"/>
  <c r="N60" i="81" s="1"/>
  <c r="X43" i="72"/>
  <c r="N44" i="81" s="1"/>
  <c r="X52" i="72"/>
  <c r="N53" i="81" s="1"/>
  <c r="X55" i="72"/>
  <c r="N56" i="81" s="1"/>
  <c r="X36" i="72"/>
  <c r="N37" i="81" s="1"/>
  <c r="X39" i="72"/>
  <c r="N40" i="81" s="1"/>
  <c r="X51" i="72"/>
  <c r="N52" i="81" s="1"/>
  <c r="X60" i="72"/>
  <c r="N61" i="81" s="1"/>
  <c r="X63" i="72"/>
  <c r="N64" i="81" s="1"/>
  <c r="P15" i="71"/>
  <c r="J16" i="80" s="1"/>
  <c r="P31" i="71"/>
  <c r="J32" i="80" s="1"/>
  <c r="P39" i="71"/>
  <c r="J40" i="80" s="1"/>
  <c r="P47" i="71"/>
  <c r="J48" i="80" s="1"/>
  <c r="P55" i="71"/>
  <c r="J56" i="80" s="1"/>
  <c r="P63" i="71"/>
  <c r="J64" i="80" s="1"/>
  <c r="P71" i="71"/>
  <c r="J72" i="80" s="1"/>
  <c r="X67" i="71"/>
  <c r="N68" i="80" s="1"/>
  <c r="P21" i="71"/>
  <c r="J22" i="80" s="1"/>
  <c r="P29" i="71"/>
  <c r="J30" i="80" s="1"/>
  <c r="P37" i="71"/>
  <c r="J38" i="80" s="1"/>
  <c r="P45" i="71"/>
  <c r="J46" i="80" s="1"/>
  <c r="P53" i="71"/>
  <c r="J54" i="80" s="1"/>
  <c r="P61" i="71"/>
  <c r="J62" i="80" s="1"/>
  <c r="P69" i="71"/>
  <c r="J70" i="80" s="1"/>
  <c r="H31" i="71"/>
  <c r="F32" i="80" s="1"/>
  <c r="H39" i="71"/>
  <c r="F40" i="80" s="1"/>
  <c r="H47" i="71"/>
  <c r="F48" i="80" s="1"/>
  <c r="H55" i="71"/>
  <c r="F56" i="80" s="1"/>
  <c r="H63" i="71"/>
  <c r="F64" i="80" s="1"/>
  <c r="X36" i="70"/>
  <c r="N37" i="79" s="1"/>
  <c r="X60" i="70"/>
  <c r="N61" i="79" s="1"/>
  <c r="X68" i="70"/>
  <c r="N69" i="79" s="1"/>
  <c r="X39" i="70"/>
  <c r="N40" i="79" s="1"/>
  <c r="X47" i="70"/>
  <c r="N48" i="79" s="1"/>
  <c r="X55" i="70"/>
  <c r="N56" i="79" s="1"/>
  <c r="X63" i="70"/>
  <c r="N64" i="79" s="1"/>
  <c r="X71" i="70"/>
  <c r="N72" i="79" s="1"/>
  <c r="P33" i="70"/>
  <c r="J34" i="79" s="1"/>
  <c r="P41" i="70"/>
  <c r="J42" i="79" s="1"/>
  <c r="P49" i="70"/>
  <c r="J50" i="79" s="1"/>
  <c r="P57" i="70"/>
  <c r="J58" i="79" s="1"/>
  <c r="P65" i="70"/>
  <c r="J66" i="79" s="1"/>
  <c r="H39" i="69"/>
  <c r="F40" i="78" s="1"/>
  <c r="X72" i="69"/>
  <c r="N73" i="78" s="1"/>
  <c r="H44" i="68"/>
  <c r="F45" i="77" s="1"/>
  <c r="X72" i="68"/>
  <c r="N73" i="77"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X18" i="71"/>
  <c r="N19" i="80" s="1"/>
  <c r="X26" i="71"/>
  <c r="N27" i="80" s="1"/>
  <c r="X30" i="71"/>
  <c r="N31" i="80" s="1"/>
  <c r="X34" i="71"/>
  <c r="N35" i="80" s="1"/>
  <c r="X42" i="71"/>
  <c r="N43" i="80" s="1"/>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N73" i="65" s="1"/>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H42" i="65" l="1"/>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P22" i="38"/>
  <c r="Z22" i="38" s="1"/>
  <c r="U17" i="38"/>
  <c r="P17" i="38"/>
  <c r="Z27" i="38" l="1"/>
  <c r="Z17"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4" i="50"/>
  <c r="J20" i="38"/>
  <c r="J21" i="50" s="1"/>
  <c r="J20" i="50"/>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30" i="36"/>
  <c r="B31" i="36"/>
  <c r="B32" i="36"/>
  <c r="B33" i="36"/>
  <c r="B34" i="36"/>
  <c r="B35" i="36"/>
  <c r="B36" i="36"/>
  <c r="B37" i="36"/>
  <c r="B38" i="36"/>
  <c r="B39" i="36"/>
  <c r="B40" i="36"/>
  <c r="B41" i="36"/>
  <c r="B42" i="36"/>
  <c r="B43" i="36"/>
  <c r="B44" i="36"/>
  <c r="B45" i="36"/>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P67" i="47" s="1"/>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X54" i="47" l="1"/>
  <c r="N55" i="35" s="1"/>
  <c r="P69" i="46"/>
  <c r="J70" i="34" s="1"/>
  <c r="H66" i="46"/>
  <c r="F67" i="34" s="1"/>
  <c r="H49" i="46"/>
  <c r="F5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J27" i="41" l="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G22" i="30"/>
  <c r="H22"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F89" i="29"/>
  <c r="L90" i="40"/>
  <c r="U89" i="40"/>
  <c r="J54" i="29"/>
  <c r="J82" i="29"/>
  <c r="I86" i="29"/>
  <c r="J86" i="29" s="1"/>
  <c r="K22" i="41"/>
  <c r="K27" i="41" s="1"/>
  <c r="I24" i="40" s="1"/>
  <c r="G23" i="30"/>
  <c r="H23" i="30" s="1"/>
  <c r="H28"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E24" i="29" l="1"/>
  <c r="E25" i="29" s="1"/>
  <c r="I25" i="40"/>
  <c r="I33" i="40" s="1"/>
  <c r="H96" i="29"/>
  <c r="G30" i="33"/>
  <c r="G31" i="33" s="1"/>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2" i="20"/>
  <c r="H28" i="20" s="1"/>
  <c r="H23" i="20"/>
  <c r="H24" i="20"/>
  <c r="H27" i="20" l="1"/>
  <c r="F23" i="2"/>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<sst xmlns="http://schemas.openxmlformats.org/spreadsheetml/2006/main" count="3788" uniqueCount="1006">
  <si>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</si>
  <si>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</si>
  <si>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</si>
  <si>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</si>
  <si>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</si>
  <si>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</si>
  <si>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</si>
  <si>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</si>
  <si>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</si>
  <si>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</si>
  <si>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</si>
  <si>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</si>
  <si>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</si>
  <si>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</si>
  <si>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</si>
  <si>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</si>
  <si>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</si>
  <si>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</si>
  <si>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</si>
  <si>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</si>
  <si>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</si>
  <si>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</si>
  <si>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</si>
  <si>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</si>
  <si>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</si>
  <si>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</si>
  <si>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</si>
  <si>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</si>
  <si>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</si>
  <si>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</si>
  <si>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</si>
  <si>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</si>
  <si>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</si>
  <si>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</si>
  <si>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</si>
  <si>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</si>
  <si>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</si>
  <si>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</si>
  <si>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</si>
  <si>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</si>
  <si>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</si>
  <si>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</si>
  <si>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</si>
  <si>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</si>
  <si>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</si>
  <si>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</si>
  <si>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</si>
  <si>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</si>
  <si>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</si>
  <si>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</si>
  <si>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</si>
  <si>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</si>
  <si>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</si>
  <si>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</si>
  <si>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</si>
  <si>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</si>
  <si>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</si>
  <si>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</si>
  <si>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</si>
  <si>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</si>
  <si>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</si>
  <si>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</si>
  <si>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</si>
  <si>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</si>
  <si>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</si>
  <si>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</si>
  <si>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</si>
  <si>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</si>
  <si>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</si>
  <si>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</si>
  <si>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</si>
  <si>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</si>
  <si>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</si>
  <si>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</si>
  <si>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</si>
  <si>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</si>
  <si>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</si>
  <si>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</si>
  <si>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</si>
  <si>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</si>
  <si>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</si>
  <si>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</si>
  <si>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</si>
  <si>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</si>
  <si>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</si>
  <si>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</si>
  <si>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</si>
  <si>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</si>
  <si>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</si>
  <si>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</si>
  <si>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</si>
  <si>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</si>
  <si>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</si>
  <si>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</si>
  <si>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</si>
  <si>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</si>
  <si>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</si>
  <si>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</si>
  <si>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</si>
  <si>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</si>
  <si>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</si>
  <si>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</si>
  <si>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</si>
  <si>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</si>
  <si>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</si>
  <si>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</si>
  <si>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</si>
  <si>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</si>
  <si>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</si>
  <si>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</si>
  <si>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</si>
  <si>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</si>
  <si>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</si>
  <si>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</si>
  <si>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</si>
  <si>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</si>
  <si>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</si>
  <si>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</si>
  <si>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</si>
  <si>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</si>
  <si>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</si>
  <si>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</si>
  <si>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</si>
  <si>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</si>
  <si>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</si>
  <si>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</si>
  <si>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</si>
  <si>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</si>
  <si>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</si>
  <si>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</si>
  <si>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</si>
  <si>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</si>
  <si>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</si>
  <si>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</si>
  <si>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</si>
  <si>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</si>
  <si>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</si>
  <si>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</si>
  <si>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</si>
  <si>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</si>
  <si>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</si>
  <si>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</si>
  <si>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</si>
  <si>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</si>
  <si>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</si>
  <si>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</si>
  <si>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</si>
  <si>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</si>
  <si>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</si>
  <si>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</si>
  <si>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</si>
  <si>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</si>
  <si>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</si>
  <si>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</si>
  <si>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</si>
  <si>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</si>
  <si>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</si>
  <si>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</si>
  <si>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</si>
  <si>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</si>
  <si>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</si>
  <si>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</si>
  <si>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</si>
  <si>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</si>
  <si>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</si>
  <si>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</si>
  <si>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</si>
  <si>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</si>
  <si>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</si>
  <si>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</si>
  <si>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</si>
  <si>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</si>
  <si>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</si>
  <si>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</si>
  <si>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</si>
  <si>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</si>
  <si>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</si>
  <si>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</si>
  <si>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</si>
  <si>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</si>
  <si>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</si>
  <si>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</si>
  <si>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</si>
  <si>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</si>
  <si>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</si>
  <si>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</si>
  <si>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</si>
  <si>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</si>
  <si>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</si>
  <si>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</si>
  <si>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</si>
  <si>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</si>
  <si>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</si>
  <si>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</si>
  <si>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</si>
  <si>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</si>
  <si>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</si>
  <si>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</si>
  <si>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</si>
  <si>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</si>
  <si>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</si>
  <si>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</si>
  <si>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</si>
  <si>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</si>
  <si>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</si>
  <si>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</si>
  <si>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</si>
  <si>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</si>
  <si>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</si>
  <si>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</si>
  <si>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</si>
  <si>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</si>
  <si>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</si>
  <si>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</si>
  <si>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</si>
  <si>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</si>
  <si>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</si>
  <si>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</si>
  <si>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</si>
  <si>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</si>
  <si>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</si>
  <si>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</si>
  <si>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</si>
  <si>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</si>
  <si>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</si>
  <si>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</si>
  <si>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</si>
  <si>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</si>
  <si>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</si>
  <si>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</si>
  <si>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</si>
  <si>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</si>
  <si>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</si>
  <si>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</si>
  <si>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</si>
  <si>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</si>
  <si>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</si>
  <si>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</si>
  <si>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</si>
  <si>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</si>
  <si>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</si>
  <si>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</si>
  <si>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</si>
  <si>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</si>
  <si>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</si>
  <si>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</si>
  <si>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</si>
  <si>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</si>
  <si>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</si>
  <si>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</si>
  <si>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</si>
  <si>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</si>
  <si>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</si>
  <si>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</si>
  <si>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</si>
  <si>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</si>
  <si>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</si>
  <si>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</si>
  <si>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</si>
  <si>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</si>
  <si>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</si>
  <si>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</si>
  <si>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</si>
  <si>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</si>
  <si>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</si>
  <si>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</si>
  <si>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</si>
  <si>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</si>
  <si>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</si>
  <si>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</si>
  <si>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</si>
  <si>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</si>
  <si>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</si>
  <si>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</si>
  <si>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</si>
  <si>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</si>
  <si>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</si>
  <si>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</si>
  <si>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</si>
  <si>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</si>
  <si>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</si>
  <si>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</si>
  <si>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</si>
  <si>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</si>
  <si>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</si>
  <si>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</si>
  <si>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</si>
  <si>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</si>
  <si>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</si>
  <si>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</si>
  <si>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</si>
  <si>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</si>
  <si>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</si>
  <si>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</si>
  <si>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</si>
  <si>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</si>
  <si>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</si>
  <si>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</si>
  <si>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</si>
  <si>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</si>
  <si>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</si>
  <si>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</si>
  <si>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</si>
  <si>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</si>
  <si>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</si>
  <si>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</si>
  <si>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</si>
  <si>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</si>
  <si>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</si>
  <si>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</si>
  <si>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</si>
  <si>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</si>
  <si>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</si>
  <si>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</si>
  <si>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</si>
  <si>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</si>
  <si>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</si>
  <si>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</si>
  <si>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</si>
  <si>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</si>
  <si>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</si>
  <si>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</si>
  <si>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</si>
  <si>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</si>
  <si>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</si>
  <si>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</si>
  <si>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</si>
  <si>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</si>
  <si>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</si>
  <si>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</si>
  <si>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</si>
  <si>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</si>
  <si>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</si>
  <si>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</si>
  <si>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</si>
  <si>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</si>
  <si>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</si>
  <si>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</si>
  <si>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</si>
  <si>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</si>
  <si>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</si>
  <si>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</si>
  <si>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</si>
  <si>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</si>
  <si>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</si>
  <si>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</si>
  <si>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</si>
  <si>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</si>
  <si>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</si>
  <si>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</si>
  <si>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</si>
  <si>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</si>
  <si>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</si>
  <si>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</si>
  <si>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</si>
  <si>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</si>
  <si>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</si>
  <si>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</si>
  <si>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</si>
  <si>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</si>
  <si>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</si>
  <si>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</si>
  <si>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</si>
  <si>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</si>
  <si>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</si>
  <si>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</si>
  <si>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</si>
  <si>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</si>
  <si>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</si>
  <si>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</si>
  <si>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</si>
  <si>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</si>
  <si>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</si>
  <si>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</si>
  <si>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</si>
  <si>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</si>
  <si>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</si>
  <si>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</si>
  <si>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</si>
  <si>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</si>
  <si>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</si>
  <si>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</si>
  <si>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</si>
  <si>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</si>
  <si>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</si>
  <si>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</si>
  <si>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</si>
  <si>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</si>
  <si>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</si>
  <si>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</si>
  <si>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</si>
  <si>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</si>
  <si>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</si>
  <si>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</si>
  <si>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</si>
  <si>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</si>
  <si>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</si>
  <si>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</si>
  <si>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</si>
  <si>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</si>
  <si>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</si>
  <si>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</si>
  <si>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</si>
  <si>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</si>
  <si>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</si>
  <si>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</si>
  <si>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</si>
  <si>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</si>
  <si>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</si>
  <si>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</si>
  <si>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</si>
  <si>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</si>
  <si>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</si>
  <si>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</si>
  <si>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</si>
  <si>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</si>
  <si>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</si>
  <si>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</si>
  <si>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</si>
  <si>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</si>
  <si>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</si>
  <si>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</si>
  <si>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</si>
  <si>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</si>
  <si>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</si>
  <si>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</si>
  <si>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</si>
  <si>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</si>
  <si>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</si>
  <si>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</si>
  <si>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</si>
  <si>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</si>
  <si>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</si>
  <si>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</si>
  <si>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</si>
  <si>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</si>
  <si>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</si>
  <si>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</si>
  <si>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</si>
  <si>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</si>
  <si>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</si>
  <si>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</si>
  <si>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</si>
  <si>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</si>
  <si>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</si>
  <si>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</si>
  <si>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</si>
  <si>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</si>
  <si>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</si>
  <si>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</si>
  <si>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</si>
  <si>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</si>
  <si>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</si>
  <si>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</si>
  <si>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</si>
  <si>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</si>
  <si>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</si>
  <si>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</si>
  <si>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</si>
  <si>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</si>
  <si>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</si>
  <si>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</si>
  <si>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</si>
  <si>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</si>
  <si>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</si>
  <si>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</si>
  <si>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</si>
  <si>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</si>
  <si>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</si>
  <si>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</si>
  <si>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</si>
  <si>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</si>
  <si>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</si>
  <si>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</si>
  <si>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</si>
  <si>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</si>
  <si>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</si>
  <si>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</si>
  <si>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</si>
  <si>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</si>
  <si>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</si>
  <si>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</si>
  <si>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</si>
  <si>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</si>
  <si>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</si>
  <si>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</si>
  <si>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</si>
  <si>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</si>
  <si>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</si>
  <si>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</si>
  <si>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</si>
  <si>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</si>
  <si>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</si>
  <si>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</si>
  <si>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</si>
  <si>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</si>
  <si>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</si>
  <si>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</si>
  <si>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</si>
  <si>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</si>
  <si>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</si>
  <si>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</si>
  <si>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</si>
  <si>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</si>
  <si>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</si>
  <si>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</si>
  <si>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</si>
  <si>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</si>
  <si>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</si>
  <si>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</si>
  <si>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</si>
  <si>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</si>
  <si>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</si>
  <si>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</si>
  <si>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</si>
  <si>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</si>
  <si>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</si>
  <si>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</si>
  <si>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</si>
  <si>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</si>
  <si>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</si>
  <si>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</si>
  <si>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</si>
  <si>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</si>
  <si>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</si>
  <si>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</si>
  <si>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</si>
  <si>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</si>
  <si>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</si>
  <si>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</si>
  <si>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</si>
  <si>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</si>
  <si>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</si>
  <si>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</si>
  <si>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</si>
  <si>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</si>
  <si>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</si>
  <si>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</si>
  <si>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</si>
  <si>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</si>
  <si>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</si>
  <si>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</si>
  <si>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</si>
  <si>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</si>
  <si>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</si>
  <si>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</si>
  <si>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</si>
  <si>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</si>
  <si>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</si>
  <si>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</si>
  <si>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</si>
  <si>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</si>
  <si>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</si>
  <si>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</si>
  <si>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</si>
  <si>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</si>
  <si>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</si>
  <si>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</si>
  <si>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</si>
  <si>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</si>
  <si>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</si>
  <si>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</si>
  <si>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</si>
  <si>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</si>
  <si>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</si>
  <si>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</si>
  <si>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</si>
  <si>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</si>
  <si>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</si>
  <si>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</si>
  <si>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</si>
  <si>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</si>
  <si>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</si>
  <si>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</si>
  <si>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</si>
  <si>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</si>
  <si>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</si>
  <si>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</si>
  <si>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</si>
  <si>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</si>
  <si>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</si>
  <si>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</si>
  <si>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</si>
  <si>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</si>
  <si>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</si>
  <si>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</si>
  <si>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</si>
  <si>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</si>
  <si>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</si>
  <si>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</si>
  <si>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</si>
  <si>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</si>
  <si>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</si>
  <si>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</si>
  <si>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</si>
  <si>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</si>
  <si>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</si>
  <si>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</si>
  <si>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</si>
  <si>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</si>
  <si>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</si>
  <si>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</si>
  <si>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</si>
  <si>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</si>
  <si>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</si>
  <si>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</si>
  <si>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</si>
  <si>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</si>
  <si>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</si>
  <si>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</si>
  <si>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</si>
  <si>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</si>
  <si>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</si>
  <si>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</si>
  <si>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</si>
  <si>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</si>
  <si>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</si>
  <si>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</si>
  <si>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</si>
  <si>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</si>
  <si>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</si>
  <si>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</si>
  <si>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</si>
  <si>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</si>
  <si>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</si>
  <si>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</si>
  <si>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</si>
  <si>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</si>
  <si>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</si>
  <si>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</si>
  <si>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</si>
  <si>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</si>
  <si>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</si>
  <si>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</si>
  <si>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</si>
  <si>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</si>
  <si>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</si>
  <si>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</si>
  <si>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</si>
  <si>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</si>
  <si>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</si>
  <si>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</si>
  <si>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</si>
  <si>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</si>
  <si>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</si>
  <si>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</si>
  <si>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</si>
  <si>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</si>
  <si>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</si>
  <si>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</si>
  <si>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</si>
  <si>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</si>
  <si>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</si>
  <si>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</si>
  <si>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</si>
  <si>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</si>
  <si>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</si>
  <si>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</si>
  <si>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</si>
  <si>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</si>
  <si>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</si>
  <si>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</si>
  <si>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</si>
  <si>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</si>
  <si>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</si>
  <si>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</si>
  <si>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</si>
  <si>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</si>
  <si>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</si>
  <si>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</si>
  <si>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</si>
  <si>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</si>
  <si>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</si>
  <si>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</si>
  <si>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</si>
  <si>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</si>
  <si>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</si>
  <si>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</si>
  <si>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</si>
  <si>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</si>
  <si>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</si>
  <si>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</si>
  <si>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</si>
  <si>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</si>
  <si>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</si>
  <si>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</si>
  <si>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</si>
  <si>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</si>
  <si>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</si>
  <si>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</si>
  <si>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</si>
  <si>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</si>
  <si>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</si>
  <si>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</si>
  <si>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</si>
  <si>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</si>
  <si>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</si>
  <si>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</si>
  <si>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</si>
  <si>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</si>
  <si>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</si>
  <si>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</si>
  <si>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</si>
  <si>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</si>
  <si>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</si>
  <si>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</si>
  <si>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</si>
  <si>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</si>
  <si>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</si>
  <si>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</si>
  <si>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</si>
  <si>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</si>
  <si>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</si>
  <si>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</si>
  <si>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</si>
  <si>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</si>
  <si>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</si>
  <si>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</si>
  <si>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</si>
  <si>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</si>
  <si>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</si>
  <si>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</si>
  <si>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</si>
  <si>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</si>
  <si>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</si>
  <si>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</si>
  <si>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</si>
  <si>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</si>
  <si>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</si>
  <si>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</si>
  <si>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</si>
  <si>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</si>
  <si>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</si>
  <si>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</si>
  <si>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</si>
  <si>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</si>
  <si>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</si>
  <si>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</si>
  <si>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</si>
  <si>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</si>
  <si>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</si>
  <si>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</si>
  <si>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</si>
  <si>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</si>
  <si>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</si>
  <si>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</si>
  <si>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</si>
  <si>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</si>
  <si>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</si>
  <si>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</si>
  <si>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</si>
  <si>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</si>
  <si>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</si>
  <si>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</si>
  <si>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</si>
  <si>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</si>
  <si>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</si>
  <si>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</si>
  <si>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</si>
  <si>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</si>
  <si>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</si>
  <si>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</si>
  <si>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</si>
  <si>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</si>
  <si>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</si>
  <si>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</si>
  <si>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</si>
  <si>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</si>
  <si>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</si>
  <si>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</si>
  <si>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</si>
  <si>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</si>
  <si>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</si>
  <si>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</si>
  <si>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</si>
  <si>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</si>
  <si>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</si>
  <si>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</si>
  <si>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</si>
  <si>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</si>
  <si>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</si>
  <si>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</si>
  <si>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</si>
  <si>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</si>
  <si>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</si>
  <si>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</si>
  <si>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</si>
  <si>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</si>
  <si>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</si>
  <si>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</si>
  <si>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</si>
  <si>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</si>
  <si>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</si>
  <si>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</si>
  <si>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</si>
  <si>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</si>
  <si>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</si>
  <si>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</si>
  <si>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</si>
  <si>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</si>
  <si>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</si>
  <si>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</si>
  <si>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</si>
  <si>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</si>
  <si>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</si>
  <si>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</si>
  <si>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</si>
  <si>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</si>
  <si>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</si>
  <si>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</si>
  <si>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</si>
  <si>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</si>
  <si>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</si>
  <si>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</si>
  <si>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</si>
  <si>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</si>
  <si>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</si>
  <si>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</si>
  <si>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</si>
  <si>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</si>
  <si>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</si>
  <si>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</si>
  <si>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</si>
  <si>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</si>
  <si>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</si>
  <si>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</si>
  <si>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</si>
  <si>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</si>
  <si>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</si>
  <si>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</si>
  <si>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</si>
  <si>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</si>
  <si>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</si>
  <si>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</si>
  <si>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</si>
  <si>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</si>
  <si>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</si>
  <si>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</si>
  <si>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</si>
  <si>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</si>
  <si>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</si>
  <si>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</si>
  <si>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</si>
  <si>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</si>
  <si>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</si>
  <si>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</si>
  <si>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</si>
  <si>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</si>
  <si>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</si>
  <si>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</si>
  <si>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</si>
  <si>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</si>
  <si>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</si>
  <si>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</si>
  <si>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</si>
  <si>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</si>
  <si>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</si>
  <si>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</si>
  <si>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</si>
  <si>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</si>
  <si>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</si>
  <si>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</si>
  <si>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</si>
  <si>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</si>
  <si>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</si>
  <si>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</si>
  <si>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</si>
  <si>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</si>
  <si>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</si>
  <si>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</si>
  <si>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</si>
  <si>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</si>
  <si>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</si>
  <si>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</si>
  <si>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</si>
  <si>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</si>
  <si>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</si>
  <si>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</si>
  <si>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</si>
  <si>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</si>
  <si>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</si>
  <si>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</si>
  <si>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</si>
  <si>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</si>
  <si>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</si>
  <si>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</si>
  <si>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</si>
  <si>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</si>
  <si>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</si>
  <si>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</si>
  <si>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</si>
  <si>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</si>
  <si>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</si>
  <si>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</si>
  <si>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</si>
  <si>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</si>
  <si>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</si>
  <si>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</si>
  <si>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</si>
  <si>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</si>
  <si>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</si>
  <si>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</si>
  <si>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</si>
  <si>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</si>
  <si>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</si>
  <si>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</si>
  <si>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</si>
  <si>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</si>
  <si>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</si>
  <si>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</si>
  <si>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</si>
  <si>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</si>
  <si>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</si>
  <si>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</si>
  <si>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</si>
  <si>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</si>
  <si>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</si>
  <si>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</si>
  <si>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</si>
  <si>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</si>
  <si>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</si>
  <si>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</si>
  <si>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</si>
  <si>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</si>
  <si>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</si>
  <si>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</si>
  <si>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</si>
  <si>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</si>
  <si>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</si>
  <si>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</si>
  <si>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</si>
  <si>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</si>
  <si>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Mind Springs Health</t>
  </si>
  <si>
    <t>None.</t>
  </si>
  <si>
    <t>Reclassify Severance Expense to Unallowable</t>
  </si>
  <si>
    <t>200.1a</t>
  </si>
  <si>
    <t>Reclassify Investment Costs to Unallowable</t>
  </si>
  <si>
    <t>Reclassify Unallowable Lobbying Expense to Column 6</t>
  </si>
  <si>
    <t>Properly Report FTEs on Schedule 1</t>
  </si>
  <si>
    <t>Properly Report Unduplicated Client Count on Schedule 1</t>
  </si>
  <si>
    <t>Properly Report Indirect Expense</t>
  </si>
  <si>
    <t>Properly Report Outpatient Services Programs on Schedule 2C</t>
  </si>
  <si>
    <t>2C</t>
  </si>
  <si>
    <t>Properly Report Census Days on Schedule 3</t>
  </si>
  <si>
    <t>1a</t>
  </si>
  <si>
    <t>1b</t>
  </si>
  <si>
    <t>2a</t>
  </si>
  <si>
    <t>3a</t>
  </si>
  <si>
    <t>Properly Report Total Encounters on Schedule 4</t>
  </si>
  <si>
    <t xml:space="preserve">                     -  </t>
  </si>
  <si>
    <t>Chief Medical Officer</t>
  </si>
  <si>
    <t>Chief Operating Officer</t>
  </si>
  <si>
    <t>CEO</t>
  </si>
  <si>
    <t>Total costs combined per column and allocated based upon costs</t>
  </si>
  <si>
    <t>Yes</t>
  </si>
  <si>
    <t>Intercompany Lease of Property</t>
  </si>
  <si>
    <t>Crisis</t>
  </si>
  <si>
    <t>Emergency Services</t>
  </si>
  <si>
    <t>Co Responders</t>
  </si>
  <si>
    <t>Consultative and Education</t>
  </si>
  <si>
    <t>Gun Violence Prevention</t>
  </si>
  <si>
    <t>Hospital Alternatives</t>
  </si>
  <si>
    <t>Mental Health Navigators</t>
  </si>
  <si>
    <t>Mental Health First Aid</t>
  </si>
  <si>
    <t>School Based Mental Health</t>
  </si>
  <si>
    <t>Case Management</t>
  </si>
  <si>
    <t>CCBHC</t>
  </si>
  <si>
    <t>Day Treatment</t>
  </si>
  <si>
    <t>Early Childhood Mental Health</t>
  </si>
  <si>
    <t>Harm Reduction</t>
  </si>
  <si>
    <t>IPS</t>
  </si>
  <si>
    <t>JBBS</t>
  </si>
  <si>
    <t>Mobile Recovery</t>
  </si>
  <si>
    <t>Offender Services</t>
  </si>
  <si>
    <t>Opioid Peer Recovery</t>
  </si>
  <si>
    <t>Outpatient Services</t>
  </si>
  <si>
    <t>Psych Consult</t>
  </si>
  <si>
    <t>Peer Bridger</t>
  </si>
  <si>
    <t>School Contracts</t>
  </si>
  <si>
    <t>ACT</t>
  </si>
  <si>
    <t>Ascent</t>
  </si>
  <si>
    <t>No</t>
  </si>
  <si>
    <t>Residential Facilities</t>
  </si>
  <si>
    <t>Withdrawal Management</t>
  </si>
  <si>
    <t>West Springs Hospital</t>
  </si>
  <si>
    <t>H21036</t>
  </si>
  <si>
    <t>ARPA Grant</t>
  </si>
  <si>
    <t>Boulder Training Program</t>
  </si>
  <si>
    <t>CJ Specialists</t>
  </si>
  <si>
    <t>DHS Contracts</t>
  </si>
  <si>
    <t>IOP</t>
  </si>
  <si>
    <t>KARIS</t>
  </si>
  <si>
    <t>MAT</t>
  </si>
  <si>
    <t>Multi Systemic Therapy</t>
  </si>
  <si>
    <t>Pitkin Cty Continuum</t>
  </si>
  <si>
    <t>Psych Services</t>
  </si>
  <si>
    <t>R2T2</t>
  </si>
  <si>
    <t xml:space="preserve">Region 1 Youth Prevention </t>
  </si>
  <si>
    <t>Outpatient SUD</t>
  </si>
  <si>
    <t xml:space="preserve">Closed Program </t>
  </si>
  <si>
    <t>GWS School</t>
  </si>
  <si>
    <t>Properly Allocate Indirect Cost to Schedule 3</t>
  </si>
  <si>
    <t>Properly Report Schedule 1 Adjustments on Schedule 3</t>
  </si>
  <si>
    <t>Properly Report Schedule 1 Adjusted Costs on Schedule 2 Series</t>
  </si>
  <si>
    <t>Properly Report Room and Board Expense on Schedule 3</t>
  </si>
  <si>
    <t>300.1, 400.2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</si>
</sst>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s>
  <fonts count="8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8"/>
      <name val="Arial"/>
      <family val="2"/>
    </font>
    <font>
      <sz val="8.85"/>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7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1" fillId="0" borderId="0"/>
    <xf numFmtId="9" fontId="79"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44" fontId="36" fillId="0" borderId="0" applyFont="0" applyFill="0" applyBorder="0" applyAlignment="0" applyProtection="0"/>
    <xf numFmtId="43" fontId="1" fillId="0" borderId="0" applyFont="0" applyFill="0" applyBorder="0" applyAlignment="0" applyProtection="0"/>
    <xf numFmtId="0" fontId="57" fillId="0" borderId="0"/>
    <xf numFmtId="40" fontId="57"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87" fillId="0" borderId="0"/>
    <xf numFmtId="0" fontId="22" fillId="0" borderId="0"/>
    <xf numFmtId="0" fontId="36"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6" fontId="82" fillId="0" borderId="0" applyFont="0" applyFill="0" applyBorder="0" applyAlignment="0" applyProtection="0"/>
    <xf numFmtId="43" fontId="36" fillId="0" borderId="0" applyFont="0" applyFill="0" applyBorder="0" applyAlignment="0" applyProtection="0"/>
    <xf numFmtId="0" fontId="81" fillId="0" borderId="0">
      <alignment vertical="top"/>
    </xf>
    <xf numFmtId="0" fontId="3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56" fillId="0" borderId="0"/>
    <xf numFmtId="44" fontId="5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79" fillId="0" borderId="0" applyFont="0" applyFill="0" applyBorder="0" applyAlignment="0" applyProtection="0"/>
    <xf numFmtId="0" fontId="79" fillId="0" borderId="0">
      <alignment vertical="center"/>
    </xf>
    <xf numFmtId="9" fontId="79" fillId="0" borderId="0" applyFont="0" applyFill="0" applyBorder="0" applyAlignment="0" applyProtection="0"/>
    <xf numFmtId="0" fontId="88" fillId="0" borderId="0" applyAlignment="0"/>
    <xf numFmtId="44" fontId="79"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0" fontId="79" fillId="0" borderId="0">
      <alignment vertical="center"/>
    </xf>
    <xf numFmtId="43" fontId="1" fillId="0" borderId="0" applyFont="0" applyFill="0" applyBorder="0" applyAlignment="0" applyProtection="0"/>
    <xf numFmtId="0" fontId="36" fillId="0" borderId="0"/>
    <xf numFmtId="0" fontId="1" fillId="0" borderId="0"/>
    <xf numFmtId="43" fontId="1" fillId="0" borderId="0" applyFont="0" applyFill="0" applyBorder="0" applyAlignment="0" applyProtection="0"/>
    <xf numFmtId="0" fontId="88" fillId="0" borderId="0" applyAlignment="0"/>
    <xf numFmtId="0" fontId="79" fillId="0" borderId="0">
      <alignment vertical="center"/>
    </xf>
    <xf numFmtId="0" fontId="81" fillId="0" borderId="0">
      <alignment vertical="top"/>
    </xf>
    <xf numFmtId="0" fontId="1" fillId="0" borderId="0"/>
    <xf numFmtId="43" fontId="36" fillId="0" borderId="0" applyFont="0" applyFill="0" applyBorder="0" applyAlignment="0" applyProtection="0"/>
    <xf numFmtId="9" fontId="82" fillId="0" borderId="0" applyFont="0" applyFill="0" applyBorder="0" applyAlignment="0" applyProtection="0"/>
    <xf numFmtId="176" fontId="82" fillId="0" borderId="0" applyFont="0" applyFill="0" applyBorder="0" applyAlignment="0" applyProtection="0"/>
    <xf numFmtId="0" fontId="79" fillId="0" borderId="0">
      <alignment vertical="center"/>
    </xf>
    <xf numFmtId="44" fontId="1" fillId="0" borderId="0" applyFont="0" applyFill="0" applyBorder="0" applyAlignment="0" applyProtection="0"/>
    <xf numFmtId="0" fontId="36"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87" fillId="0" borderId="0"/>
    <xf numFmtId="9" fontId="79" fillId="0" borderId="0" applyFont="0" applyFill="0" applyBorder="0" applyAlignment="0" applyProtection="0"/>
    <xf numFmtId="0" fontId="1" fillId="0" borderId="0"/>
    <xf numFmtId="43" fontId="36" fillId="0" borderId="0" applyFont="0" applyFill="0" applyBorder="0" applyAlignment="0" applyProtection="0"/>
    <xf numFmtId="0" fontId="56" fillId="0" borderId="0"/>
    <xf numFmtId="43" fontId="1" fillId="0" borderId="0" applyFont="0" applyFill="0" applyBorder="0" applyAlignment="0" applyProtection="0"/>
    <xf numFmtId="0" fontId="22" fillId="0" borderId="0"/>
    <xf numFmtId="0" fontId="36" fillId="0" borderId="0"/>
    <xf numFmtId="40" fontId="56" fillId="0" borderId="0" applyFont="0" applyFill="0" applyBorder="0" applyAlignment="0" applyProtection="0"/>
    <xf numFmtId="0" fontId="1" fillId="0" borderId="0"/>
    <xf numFmtId="0" fontId="79" fillId="0" borderId="0">
      <alignment vertical="center"/>
    </xf>
    <xf numFmtId="9"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9" fontId="36" fillId="0" borderId="0" applyFont="0" applyFill="0" applyBorder="0" applyAlignment="0" applyProtection="0"/>
    <xf numFmtId="0" fontId="81" fillId="0" borderId="0">
      <alignment vertical="center"/>
    </xf>
    <xf numFmtId="0" fontId="56" fillId="0" borderId="0"/>
    <xf numFmtId="0" fontId="36" fillId="0" borderId="0"/>
    <xf numFmtId="9" fontId="56" fillId="0" borderId="0" applyFont="0" applyFill="0" applyBorder="0" applyAlignment="0" applyProtection="0"/>
    <xf numFmtId="0" fontId="81" fillId="0" borderId="0">
      <alignment vertical="center"/>
    </xf>
    <xf numFmtId="44" fontId="56" fillId="0" borderId="0" applyFont="0" applyFill="0" applyBorder="0" applyAlignment="0" applyProtection="0"/>
    <xf numFmtId="44" fontId="36" fillId="0" borderId="0" applyFont="0" applyFill="0" applyBorder="0" applyAlignment="0" applyProtection="0"/>
    <xf numFmtId="0" fontId="36"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36" fillId="0" borderId="0" applyFont="0" applyFill="0" applyBorder="0" applyAlignment="0" applyProtection="0"/>
    <xf numFmtId="0" fontId="81" fillId="0" borderId="0">
      <alignment vertical="center"/>
    </xf>
    <xf numFmtId="0" fontId="56" fillId="0" borderId="0"/>
    <xf numFmtId="0" fontId="36" fillId="0" borderId="0"/>
    <xf numFmtId="9" fontId="56" fillId="0" borderId="0" applyFont="0" applyFill="0" applyBorder="0" applyAlignment="0" applyProtection="0"/>
    <xf numFmtId="0" fontId="81" fillId="0" borderId="0">
      <alignment vertical="center"/>
    </xf>
    <xf numFmtId="44" fontId="5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0" fontId="57"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9" fontId="56" fillId="0" borderId="0" applyFont="0" applyFill="0" applyBorder="0" applyAlignment="0" applyProtection="0"/>
    <xf numFmtId="176" fontId="8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79" fillId="0" borderId="0" applyFont="0" applyFill="0" applyBorder="0" applyAlignment="0" applyProtection="0"/>
    <xf numFmtId="0" fontId="88" fillId="0" borderId="0" applyAlignment="0"/>
    <xf numFmtId="44"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4" fontId="56" fillId="0" borderId="0" applyFont="0" applyFill="0" applyBorder="0" applyAlignment="0" applyProtection="0"/>
    <xf numFmtId="0" fontId="79" fillId="0" borderId="0">
      <alignment vertical="center"/>
    </xf>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22" fillId="0" borderId="0"/>
    <xf numFmtId="44" fontId="1" fillId="0" borderId="0" applyFont="0" applyFill="0" applyBorder="0" applyAlignment="0" applyProtection="0"/>
    <xf numFmtId="44" fontId="3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7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79" fillId="0" borderId="0" applyFont="0" applyFill="0" applyBorder="0" applyAlignment="0" applyProtection="0"/>
    <xf numFmtId="9" fontId="79" fillId="0" borderId="0" applyFont="0" applyFill="0" applyBorder="0" applyAlignment="0" applyProtection="0"/>
    <xf numFmtId="43" fontId="3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596">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5" fontId="26" fillId="0" borderId="0" xfId="1" applyNumberFormat="1" applyFont="1" applyBorder="1"/>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36" fillId="0" borderId="0" xfId="0" applyFont="1" applyAlignment="1" applyProtection="1">
      <alignment horizontal="left" vertical="top"/>
      <protection locked="0"/>
    </xf>
    <xf numFmtId="0" fontId="53" fillId="0" borderId="0" xfId="0" applyFont="1" applyAlignment="1">
      <alignment horizontal="center"/>
    </xf>
    <xf numFmtId="0" fontId="36" fillId="0" borderId="0" xfId="4" applyFont="1" applyAlignment="1" applyProtection="1">
      <alignment horizontal="center" vertical="top"/>
      <protection locked="0"/>
    </xf>
    <xf numFmtId="0" fontId="36" fillId="0" borderId="0" xfId="5" applyFont="1" applyAlignment="1">
      <alignment vertical="top"/>
    </xf>
    <xf numFmtId="169" fontId="36" fillId="0" borderId="0" xfId="4" applyNumberFormat="1" applyFont="1" applyAlignment="1">
      <alignment horizontal="center" vertical="top"/>
    </xf>
    <xf numFmtId="0" fontId="36" fillId="0" borderId="0" xfId="4" applyFont="1" applyAlignment="1">
      <alignment horizontal="center" vertical="top"/>
    </xf>
    <xf numFmtId="49" fontId="36" fillId="0" borderId="0" xfId="4" applyNumberFormat="1" applyFont="1" applyAlignment="1">
      <alignment horizontal="left" vertical="top"/>
    </xf>
    <xf numFmtId="0" fontId="36" fillId="0" borderId="0" xfId="4" applyFont="1" applyAlignment="1">
      <alignment vertical="top"/>
    </xf>
    <xf numFmtId="37" fontId="36" fillId="0" borderId="0" xfId="4" applyNumberFormat="1" applyFont="1" applyAlignment="1" applyProtection="1">
      <alignment vertical="top"/>
      <protection locked="0"/>
    </xf>
    <xf numFmtId="166" fontId="36" fillId="0" borderId="0" xfId="14" applyNumberFormat="1" applyFont="1" applyFill="1" applyBorder="1" applyAlignment="1">
      <alignment horizontal="center" vertical="top" wrapText="1"/>
    </xf>
    <xf numFmtId="166" fontId="36" fillId="0" borderId="0" xfId="14" applyNumberFormat="1" applyFont="1" applyFill="1" applyAlignment="1">
      <alignment horizontal="center"/>
    </xf>
    <xf numFmtId="166" fontId="36" fillId="0" borderId="0" xfId="14" applyNumberFormat="1" applyFont="1" applyFill="1" applyBorder="1" applyAlignment="1"/>
    <xf numFmtId="172" fontId="9" fillId="0" borderId="17" xfId="0" applyNumberFormat="1" applyFont="1" applyBorder="1" applyAlignment="1">
      <alignment horizontal="center" vertical="top" wrapText="1"/>
    </xf>
    <xf numFmtId="0" fontId="56" fillId="0" borderId="0" xfId="4"/>
    <xf numFmtId="0" fontId="53" fillId="0" borderId="0" xfId="4" applyFont="1" applyAlignment="1">
      <alignment horizontal="center" vertical="top"/>
    </xf>
    <xf numFmtId="37" fontId="53" fillId="0" borderId="0" xfId="4" applyNumberFormat="1" applyFont="1" applyAlignment="1">
      <alignment horizontal="center" vertical="top"/>
    </xf>
    <xf numFmtId="0" fontId="36" fillId="0" borderId="0" xfId="250" applyAlignment="1">
      <alignment horizontal="center" vertical="top"/>
    </xf>
    <xf numFmtId="0" fontId="36" fillId="0" borderId="0" xfId="250" applyAlignment="1">
      <alignment vertical="top"/>
    </xf>
    <xf numFmtId="37" fontId="53" fillId="0" borderId="0" xfId="250" applyNumberFormat="1" applyFont="1" applyAlignment="1">
      <alignment horizontal="center" vertical="top"/>
    </xf>
    <xf numFmtId="0" fontId="53" fillId="0" borderId="0" xfId="250" applyFont="1" applyAlignment="1">
      <alignment horizontal="center" vertical="top"/>
    </xf>
    <xf numFmtId="0" fontId="36" fillId="0" borderId="0" xfId="4" applyFont="1"/>
    <xf numFmtId="49" fontId="36" fillId="0" borderId="0" xfId="4" applyNumberFormat="1" applyFont="1" applyAlignment="1">
      <alignment horizontal="center" vertical="top"/>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72" fontId="9" fillId="0" borderId="18" xfId="0" applyNumberFormat="1" applyFont="1" applyBorder="1" applyAlignment="1">
      <alignment horizontal="center" vertical="top" wrapText="1"/>
    </xf>
    <xf numFmtId="0" fontId="53" fillId="0" borderId="0" xfId="0" applyFont="1" applyAlignment="1" applyProtection="1">
      <alignment horizontal="left" vertical="top"/>
      <protection locked="0"/>
    </xf>
    <xf numFmtId="49" fontId="36" fillId="0" borderId="0" xfId="4" applyNumberFormat="1" applyFont="1" applyAlignment="1">
      <alignment horizontal="left" vertical="top" wrapText="1"/>
    </xf>
    <xf numFmtId="0" fontId="53" fillId="0" borderId="0" xfId="4" applyFont="1" applyAlignment="1" applyProtection="1">
      <alignment horizontal="center" vertical="top"/>
      <protection locked="0"/>
    </xf>
    <xf numFmtId="39" fontId="53" fillId="0" borderId="0" xfId="0" applyNumberFormat="1" applyFont="1" applyAlignment="1" applyProtection="1">
      <alignment horizontal="center" vertical="top"/>
      <protection locked="0"/>
    </xf>
    <xf numFmtId="44" fontId="3" fillId="0" borderId="0" xfId="0" applyNumberFormat="1" applyFont="1" applyAlignment="1">
      <alignment horizontal="right"/>
    </xf>
    <xf numFmtId="166" fontId="36" fillId="0" borderId="0" xfId="318" applyNumberFormat="1" applyFont="1" applyFill="1" applyBorder="1" applyAlignment="1">
      <alignment horizontal="center" vertical="top" wrapText="1"/>
    </xf>
    <xf numFmtId="166" fontId="36" fillId="0" borderId="0" xfId="318" applyNumberFormat="1" applyFont="1" applyFill="1" applyAlignment="1">
      <alignment horizontal="center"/>
    </xf>
    <xf numFmtId="166" fontId="36" fillId="0" borderId="0" xfId="318" applyNumberFormat="1" applyFont="1" applyFill="1" applyBorder="1" applyAlignment="1"/>
    <xf numFmtId="37" fontId="53" fillId="0" borderId="0" xfId="0" applyNumberFormat="1" applyFont="1" applyAlignment="1">
      <alignment horizontal="center" vertical="top"/>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left" vertical="top" wrapText="1"/>
      <protection locked="0"/>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9" fillId="5" borderId="1" xfId="0" applyFont="1" applyFill="1" applyBorder="1" applyAlignment="1" applyProtection="1">
      <alignment horizontal="left"/>
      <protection locked="0"/>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2570">
    <cellStyle name="Comma" xfId="1" builtinId="3"/>
    <cellStyle name="Comma 10" xfId="1159" xr:uid="{00000000-0005-0000-0000-000001000000}"/>
    <cellStyle name="Comma 2" xfId="10" xr:uid="{00000000-0005-0000-0000-000002000000}"/>
    <cellStyle name="Comma 2 2" xfId="23" xr:uid="{00000000-0005-0000-0000-000003000000}"/>
    <cellStyle name="Comma 2 2 2" xfId="36" xr:uid="{00000000-0005-0000-0000-000004000000}"/>
    <cellStyle name="Comma 2 2 2 2" xfId="312" xr:uid="{00000000-0005-0000-0000-000005000000}"/>
    <cellStyle name="Comma 2 2 2 2 2" xfId="1084" xr:uid="{00000000-0005-0000-0000-000006000000}"/>
    <cellStyle name="Comma 2 2 2 3" xfId="199" xr:uid="{00000000-0005-0000-0000-000007000000}"/>
    <cellStyle name="Comma 2 2 2 3 2" xfId="1097" xr:uid="{00000000-0005-0000-0000-000008000000}"/>
    <cellStyle name="Comma 2 2 2 3 3" xfId="1311" xr:uid="{00000000-0005-0000-0000-000009000000}"/>
    <cellStyle name="Comma 2 2 3" xfId="32" xr:uid="{00000000-0005-0000-0000-00000A000000}"/>
    <cellStyle name="Comma 2 2 3 2" xfId="1081" xr:uid="{00000000-0005-0000-0000-00000B000000}"/>
    <cellStyle name="Comma 2 2 3 2 2" xfId="2142" xr:uid="{00000000-0005-0000-0000-00000C000000}"/>
    <cellStyle name="Comma 2 2 3 3" xfId="309" xr:uid="{00000000-0005-0000-0000-00000D000000}"/>
    <cellStyle name="Comma 2 2 3 3 2" xfId="1383" xr:uid="{00000000-0005-0000-0000-00000E000000}"/>
    <cellStyle name="Comma 2 2 3 4" xfId="231" xr:uid="{00000000-0005-0000-0000-00000F000000}"/>
    <cellStyle name="Comma 2 2 3 5" xfId="1167" xr:uid="{00000000-0005-0000-0000-000010000000}"/>
    <cellStyle name="Comma 2 2 4" xfId="240" xr:uid="{00000000-0005-0000-0000-000011000000}"/>
    <cellStyle name="Comma 2 2 5" xfId="78" xr:uid="{00000000-0005-0000-0000-000012000000}"/>
    <cellStyle name="Comma 2 3" xfId="21" xr:uid="{00000000-0005-0000-0000-000013000000}"/>
    <cellStyle name="Comma 2 3 10" xfId="2210" xr:uid="{00000000-0005-0000-0000-000014000000}"/>
    <cellStyle name="Comma 2 3 2" xfId="148" xr:uid="{00000000-0005-0000-0000-000015000000}"/>
    <cellStyle name="Comma 2 3 2 2" xfId="655" xr:uid="{00000000-0005-0000-0000-000016000000}"/>
    <cellStyle name="Comma 2 3 2 2 2" xfId="1140" xr:uid="{00000000-0005-0000-0000-000017000000}"/>
    <cellStyle name="Comma 2 3 2 2 2 2" xfId="2186" xr:uid="{00000000-0005-0000-0000-000018000000}"/>
    <cellStyle name="Comma 2 3 2 2 3" xfId="1717" xr:uid="{00000000-0005-0000-0000-000019000000}"/>
    <cellStyle name="Comma 2 3 2 2 4" xfId="2403" xr:uid="{00000000-0005-0000-0000-00001A000000}"/>
    <cellStyle name="Comma 2 3 2 3" xfId="825" xr:uid="{00000000-0005-0000-0000-00001B000000}"/>
    <cellStyle name="Comma 2 3 2 3 2" xfId="1886" xr:uid="{00000000-0005-0000-0000-00001C000000}"/>
    <cellStyle name="Comma 2 3 2 3 3" xfId="2516" xr:uid="{00000000-0005-0000-0000-00001D000000}"/>
    <cellStyle name="Comma 2 3 2 4" xfId="504" xr:uid="{00000000-0005-0000-0000-00001E000000}"/>
    <cellStyle name="Comma 2 3 2 4 2" xfId="1566" xr:uid="{00000000-0005-0000-0000-00001F000000}"/>
    <cellStyle name="Comma 2 3 2 5" xfId="1019" xr:uid="{00000000-0005-0000-0000-000020000000}"/>
    <cellStyle name="Comma 2 3 2 5 2" xfId="2080" xr:uid="{00000000-0005-0000-0000-000021000000}"/>
    <cellStyle name="Comma 2 3 2 6" xfId="1111" xr:uid="{00000000-0005-0000-0000-000022000000}"/>
    <cellStyle name="Comma 2 3 2 6 2" xfId="2157" xr:uid="{00000000-0005-0000-0000-000023000000}"/>
    <cellStyle name="Comma 2 3 2 7" xfId="1260" xr:uid="{00000000-0005-0000-0000-000024000000}"/>
    <cellStyle name="Comma 2 3 2 8" xfId="2308" xr:uid="{00000000-0005-0000-0000-000025000000}"/>
    <cellStyle name="Comma 2 3 2 9" xfId="2374" xr:uid="{00000000-0005-0000-0000-000026000000}"/>
    <cellStyle name="Comma 2 3 3" xfId="233" xr:uid="{00000000-0005-0000-0000-000027000000}"/>
    <cellStyle name="Comma 2 3 3 2" xfId="580" xr:uid="{00000000-0005-0000-0000-000028000000}"/>
    <cellStyle name="Comma 2 3 3 2 2" xfId="1642" xr:uid="{00000000-0005-0000-0000-000029000000}"/>
    <cellStyle name="Comma 2 3 3 3" xfId="912" xr:uid="{00000000-0005-0000-0000-00002A000000}"/>
    <cellStyle name="Comma 2 3 3 3 2" xfId="1973" xr:uid="{00000000-0005-0000-0000-00002B000000}"/>
    <cellStyle name="Comma 2 3 3 4" xfId="1323" xr:uid="{00000000-0005-0000-0000-00002C000000}"/>
    <cellStyle name="Comma 2 3 3 5" xfId="2235" xr:uid="{00000000-0005-0000-0000-00002D000000}"/>
    <cellStyle name="Comma 2 3 3 6" xfId="2443" xr:uid="{00000000-0005-0000-0000-00002E000000}"/>
    <cellStyle name="Comma 2 3 4" xfId="703" xr:uid="{00000000-0005-0000-0000-00002F000000}"/>
    <cellStyle name="Comma 2 3 4 2" xfId="1765" xr:uid="{00000000-0005-0000-0000-000030000000}"/>
    <cellStyle name="Comma 2 3 5" xfId="428" xr:uid="{00000000-0005-0000-0000-000031000000}"/>
    <cellStyle name="Comma 2 3 5 2" xfId="1490" xr:uid="{00000000-0005-0000-0000-000032000000}"/>
    <cellStyle name="Comma 2 3 6" xfId="753" xr:uid="{00000000-0005-0000-0000-000033000000}"/>
    <cellStyle name="Comma 2 3 6 2" xfId="1814" xr:uid="{00000000-0005-0000-0000-000034000000}"/>
    <cellStyle name="Comma 2 3 7" xfId="333" xr:uid="{00000000-0005-0000-0000-000035000000}"/>
    <cellStyle name="Comma 2 3 7 2" xfId="1400" xr:uid="{00000000-0005-0000-0000-000036000000}"/>
    <cellStyle name="Comma 2 3 8" xfId="902" xr:uid="{00000000-0005-0000-0000-000037000000}"/>
    <cellStyle name="Comma 2 3 8 2" xfId="1963" xr:uid="{00000000-0005-0000-0000-000038000000}"/>
    <cellStyle name="Comma 2 3 9" xfId="67" xr:uid="{00000000-0005-0000-0000-000039000000}"/>
    <cellStyle name="Comma 2 3 9 2" xfId="1096" xr:uid="{00000000-0005-0000-0000-00003A000000}"/>
    <cellStyle name="Comma 2 3 9 3" xfId="1189" xr:uid="{00000000-0005-0000-0000-00003B000000}"/>
    <cellStyle name="Comma 2 4" xfId="42" xr:uid="{00000000-0005-0000-0000-00003C000000}"/>
    <cellStyle name="Comma 2 4 2" xfId="172" xr:uid="{00000000-0005-0000-0000-00003D000000}"/>
    <cellStyle name="Comma 2 4 2 2" xfId="849" xr:uid="{00000000-0005-0000-0000-00003E000000}"/>
    <cellStyle name="Comma 2 4 2 2 2" xfId="1910" xr:uid="{00000000-0005-0000-0000-00003F000000}"/>
    <cellStyle name="Comma 2 4 2 2 3" xfId="2540" xr:uid="{00000000-0005-0000-0000-000040000000}"/>
    <cellStyle name="Comma 2 4 2 3" xfId="1043" xr:uid="{00000000-0005-0000-0000-000041000000}"/>
    <cellStyle name="Comma 2 4 2 3 2" xfId="2104" xr:uid="{00000000-0005-0000-0000-000042000000}"/>
    <cellStyle name="Comma 2 4 2 4" xfId="1130" xr:uid="{00000000-0005-0000-0000-000043000000}"/>
    <cellStyle name="Comma 2 4 2 4 2" xfId="2176" xr:uid="{00000000-0005-0000-0000-000044000000}"/>
    <cellStyle name="Comma 2 4 2 5" xfId="1284" xr:uid="{00000000-0005-0000-0000-000045000000}"/>
    <cellStyle name="Comma 2 4 2 6" xfId="2332" xr:uid="{00000000-0005-0000-0000-000046000000}"/>
    <cellStyle name="Comma 2 4 2 7" xfId="2393" xr:uid="{00000000-0005-0000-0000-000047000000}"/>
    <cellStyle name="Comma 2 4 3" xfId="209" xr:uid="{00000000-0005-0000-0000-000048000000}"/>
    <cellStyle name="Comma 2 4 3 2" xfId="1312" xr:uid="{00000000-0005-0000-0000-000049000000}"/>
    <cellStyle name="Comma 2 4 3 3" xfId="2259" xr:uid="{00000000-0005-0000-0000-00004A000000}"/>
    <cellStyle name="Comma 2 4 3 4" xfId="2467" xr:uid="{00000000-0005-0000-0000-00004B000000}"/>
    <cellStyle name="Comma 2 4 4" xfId="409" xr:uid="{00000000-0005-0000-0000-00004C000000}"/>
    <cellStyle name="Comma 2 4 5" xfId="970" xr:uid="{00000000-0005-0000-0000-00004D000000}"/>
    <cellStyle name="Comma 2 4 5 2" xfId="2031" xr:uid="{00000000-0005-0000-0000-00004E000000}"/>
    <cellStyle name="Comma 2 4 6" xfId="99" xr:uid="{00000000-0005-0000-0000-00004F000000}"/>
    <cellStyle name="Comma 2 4 6 2" xfId="1212" xr:uid="{00000000-0005-0000-0000-000050000000}"/>
    <cellStyle name="Comma 2 4 7" xfId="1173" xr:uid="{00000000-0005-0000-0000-000051000000}"/>
    <cellStyle name="Comma 2 4 8" xfId="2205" xr:uid="{00000000-0005-0000-0000-000052000000}"/>
    <cellStyle name="Comma 2 4 9" xfId="2364" xr:uid="{00000000-0005-0000-0000-000053000000}"/>
    <cellStyle name="Comma 2 5" xfId="47" xr:uid="{00000000-0005-0000-0000-000054000000}"/>
    <cellStyle name="Comma 2 5 2" xfId="608" xr:uid="{00000000-0005-0000-0000-000055000000}"/>
    <cellStyle name="Comma 2 5 2 2" xfId="1670" xr:uid="{00000000-0005-0000-0000-000056000000}"/>
    <cellStyle name="Comma 2 5 3" xfId="456" xr:uid="{00000000-0005-0000-0000-000057000000}"/>
    <cellStyle name="Comma 2 5 3 2" xfId="1518" xr:uid="{00000000-0005-0000-0000-000058000000}"/>
    <cellStyle name="Comma 2 6" xfId="532" xr:uid="{00000000-0005-0000-0000-000059000000}"/>
    <cellStyle name="Comma 2 6 2" xfId="1594" xr:uid="{00000000-0005-0000-0000-00005A000000}"/>
    <cellStyle name="Comma 2 7" xfId="381" xr:uid="{00000000-0005-0000-0000-00005B000000}"/>
    <cellStyle name="Comma 2 7 2" xfId="1448" xr:uid="{00000000-0005-0000-0000-00005C000000}"/>
    <cellStyle name="Comma 2 8" xfId="940" xr:uid="{00000000-0005-0000-0000-00005D000000}"/>
    <cellStyle name="Comma 2 8 2" xfId="2001" xr:uid="{00000000-0005-0000-0000-00005E000000}"/>
    <cellStyle name="Comma 3" xfId="18" xr:uid="{00000000-0005-0000-0000-00005F000000}"/>
    <cellStyle name="Comma 3 2" xfId="24" xr:uid="{00000000-0005-0000-0000-000060000000}"/>
    <cellStyle name="Comma 3 2 2" xfId="77" xr:uid="{00000000-0005-0000-0000-000061000000}"/>
    <cellStyle name="Comma 3 2 3" xfId="59" xr:uid="{00000000-0005-0000-0000-000062000000}"/>
    <cellStyle name="Comma 3 3" xfId="35" xr:uid="{00000000-0005-0000-0000-000063000000}"/>
    <cellStyle name="Comma 3 3 2" xfId="152" xr:uid="{00000000-0005-0000-0000-000064000000}"/>
    <cellStyle name="Comma 3 3 2 10" xfId="2378" xr:uid="{00000000-0005-0000-0000-000065000000}"/>
    <cellStyle name="Comma 3 3 2 2" xfId="524" xr:uid="{00000000-0005-0000-0000-000066000000}"/>
    <cellStyle name="Comma 3 3 2 2 2" xfId="675" xr:uid="{00000000-0005-0000-0000-000067000000}"/>
    <cellStyle name="Comma 3 3 2 2 2 2" xfId="1737" xr:uid="{00000000-0005-0000-0000-000068000000}"/>
    <cellStyle name="Comma 3 3 2 2 3" xfId="1144" xr:uid="{00000000-0005-0000-0000-000069000000}"/>
    <cellStyle name="Comma 3 3 2 2 3 2" xfId="2190" xr:uid="{00000000-0005-0000-0000-00006A000000}"/>
    <cellStyle name="Comma 3 3 2 2 4" xfId="1586" xr:uid="{00000000-0005-0000-0000-00006B000000}"/>
    <cellStyle name="Comma 3 3 2 2 5" xfId="2407" xr:uid="{00000000-0005-0000-0000-00006C000000}"/>
    <cellStyle name="Comma 3 3 2 3" xfId="600" xr:uid="{00000000-0005-0000-0000-00006D000000}"/>
    <cellStyle name="Comma 3 3 2 3 2" xfId="1662" xr:uid="{00000000-0005-0000-0000-00006E000000}"/>
    <cellStyle name="Comma 3 3 2 3 3" xfId="2520" xr:uid="{00000000-0005-0000-0000-00006F000000}"/>
    <cellStyle name="Comma 3 3 2 4" xfId="829" xr:uid="{00000000-0005-0000-0000-000070000000}"/>
    <cellStyle name="Comma 3 3 2 4 2" xfId="1890" xr:uid="{00000000-0005-0000-0000-000071000000}"/>
    <cellStyle name="Comma 3 3 2 5" xfId="448" xr:uid="{00000000-0005-0000-0000-000072000000}"/>
    <cellStyle name="Comma 3 3 2 5 2" xfId="1510" xr:uid="{00000000-0005-0000-0000-000073000000}"/>
    <cellStyle name="Comma 3 3 2 6" xfId="1023" xr:uid="{00000000-0005-0000-0000-000074000000}"/>
    <cellStyle name="Comma 3 3 2 6 2" xfId="2084" xr:uid="{00000000-0005-0000-0000-000075000000}"/>
    <cellStyle name="Comma 3 3 2 7" xfId="1115" xr:uid="{00000000-0005-0000-0000-000076000000}"/>
    <cellStyle name="Comma 3 3 2 7 2" xfId="2161" xr:uid="{00000000-0005-0000-0000-000077000000}"/>
    <cellStyle name="Comma 3 3 2 8" xfId="1264" xr:uid="{00000000-0005-0000-0000-000078000000}"/>
    <cellStyle name="Comma 3 3 2 9" xfId="2312" xr:uid="{00000000-0005-0000-0000-000079000000}"/>
    <cellStyle name="Comma 3 3 3" xfId="270" xr:uid="{00000000-0005-0000-0000-00007A000000}"/>
    <cellStyle name="Comma 3 3 3 2" xfId="707" xr:uid="{00000000-0005-0000-0000-00007B000000}"/>
    <cellStyle name="Comma 3 3 3 2 2" xfId="1769" xr:uid="{00000000-0005-0000-0000-00007C000000}"/>
    <cellStyle name="Comma 3 3 3 3" xfId="905" xr:uid="{00000000-0005-0000-0000-00007D000000}"/>
    <cellStyle name="Comma 3 3 3 3 2" xfId="1966" xr:uid="{00000000-0005-0000-0000-00007E000000}"/>
    <cellStyle name="Comma 3 3 3 4" xfId="1344" xr:uid="{00000000-0005-0000-0000-00007F000000}"/>
    <cellStyle name="Comma 3 3 3 5" xfId="2447" xr:uid="{00000000-0005-0000-0000-000080000000}"/>
    <cellStyle name="Comma 3 3 4" xfId="757" xr:uid="{00000000-0005-0000-0000-000081000000}"/>
    <cellStyle name="Comma 3 3 4 2" xfId="1818" xr:uid="{00000000-0005-0000-0000-000082000000}"/>
    <cellStyle name="Comma 3 3 5" xfId="413" xr:uid="{00000000-0005-0000-0000-000083000000}"/>
    <cellStyle name="Comma 3 3 6" xfId="948" xr:uid="{00000000-0005-0000-0000-000084000000}"/>
    <cellStyle name="Comma 3 3 6 2" xfId="2009" xr:uid="{00000000-0005-0000-0000-000085000000}"/>
    <cellStyle name="Comma 3 3 7" xfId="74" xr:uid="{00000000-0005-0000-0000-000086000000}"/>
    <cellStyle name="Comma 3 3 7 2" xfId="1094" xr:uid="{00000000-0005-0000-0000-000087000000}"/>
    <cellStyle name="Comma 3 3 7 3" xfId="1193" xr:uid="{00000000-0005-0000-0000-000088000000}"/>
    <cellStyle name="Comma 3 3 8" xfId="2239" xr:uid="{00000000-0005-0000-0000-000089000000}"/>
    <cellStyle name="Comma 3 4" xfId="33" xr:uid="{00000000-0005-0000-0000-00008A000000}"/>
    <cellStyle name="Comma 3 4 2" xfId="176" xr:uid="{00000000-0005-0000-0000-00008B000000}"/>
    <cellStyle name="Comma 3 4 2 2" xfId="853" xr:uid="{00000000-0005-0000-0000-00008C000000}"/>
    <cellStyle name="Comma 3 4 2 2 2" xfId="1914" xr:uid="{00000000-0005-0000-0000-00008D000000}"/>
    <cellStyle name="Comma 3 4 2 3" xfId="1047" xr:uid="{00000000-0005-0000-0000-00008E000000}"/>
    <cellStyle name="Comma 3 4 2 3 2" xfId="2108" xr:uid="{00000000-0005-0000-0000-00008F000000}"/>
    <cellStyle name="Comma 3 4 2 4" xfId="1288" xr:uid="{00000000-0005-0000-0000-000090000000}"/>
    <cellStyle name="Comma 3 4 2 5" xfId="2336" xr:uid="{00000000-0005-0000-0000-000091000000}"/>
    <cellStyle name="Comma 3 4 2 6" xfId="2544" xr:uid="{00000000-0005-0000-0000-000092000000}"/>
    <cellStyle name="Comma 3 4 3" xfId="780" xr:uid="{00000000-0005-0000-0000-000093000000}"/>
    <cellStyle name="Comma 3 4 3 2" xfId="1841" xr:uid="{00000000-0005-0000-0000-000094000000}"/>
    <cellStyle name="Comma 3 4 4" xfId="410" xr:uid="{00000000-0005-0000-0000-000095000000}"/>
    <cellStyle name="Comma 3 4 5" xfId="974" xr:uid="{00000000-0005-0000-0000-000096000000}"/>
    <cellStyle name="Comma 3 4 5 2" xfId="2035" xr:uid="{00000000-0005-0000-0000-000097000000}"/>
    <cellStyle name="Comma 3 4 6" xfId="103" xr:uid="{00000000-0005-0000-0000-000098000000}"/>
    <cellStyle name="Comma 3 4 7" xfId="2263" xr:uid="{00000000-0005-0000-0000-000099000000}"/>
    <cellStyle name="Comma 3 4 8" xfId="2471" xr:uid="{00000000-0005-0000-0000-00009A000000}"/>
    <cellStyle name="Comma 3 5" xfId="44" xr:uid="{00000000-0005-0000-0000-00009B000000}"/>
    <cellStyle name="Comma 3 5 2" xfId="207" xr:uid="{00000000-0005-0000-0000-00009C000000}"/>
    <cellStyle name="Comma 3 5 3" xfId="1175" xr:uid="{00000000-0005-0000-0000-00009D000000}"/>
    <cellStyle name="Comma 3 6" xfId="219" xr:uid="{00000000-0005-0000-0000-00009E000000}"/>
    <cellStyle name="Comma 3 7" xfId="217" xr:uid="{00000000-0005-0000-0000-00009F000000}"/>
    <cellStyle name="Comma 4" xfId="22" xr:uid="{00000000-0005-0000-0000-0000A0000000}"/>
    <cellStyle name="Comma 4 10" xfId="934" xr:uid="{00000000-0005-0000-0000-0000A1000000}"/>
    <cellStyle name="Comma 4 10 2" xfId="1995" xr:uid="{00000000-0005-0000-0000-0000A2000000}"/>
    <cellStyle name="Comma 4 11" xfId="49" xr:uid="{00000000-0005-0000-0000-0000A3000000}"/>
    <cellStyle name="Comma 4 2" xfId="52" xr:uid="{00000000-0005-0000-0000-0000A4000000}"/>
    <cellStyle name="Comma 4 2 10" xfId="959" xr:uid="{00000000-0005-0000-0000-0000A5000000}"/>
    <cellStyle name="Comma 4 2 10 2" xfId="2020" xr:uid="{00000000-0005-0000-0000-0000A6000000}"/>
    <cellStyle name="Comma 4 2 11" xfId="1118" xr:uid="{00000000-0005-0000-0000-0000A7000000}"/>
    <cellStyle name="Comma 4 2 11 2" xfId="2164" xr:uid="{00000000-0005-0000-0000-0000A8000000}"/>
    <cellStyle name="Comma 4 2 12" xfId="1179" xr:uid="{00000000-0005-0000-0000-0000A9000000}"/>
    <cellStyle name="Comma 4 2 13" xfId="2218" xr:uid="{00000000-0005-0000-0000-0000AA000000}"/>
    <cellStyle name="Comma 4 2 14" xfId="2381" xr:uid="{00000000-0005-0000-0000-0000AB000000}"/>
    <cellStyle name="Comma 4 2 2" xfId="131" xr:uid="{00000000-0005-0000-0000-0000AC000000}"/>
    <cellStyle name="Comma 4 2 2 10" xfId="2410" xr:uid="{00000000-0005-0000-0000-0000AD000000}"/>
    <cellStyle name="Comma 4 2 2 2" xfId="518" xr:uid="{00000000-0005-0000-0000-0000AE000000}"/>
    <cellStyle name="Comma 4 2 2 2 2" xfId="669" xr:uid="{00000000-0005-0000-0000-0000AF000000}"/>
    <cellStyle name="Comma 4 2 2 2 2 2" xfId="1731" xr:uid="{00000000-0005-0000-0000-0000B0000000}"/>
    <cellStyle name="Comma 4 2 2 2 3" xfId="1580" xr:uid="{00000000-0005-0000-0000-0000B1000000}"/>
    <cellStyle name="Comma 4 2 2 2 4" xfId="2499" xr:uid="{00000000-0005-0000-0000-0000B2000000}"/>
    <cellStyle name="Comma 4 2 2 3" xfId="594" xr:uid="{00000000-0005-0000-0000-0000B3000000}"/>
    <cellStyle name="Comma 4 2 2 3 2" xfId="1656" xr:uid="{00000000-0005-0000-0000-0000B4000000}"/>
    <cellStyle name="Comma 4 2 2 4" xfId="808" xr:uid="{00000000-0005-0000-0000-0000B5000000}"/>
    <cellStyle name="Comma 4 2 2 4 2" xfId="1869" xr:uid="{00000000-0005-0000-0000-0000B6000000}"/>
    <cellStyle name="Comma 4 2 2 5" xfId="442" xr:uid="{00000000-0005-0000-0000-0000B7000000}"/>
    <cellStyle name="Comma 4 2 2 5 2" xfId="1504" xr:uid="{00000000-0005-0000-0000-0000B8000000}"/>
    <cellStyle name="Comma 4 2 2 6" xfId="1002" xr:uid="{00000000-0005-0000-0000-0000B9000000}"/>
    <cellStyle name="Comma 4 2 2 6 2" xfId="2063" xr:uid="{00000000-0005-0000-0000-0000BA000000}"/>
    <cellStyle name="Comma 4 2 2 7" xfId="1147" xr:uid="{00000000-0005-0000-0000-0000BB000000}"/>
    <cellStyle name="Comma 4 2 2 7 2" xfId="2193" xr:uid="{00000000-0005-0000-0000-0000BC000000}"/>
    <cellStyle name="Comma 4 2 2 8" xfId="1243" xr:uid="{00000000-0005-0000-0000-0000BD000000}"/>
    <cellStyle name="Comma 4 2 2 9" xfId="2291" xr:uid="{00000000-0005-0000-0000-0000BE000000}"/>
    <cellStyle name="Comma 4 2 3" xfId="254" xr:uid="{00000000-0005-0000-0000-0000BF000000}"/>
    <cellStyle name="Comma 4 2 3 2" xfId="495" xr:uid="{00000000-0005-0000-0000-0000C0000000}"/>
    <cellStyle name="Comma 4 2 3 2 2" xfId="646" xr:uid="{00000000-0005-0000-0000-0000C1000000}"/>
    <cellStyle name="Comma 4 2 3 2 2 2" xfId="1708" xr:uid="{00000000-0005-0000-0000-0000C2000000}"/>
    <cellStyle name="Comma 4 2 3 2 3" xfId="1557" xr:uid="{00000000-0005-0000-0000-0000C3000000}"/>
    <cellStyle name="Comma 4 2 3 3" xfId="571" xr:uid="{00000000-0005-0000-0000-0000C4000000}"/>
    <cellStyle name="Comma 4 2 3 3 2" xfId="1633" xr:uid="{00000000-0005-0000-0000-0000C5000000}"/>
    <cellStyle name="Comma 4 2 3 4" xfId="419" xr:uid="{00000000-0005-0000-0000-0000C6000000}"/>
    <cellStyle name="Comma 4 2 3 4 2" xfId="1481" xr:uid="{00000000-0005-0000-0000-0000C7000000}"/>
    <cellStyle name="Comma 4 2 3 5" xfId="900" xr:uid="{00000000-0005-0000-0000-0000C8000000}"/>
    <cellStyle name="Comma 4 2 3 5 2" xfId="1961" xr:uid="{00000000-0005-0000-0000-0000C9000000}"/>
    <cellStyle name="Comma 4 2 3 6" xfId="1328" xr:uid="{00000000-0005-0000-0000-0000CA000000}"/>
    <cellStyle name="Comma 4 2 3 7" xfId="2426" xr:uid="{00000000-0005-0000-0000-0000CB000000}"/>
    <cellStyle name="Comma 4 2 4" xfId="462" xr:uid="{00000000-0005-0000-0000-0000CC000000}"/>
    <cellStyle name="Comma 4 2 4 2" xfId="613" xr:uid="{00000000-0005-0000-0000-0000CD000000}"/>
    <cellStyle name="Comma 4 2 4 2 2" xfId="1675" xr:uid="{00000000-0005-0000-0000-0000CE000000}"/>
    <cellStyle name="Comma 4 2 4 3" xfId="1524" xr:uid="{00000000-0005-0000-0000-0000CF000000}"/>
    <cellStyle name="Comma 4 2 5" xfId="538" xr:uid="{00000000-0005-0000-0000-0000D0000000}"/>
    <cellStyle name="Comma 4 2 5 2" xfId="1600" xr:uid="{00000000-0005-0000-0000-0000D1000000}"/>
    <cellStyle name="Comma 4 2 6" xfId="686" xr:uid="{00000000-0005-0000-0000-0000D2000000}"/>
    <cellStyle name="Comma 4 2 6 2" xfId="1748" xr:uid="{00000000-0005-0000-0000-0000D3000000}"/>
    <cellStyle name="Comma 4 2 7" xfId="384" xr:uid="{00000000-0005-0000-0000-0000D4000000}"/>
    <cellStyle name="Comma 4 2 7 2" xfId="1451" xr:uid="{00000000-0005-0000-0000-0000D5000000}"/>
    <cellStyle name="Comma 4 2 8" xfId="736" xr:uid="{00000000-0005-0000-0000-0000D6000000}"/>
    <cellStyle name="Comma 4 2 8 2" xfId="1797" xr:uid="{00000000-0005-0000-0000-0000D7000000}"/>
    <cellStyle name="Comma 4 2 9" xfId="340" xr:uid="{00000000-0005-0000-0000-0000D8000000}"/>
    <cellStyle name="Comma 4 2 9 2" xfId="1407" xr:uid="{00000000-0005-0000-0000-0000D9000000}"/>
    <cellStyle name="Comma 4 3" xfId="82" xr:uid="{00000000-0005-0000-0000-0000DA000000}"/>
    <cellStyle name="Comma 4 3 10" xfId="1104" xr:uid="{00000000-0005-0000-0000-0000DB000000}"/>
    <cellStyle name="Comma 4 3 10 2" xfId="2150" xr:uid="{00000000-0005-0000-0000-0000DC000000}"/>
    <cellStyle name="Comma 4 3 11" xfId="1197" xr:uid="{00000000-0005-0000-0000-0000DD000000}"/>
    <cellStyle name="Comma 4 3 12" xfId="2243" xr:uid="{00000000-0005-0000-0000-0000DE000000}"/>
    <cellStyle name="Comma 4 3 13" xfId="2367" xr:uid="{00000000-0005-0000-0000-0000DF000000}"/>
    <cellStyle name="Comma 4 3 2" xfId="156" xr:uid="{00000000-0005-0000-0000-0000E0000000}"/>
    <cellStyle name="Comma 4 3 2 10" xfId="2396" xr:uid="{00000000-0005-0000-0000-0000E1000000}"/>
    <cellStyle name="Comma 4 3 2 2" xfId="515" xr:uid="{00000000-0005-0000-0000-0000E2000000}"/>
    <cellStyle name="Comma 4 3 2 2 2" xfId="666" xr:uid="{00000000-0005-0000-0000-0000E3000000}"/>
    <cellStyle name="Comma 4 3 2 2 2 2" xfId="1728" xr:uid="{00000000-0005-0000-0000-0000E4000000}"/>
    <cellStyle name="Comma 4 3 2 2 3" xfId="1577" xr:uid="{00000000-0005-0000-0000-0000E5000000}"/>
    <cellStyle name="Comma 4 3 2 2 4" xfId="2524" xr:uid="{00000000-0005-0000-0000-0000E6000000}"/>
    <cellStyle name="Comma 4 3 2 3" xfId="591" xr:uid="{00000000-0005-0000-0000-0000E7000000}"/>
    <cellStyle name="Comma 4 3 2 3 2" xfId="1653" xr:uid="{00000000-0005-0000-0000-0000E8000000}"/>
    <cellStyle name="Comma 4 3 2 4" xfId="833" xr:uid="{00000000-0005-0000-0000-0000E9000000}"/>
    <cellStyle name="Comma 4 3 2 4 2" xfId="1894" xr:uid="{00000000-0005-0000-0000-0000EA000000}"/>
    <cellStyle name="Comma 4 3 2 5" xfId="439" xr:uid="{00000000-0005-0000-0000-0000EB000000}"/>
    <cellStyle name="Comma 4 3 2 5 2" xfId="1501" xr:uid="{00000000-0005-0000-0000-0000EC000000}"/>
    <cellStyle name="Comma 4 3 2 6" xfId="1027" xr:uid="{00000000-0005-0000-0000-0000ED000000}"/>
    <cellStyle name="Comma 4 3 2 6 2" xfId="2088" xr:uid="{00000000-0005-0000-0000-0000EE000000}"/>
    <cellStyle name="Comma 4 3 2 7" xfId="1133" xr:uid="{00000000-0005-0000-0000-0000EF000000}"/>
    <cellStyle name="Comma 4 3 2 7 2" xfId="2179" xr:uid="{00000000-0005-0000-0000-0000F0000000}"/>
    <cellStyle name="Comma 4 3 2 8" xfId="1268" xr:uid="{00000000-0005-0000-0000-0000F1000000}"/>
    <cellStyle name="Comma 4 3 2 9" xfId="2316" xr:uid="{00000000-0005-0000-0000-0000F2000000}"/>
    <cellStyle name="Comma 4 3 3" xfId="274" xr:uid="{00000000-0005-0000-0000-0000F3000000}"/>
    <cellStyle name="Comma 4 3 3 2" xfId="630" xr:uid="{00000000-0005-0000-0000-0000F4000000}"/>
    <cellStyle name="Comma 4 3 3 2 2" xfId="1692" xr:uid="{00000000-0005-0000-0000-0000F5000000}"/>
    <cellStyle name="Comma 4 3 3 3" xfId="479" xr:uid="{00000000-0005-0000-0000-0000F6000000}"/>
    <cellStyle name="Comma 4 3 3 3 2" xfId="1541" xr:uid="{00000000-0005-0000-0000-0000F7000000}"/>
    <cellStyle name="Comma 4 3 3 4" xfId="320" xr:uid="{00000000-0005-0000-0000-0000F8000000}"/>
    <cellStyle name="Comma 4 3 3 4 2" xfId="1387" xr:uid="{00000000-0005-0000-0000-0000F9000000}"/>
    <cellStyle name="Comma 4 3 3 5" xfId="1348" xr:uid="{00000000-0005-0000-0000-0000FA000000}"/>
    <cellStyle name="Comma 4 3 3 6" xfId="2451" xr:uid="{00000000-0005-0000-0000-0000FB000000}"/>
    <cellStyle name="Comma 4 3 4" xfId="555" xr:uid="{00000000-0005-0000-0000-0000FC000000}"/>
    <cellStyle name="Comma 4 3 4 2" xfId="1617" xr:uid="{00000000-0005-0000-0000-0000FD000000}"/>
    <cellStyle name="Comma 4 3 5" xfId="711" xr:uid="{00000000-0005-0000-0000-0000FE000000}"/>
    <cellStyle name="Comma 4 3 5 2" xfId="1773" xr:uid="{00000000-0005-0000-0000-0000FF000000}"/>
    <cellStyle name="Comma 4 3 6" xfId="398" xr:uid="{00000000-0005-0000-0000-000000010000}"/>
    <cellStyle name="Comma 4 3 6 2" xfId="1465" xr:uid="{00000000-0005-0000-0000-000001010000}"/>
    <cellStyle name="Comma 4 3 7" xfId="761" xr:uid="{00000000-0005-0000-0000-000002010000}"/>
    <cellStyle name="Comma 4 3 7 2" xfId="1822" xr:uid="{00000000-0005-0000-0000-000003010000}"/>
    <cellStyle name="Comma 4 3 8" xfId="358" xr:uid="{00000000-0005-0000-0000-000004010000}"/>
    <cellStyle name="Comma 4 3 8 2" xfId="1425" xr:uid="{00000000-0005-0000-0000-000005010000}"/>
    <cellStyle name="Comma 4 3 9" xfId="901" xr:uid="{00000000-0005-0000-0000-000006010000}"/>
    <cellStyle name="Comma 4 3 9 2" xfId="1962" xr:uid="{00000000-0005-0000-0000-000007010000}"/>
    <cellStyle name="Comma 4 4" xfId="107" xr:uid="{00000000-0005-0000-0000-000008010000}"/>
    <cellStyle name="Comma 4 4 10" xfId="2475" xr:uid="{00000000-0005-0000-0000-000009010000}"/>
    <cellStyle name="Comma 4 4 2" xfId="180" xr:uid="{00000000-0005-0000-0000-00000A010000}"/>
    <cellStyle name="Comma 4 4 2 2" xfId="643" xr:uid="{00000000-0005-0000-0000-00000B010000}"/>
    <cellStyle name="Comma 4 4 2 2 2" xfId="1705" xr:uid="{00000000-0005-0000-0000-00000C010000}"/>
    <cellStyle name="Comma 4 4 2 3" xfId="857" xr:uid="{00000000-0005-0000-0000-00000D010000}"/>
    <cellStyle name="Comma 4 4 2 3 2" xfId="1918" xr:uid="{00000000-0005-0000-0000-00000E010000}"/>
    <cellStyle name="Comma 4 4 2 4" xfId="492" xr:uid="{00000000-0005-0000-0000-00000F010000}"/>
    <cellStyle name="Comma 4 4 2 4 2" xfId="1554" xr:uid="{00000000-0005-0000-0000-000010010000}"/>
    <cellStyle name="Comma 4 4 2 5" xfId="1051" xr:uid="{00000000-0005-0000-0000-000011010000}"/>
    <cellStyle name="Comma 4 4 2 5 2" xfId="2112" xr:uid="{00000000-0005-0000-0000-000012010000}"/>
    <cellStyle name="Comma 4 4 2 6" xfId="1292" xr:uid="{00000000-0005-0000-0000-000013010000}"/>
    <cellStyle name="Comma 4 4 2 7" xfId="2340" xr:uid="{00000000-0005-0000-0000-000014010000}"/>
    <cellStyle name="Comma 4 4 2 8" xfId="2548" xr:uid="{00000000-0005-0000-0000-000015010000}"/>
    <cellStyle name="Comma 4 4 3" xfId="292" xr:uid="{00000000-0005-0000-0000-000016010000}"/>
    <cellStyle name="Comma 4 4 3 2" xfId="568" xr:uid="{00000000-0005-0000-0000-000017010000}"/>
    <cellStyle name="Comma 4 4 3 2 2" xfId="1630" xr:uid="{00000000-0005-0000-0000-000018010000}"/>
    <cellStyle name="Comma 4 4 3 3" xfId="978" xr:uid="{00000000-0005-0000-0000-000019010000}"/>
    <cellStyle name="Comma 4 4 3 3 2" xfId="2039" xr:uid="{00000000-0005-0000-0000-00001A010000}"/>
    <cellStyle name="Comma 4 4 3 4" xfId="1366" xr:uid="{00000000-0005-0000-0000-00001B010000}"/>
    <cellStyle name="Comma 4 4 4" xfId="416" xr:uid="{00000000-0005-0000-0000-00001C010000}"/>
    <cellStyle name="Comma 4 4 4 2" xfId="1478" xr:uid="{00000000-0005-0000-0000-00001D010000}"/>
    <cellStyle name="Comma 4 4 5" xfId="784" xr:uid="{00000000-0005-0000-0000-00001E010000}"/>
    <cellStyle name="Comma 4 4 5 2" xfId="1845" xr:uid="{00000000-0005-0000-0000-00001F010000}"/>
    <cellStyle name="Comma 4 4 6" xfId="337" xr:uid="{00000000-0005-0000-0000-000020010000}"/>
    <cellStyle name="Comma 4 4 6 2" xfId="1404" xr:uid="{00000000-0005-0000-0000-000021010000}"/>
    <cellStyle name="Comma 4 4 7" xfId="882" xr:uid="{00000000-0005-0000-0000-000022010000}"/>
    <cellStyle name="Comma 4 4 7 2" xfId="1943" xr:uid="{00000000-0005-0000-0000-000023010000}"/>
    <cellStyle name="Comma 4 4 8" xfId="1219" xr:uid="{00000000-0005-0000-0000-000024010000}"/>
    <cellStyle name="Comma 4 4 9" xfId="2267" xr:uid="{00000000-0005-0000-0000-000025010000}"/>
    <cellStyle name="Comma 4 5" xfId="128" xr:uid="{00000000-0005-0000-0000-000026010000}"/>
    <cellStyle name="Comma 4 5 2" xfId="610" xr:uid="{00000000-0005-0000-0000-000027010000}"/>
    <cellStyle name="Comma 4 5 2 2" xfId="1672" xr:uid="{00000000-0005-0000-0000-000028010000}"/>
    <cellStyle name="Comma 4 5 3" xfId="459" xr:uid="{00000000-0005-0000-0000-000029010000}"/>
    <cellStyle name="Comma 4 5 3 2" xfId="1521" xr:uid="{00000000-0005-0000-0000-00002A010000}"/>
    <cellStyle name="Comma 4 5 4" xfId="805" xr:uid="{00000000-0005-0000-0000-00002B010000}"/>
    <cellStyle name="Comma 4 5 4 2" xfId="1866" xr:uid="{00000000-0005-0000-0000-00002C010000}"/>
    <cellStyle name="Comma 4 5 5" xfId="366" xr:uid="{00000000-0005-0000-0000-00002D010000}"/>
    <cellStyle name="Comma 4 5 5 2" xfId="1433" xr:uid="{00000000-0005-0000-0000-00002E010000}"/>
    <cellStyle name="Comma 4 5 6" xfId="999" xr:uid="{00000000-0005-0000-0000-00002F010000}"/>
    <cellStyle name="Comma 4 5 6 2" xfId="2060" xr:uid="{00000000-0005-0000-0000-000030010000}"/>
    <cellStyle name="Comma 4 5 7" xfId="1240" xr:uid="{00000000-0005-0000-0000-000031010000}"/>
    <cellStyle name="Comma 4 5 8" xfId="2288" xr:uid="{00000000-0005-0000-0000-000032010000}"/>
    <cellStyle name="Comma 4 5 9" xfId="2496" xr:uid="{00000000-0005-0000-0000-000033010000}"/>
    <cellStyle name="Comma 4 6" xfId="204" xr:uid="{00000000-0005-0000-0000-000034010000}"/>
    <cellStyle name="Comma 4 6 2" xfId="535" xr:uid="{00000000-0005-0000-0000-000035010000}"/>
    <cellStyle name="Comma 4 6 2 2" xfId="1597" xr:uid="{00000000-0005-0000-0000-000036010000}"/>
    <cellStyle name="Comma 4 6 3" xfId="373" xr:uid="{00000000-0005-0000-0000-000037010000}"/>
    <cellStyle name="Comma 4 6 3 2" xfId="1440" xr:uid="{00000000-0005-0000-0000-000038010000}"/>
    <cellStyle name="Comma 4 6 4" xfId="947" xr:uid="{00000000-0005-0000-0000-000039010000}"/>
    <cellStyle name="Comma 4 6 4 2" xfId="2008" xr:uid="{00000000-0005-0000-0000-00003A010000}"/>
    <cellStyle name="Comma 4 6 5" xfId="252" xr:uid="{00000000-0005-0000-0000-00003B010000}"/>
    <cellStyle name="Comma 4 6 5 2" xfId="1326" xr:uid="{00000000-0005-0000-0000-00003C010000}"/>
    <cellStyle name="Comma 4 7" xfId="227" xr:uid="{00000000-0005-0000-0000-00003D010000}"/>
    <cellStyle name="Comma 4 7 2" xfId="683" xr:uid="{00000000-0005-0000-0000-00003E010000}"/>
    <cellStyle name="Comma 4 7 2 2" xfId="1745" xr:uid="{00000000-0005-0000-0000-00003F010000}"/>
    <cellStyle name="Comma 4 7 3" xfId="1076" xr:uid="{00000000-0005-0000-0000-000040010000}"/>
    <cellStyle name="Comma 4 7 3 2" xfId="2137" xr:uid="{00000000-0005-0000-0000-000041010000}"/>
    <cellStyle name="Comma 4 7 4" xfId="1321" xr:uid="{00000000-0005-0000-0000-000042010000}"/>
    <cellStyle name="Comma 4 7 5" xfId="2215" xr:uid="{00000000-0005-0000-0000-000043010000}"/>
    <cellStyle name="Comma 4 7 6" xfId="2423" xr:uid="{00000000-0005-0000-0000-000044010000}"/>
    <cellStyle name="Comma 4 8" xfId="241" xr:uid="{00000000-0005-0000-0000-000045010000}"/>
    <cellStyle name="Comma 4 8 2" xfId="324" xr:uid="{00000000-0005-0000-0000-000046010000}"/>
    <cellStyle name="Comma 4 8 2 2" xfId="1391" xr:uid="{00000000-0005-0000-0000-000047010000}"/>
    <cellStyle name="Comma 4 9" xfId="733" xr:uid="{00000000-0005-0000-0000-000048010000}"/>
    <cellStyle name="Comma 4 9 2" xfId="1794" xr:uid="{00000000-0005-0000-0000-000049010000}"/>
    <cellStyle name="Comma 5" xfId="27" xr:uid="{00000000-0005-0000-0000-00004A010000}"/>
    <cellStyle name="Comma 5 10" xfId="57" xr:uid="{00000000-0005-0000-0000-00004B010000}"/>
    <cellStyle name="Comma 5 11" xfId="2208" xr:uid="{00000000-0005-0000-0000-00004C010000}"/>
    <cellStyle name="Comma 5 2" xfId="86" xr:uid="{00000000-0005-0000-0000-00004D010000}"/>
    <cellStyle name="Comma 5 2 10" xfId="1122" xr:uid="{00000000-0005-0000-0000-00004E010000}"/>
    <cellStyle name="Comma 5 2 10 2" xfId="2168" xr:uid="{00000000-0005-0000-0000-00004F010000}"/>
    <cellStyle name="Comma 5 2 11" xfId="1201" xr:uid="{00000000-0005-0000-0000-000050010000}"/>
    <cellStyle name="Comma 5 2 12" xfId="2247" xr:uid="{00000000-0005-0000-0000-000051010000}"/>
    <cellStyle name="Comma 5 2 13" xfId="2385" xr:uid="{00000000-0005-0000-0000-000052010000}"/>
    <cellStyle name="Comma 5 2 2" xfId="160" xr:uid="{00000000-0005-0000-0000-000053010000}"/>
    <cellStyle name="Comma 5 2 2 10" xfId="2414" xr:uid="{00000000-0005-0000-0000-000054010000}"/>
    <cellStyle name="Comma 5 2 2 2" xfId="527" xr:uid="{00000000-0005-0000-0000-000055010000}"/>
    <cellStyle name="Comma 5 2 2 2 2" xfId="678" xr:uid="{00000000-0005-0000-0000-000056010000}"/>
    <cellStyle name="Comma 5 2 2 2 2 2" xfId="1740" xr:uid="{00000000-0005-0000-0000-000057010000}"/>
    <cellStyle name="Comma 5 2 2 2 3" xfId="1589" xr:uid="{00000000-0005-0000-0000-000058010000}"/>
    <cellStyle name="Comma 5 2 2 2 4" xfId="2528" xr:uid="{00000000-0005-0000-0000-000059010000}"/>
    <cellStyle name="Comma 5 2 2 3" xfId="603" xr:uid="{00000000-0005-0000-0000-00005A010000}"/>
    <cellStyle name="Comma 5 2 2 3 2" xfId="1665" xr:uid="{00000000-0005-0000-0000-00005B010000}"/>
    <cellStyle name="Comma 5 2 2 4" xfId="837" xr:uid="{00000000-0005-0000-0000-00005C010000}"/>
    <cellStyle name="Comma 5 2 2 4 2" xfId="1898" xr:uid="{00000000-0005-0000-0000-00005D010000}"/>
    <cellStyle name="Comma 5 2 2 5" xfId="451" xr:uid="{00000000-0005-0000-0000-00005E010000}"/>
    <cellStyle name="Comma 5 2 2 5 2" xfId="1513" xr:uid="{00000000-0005-0000-0000-00005F010000}"/>
    <cellStyle name="Comma 5 2 2 6" xfId="1031" xr:uid="{00000000-0005-0000-0000-000060010000}"/>
    <cellStyle name="Comma 5 2 2 6 2" xfId="2092" xr:uid="{00000000-0005-0000-0000-000061010000}"/>
    <cellStyle name="Comma 5 2 2 7" xfId="1151" xr:uid="{00000000-0005-0000-0000-000062010000}"/>
    <cellStyle name="Comma 5 2 2 7 2" xfId="2197" xr:uid="{00000000-0005-0000-0000-000063010000}"/>
    <cellStyle name="Comma 5 2 2 8" xfId="1272" xr:uid="{00000000-0005-0000-0000-000064010000}"/>
    <cellStyle name="Comma 5 2 2 9" xfId="2320" xr:uid="{00000000-0005-0000-0000-000065010000}"/>
    <cellStyle name="Comma 5 2 3" xfId="277" xr:uid="{00000000-0005-0000-0000-000066010000}"/>
    <cellStyle name="Comma 5 2 3 2" xfId="634" xr:uid="{00000000-0005-0000-0000-000067010000}"/>
    <cellStyle name="Comma 5 2 3 2 2" xfId="1696" xr:uid="{00000000-0005-0000-0000-000068010000}"/>
    <cellStyle name="Comma 5 2 3 3" xfId="483" xr:uid="{00000000-0005-0000-0000-000069010000}"/>
    <cellStyle name="Comma 5 2 3 3 2" xfId="1545" xr:uid="{00000000-0005-0000-0000-00006A010000}"/>
    <cellStyle name="Comma 5 2 3 4" xfId="935" xr:uid="{00000000-0005-0000-0000-00006B010000}"/>
    <cellStyle name="Comma 5 2 3 4 2" xfId="1996" xr:uid="{00000000-0005-0000-0000-00006C010000}"/>
    <cellStyle name="Comma 5 2 3 5" xfId="1351" xr:uid="{00000000-0005-0000-0000-00006D010000}"/>
    <cellStyle name="Comma 5 2 3 6" xfId="2455" xr:uid="{00000000-0005-0000-0000-00006E010000}"/>
    <cellStyle name="Comma 5 2 4" xfId="559" xr:uid="{00000000-0005-0000-0000-00006F010000}"/>
    <cellStyle name="Comma 5 2 4 2" xfId="1621" xr:uid="{00000000-0005-0000-0000-000070010000}"/>
    <cellStyle name="Comma 5 2 5" xfId="715" xr:uid="{00000000-0005-0000-0000-000071010000}"/>
    <cellStyle name="Comma 5 2 5 2" xfId="1777" xr:uid="{00000000-0005-0000-0000-000072010000}"/>
    <cellStyle name="Comma 5 2 6" xfId="402" xr:uid="{00000000-0005-0000-0000-000073010000}"/>
    <cellStyle name="Comma 5 2 6 2" xfId="1469" xr:uid="{00000000-0005-0000-0000-000074010000}"/>
    <cellStyle name="Comma 5 2 7" xfId="765" xr:uid="{00000000-0005-0000-0000-000075010000}"/>
    <cellStyle name="Comma 5 2 7 2" xfId="1826" xr:uid="{00000000-0005-0000-0000-000076010000}"/>
    <cellStyle name="Comma 5 2 8" xfId="362" xr:uid="{00000000-0005-0000-0000-000077010000}"/>
    <cellStyle name="Comma 5 2 8 2" xfId="1429" xr:uid="{00000000-0005-0000-0000-000078010000}"/>
    <cellStyle name="Comma 5 2 9" xfId="922" xr:uid="{00000000-0005-0000-0000-000079010000}"/>
    <cellStyle name="Comma 5 2 9 2" xfId="1983" xr:uid="{00000000-0005-0000-0000-00007A010000}"/>
    <cellStyle name="Comma 5 3" xfId="111" xr:uid="{00000000-0005-0000-0000-00007B010000}"/>
    <cellStyle name="Comma 5 3 10" xfId="2271" xr:uid="{00000000-0005-0000-0000-00007C010000}"/>
    <cellStyle name="Comma 5 3 11" xfId="2371" xr:uid="{00000000-0005-0000-0000-00007D010000}"/>
    <cellStyle name="Comma 5 3 2" xfId="184" xr:uid="{00000000-0005-0000-0000-00007E010000}"/>
    <cellStyle name="Comma 5 3 2 2" xfId="650" xr:uid="{00000000-0005-0000-0000-00007F010000}"/>
    <cellStyle name="Comma 5 3 2 2 2" xfId="1712" xr:uid="{00000000-0005-0000-0000-000080010000}"/>
    <cellStyle name="Comma 5 3 2 2 3" xfId="2552" xr:uid="{00000000-0005-0000-0000-000081010000}"/>
    <cellStyle name="Comma 5 3 2 3" xfId="861" xr:uid="{00000000-0005-0000-0000-000082010000}"/>
    <cellStyle name="Comma 5 3 2 3 2" xfId="1922" xr:uid="{00000000-0005-0000-0000-000083010000}"/>
    <cellStyle name="Comma 5 3 2 4" xfId="499" xr:uid="{00000000-0005-0000-0000-000084010000}"/>
    <cellStyle name="Comma 5 3 2 4 2" xfId="1561" xr:uid="{00000000-0005-0000-0000-000085010000}"/>
    <cellStyle name="Comma 5 3 2 5" xfId="1055" xr:uid="{00000000-0005-0000-0000-000086010000}"/>
    <cellStyle name="Comma 5 3 2 5 2" xfId="2116" xr:uid="{00000000-0005-0000-0000-000087010000}"/>
    <cellStyle name="Comma 5 3 2 6" xfId="1137" xr:uid="{00000000-0005-0000-0000-000088010000}"/>
    <cellStyle name="Comma 5 3 2 6 2" xfId="2183" xr:uid="{00000000-0005-0000-0000-000089010000}"/>
    <cellStyle name="Comma 5 3 2 7" xfId="1296" xr:uid="{00000000-0005-0000-0000-00008A010000}"/>
    <cellStyle name="Comma 5 3 2 8" xfId="2344" xr:uid="{00000000-0005-0000-0000-00008B010000}"/>
    <cellStyle name="Comma 5 3 2 9" xfId="2400" xr:uid="{00000000-0005-0000-0000-00008C010000}"/>
    <cellStyle name="Comma 5 3 3" xfId="295" xr:uid="{00000000-0005-0000-0000-00008D010000}"/>
    <cellStyle name="Comma 5 3 3 2" xfId="575" xr:uid="{00000000-0005-0000-0000-00008E010000}"/>
    <cellStyle name="Comma 5 3 3 2 2" xfId="1637" xr:uid="{00000000-0005-0000-0000-00008F010000}"/>
    <cellStyle name="Comma 5 3 3 3" xfId="982" xr:uid="{00000000-0005-0000-0000-000090010000}"/>
    <cellStyle name="Comma 5 3 3 3 2" xfId="2043" xr:uid="{00000000-0005-0000-0000-000091010000}"/>
    <cellStyle name="Comma 5 3 3 4" xfId="1369" xr:uid="{00000000-0005-0000-0000-000092010000}"/>
    <cellStyle name="Comma 5 3 3 5" xfId="2479" xr:uid="{00000000-0005-0000-0000-000093010000}"/>
    <cellStyle name="Comma 5 3 4" xfId="423" xr:uid="{00000000-0005-0000-0000-000094010000}"/>
    <cellStyle name="Comma 5 3 4 2" xfId="1485" xr:uid="{00000000-0005-0000-0000-000095010000}"/>
    <cellStyle name="Comma 5 3 5" xfId="788" xr:uid="{00000000-0005-0000-0000-000096010000}"/>
    <cellStyle name="Comma 5 3 5 2" xfId="1849" xr:uid="{00000000-0005-0000-0000-000097010000}"/>
    <cellStyle name="Comma 5 3 6" xfId="344" xr:uid="{00000000-0005-0000-0000-000098010000}"/>
    <cellStyle name="Comma 5 3 6 2" xfId="1411" xr:uid="{00000000-0005-0000-0000-000099010000}"/>
    <cellStyle name="Comma 5 3 7" xfId="945" xr:uid="{00000000-0005-0000-0000-00009A010000}"/>
    <cellStyle name="Comma 5 3 7 2" xfId="2006" xr:uid="{00000000-0005-0000-0000-00009B010000}"/>
    <cellStyle name="Comma 5 3 8" xfId="1108" xr:uid="{00000000-0005-0000-0000-00009C010000}"/>
    <cellStyle name="Comma 5 3 8 2" xfId="2154" xr:uid="{00000000-0005-0000-0000-00009D010000}"/>
    <cellStyle name="Comma 5 3 9" xfId="1223" xr:uid="{00000000-0005-0000-0000-00009E010000}"/>
    <cellStyle name="Comma 5 4" xfId="135" xr:uid="{00000000-0005-0000-0000-00009F010000}"/>
    <cellStyle name="Comma 5 4 2" xfId="617" xr:uid="{00000000-0005-0000-0000-0000A0010000}"/>
    <cellStyle name="Comma 5 4 2 2" xfId="1679" xr:uid="{00000000-0005-0000-0000-0000A1010000}"/>
    <cellStyle name="Comma 5 4 3" xfId="466" xr:uid="{00000000-0005-0000-0000-0000A2010000}"/>
    <cellStyle name="Comma 5 4 3 2" xfId="1528" xr:uid="{00000000-0005-0000-0000-0000A3010000}"/>
    <cellStyle name="Comma 5 4 4" xfId="812" xr:uid="{00000000-0005-0000-0000-0000A4010000}"/>
    <cellStyle name="Comma 5 4 4 2" xfId="1873" xr:uid="{00000000-0005-0000-0000-0000A5010000}"/>
    <cellStyle name="Comma 5 4 5" xfId="377" xr:uid="{00000000-0005-0000-0000-0000A6010000}"/>
    <cellStyle name="Comma 5 4 5 2" xfId="1444" xr:uid="{00000000-0005-0000-0000-0000A7010000}"/>
    <cellStyle name="Comma 5 4 6" xfId="1006" xr:uid="{00000000-0005-0000-0000-0000A8010000}"/>
    <cellStyle name="Comma 5 4 6 2" xfId="2067" xr:uid="{00000000-0005-0000-0000-0000A9010000}"/>
    <cellStyle name="Comma 5 4 7" xfId="1247" xr:uid="{00000000-0005-0000-0000-0000AA010000}"/>
    <cellStyle name="Comma 5 4 8" xfId="2295" xr:uid="{00000000-0005-0000-0000-0000AB010000}"/>
    <cellStyle name="Comma 5 4 9" xfId="2503" xr:uid="{00000000-0005-0000-0000-0000AC010000}"/>
    <cellStyle name="Comma 5 5" xfId="212" xr:uid="{00000000-0005-0000-0000-0000AD010000}"/>
    <cellStyle name="Comma 5 5 2" xfId="542" xr:uid="{00000000-0005-0000-0000-0000AE010000}"/>
    <cellStyle name="Comma 5 5 2 2" xfId="1604" xr:uid="{00000000-0005-0000-0000-0000AF010000}"/>
    <cellStyle name="Comma 5 5 3" xfId="941" xr:uid="{00000000-0005-0000-0000-0000B0010000}"/>
    <cellStyle name="Comma 5 5 3 2" xfId="2002" xr:uid="{00000000-0005-0000-0000-0000B1010000}"/>
    <cellStyle name="Comma 5 5 4" xfId="1314" xr:uid="{00000000-0005-0000-0000-0000B2010000}"/>
    <cellStyle name="Comma 5 5 5" xfId="2222" xr:uid="{00000000-0005-0000-0000-0000B3010000}"/>
    <cellStyle name="Comma 5 5 6" xfId="2430" xr:uid="{00000000-0005-0000-0000-0000B4010000}"/>
    <cellStyle name="Comma 5 6" xfId="236" xr:uid="{00000000-0005-0000-0000-0000B5010000}"/>
    <cellStyle name="Comma 5 6 2" xfId="690" xr:uid="{00000000-0005-0000-0000-0000B6010000}"/>
    <cellStyle name="Comma 5 6 2 2" xfId="1752" xr:uid="{00000000-0005-0000-0000-0000B7010000}"/>
    <cellStyle name="Comma 5 6 3" xfId="1079" xr:uid="{00000000-0005-0000-0000-0000B8010000}"/>
    <cellStyle name="Comma 5 6 3 2" xfId="2140" xr:uid="{00000000-0005-0000-0000-0000B9010000}"/>
    <cellStyle name="Comma 5 6 4" xfId="308" xr:uid="{00000000-0005-0000-0000-0000BA010000}"/>
    <cellStyle name="Comma 5 6 4 2" xfId="1382" xr:uid="{00000000-0005-0000-0000-0000BB010000}"/>
    <cellStyle name="Comma 5 7" xfId="327" xr:uid="{00000000-0005-0000-0000-0000BC010000}"/>
    <cellStyle name="Comma 5 7 2" xfId="1394" xr:uid="{00000000-0005-0000-0000-0000BD010000}"/>
    <cellStyle name="Comma 5 8" xfId="740" xr:uid="{00000000-0005-0000-0000-0000BE010000}"/>
    <cellStyle name="Comma 5 8 2" xfId="1801" xr:uid="{00000000-0005-0000-0000-0000BF010000}"/>
    <cellStyle name="Comma 5 9" xfId="918" xr:uid="{00000000-0005-0000-0000-0000C0010000}"/>
    <cellStyle name="Comma 5 9 2" xfId="1979" xr:uid="{00000000-0005-0000-0000-0000C1010000}"/>
    <cellStyle name="Comma 6" xfId="29" xr:uid="{00000000-0005-0000-0000-0000C2010000}"/>
    <cellStyle name="Comma 6 10" xfId="876" xr:uid="{00000000-0005-0000-0000-0000C3010000}"/>
    <cellStyle name="Comma 6 10 2" xfId="1937" xr:uid="{00000000-0005-0000-0000-0000C4010000}"/>
    <cellStyle name="Comma 6 11" xfId="1088" xr:uid="{00000000-0005-0000-0000-0000C5010000}"/>
    <cellStyle name="Comma 6 11 2" xfId="2146" xr:uid="{00000000-0005-0000-0000-0000C6010000}"/>
    <cellStyle name="Comma 6 12" xfId="1164" xr:uid="{00000000-0005-0000-0000-0000C7010000}"/>
    <cellStyle name="Comma 6 13" xfId="2228" xr:uid="{00000000-0005-0000-0000-0000C8010000}"/>
    <cellStyle name="Comma 6 14" xfId="2360" xr:uid="{00000000-0005-0000-0000-0000C9010000}"/>
    <cellStyle name="Comma 6 2" xfId="90" xr:uid="{00000000-0005-0000-0000-0000CA010000}"/>
    <cellStyle name="Comma 6 2 10" xfId="2251" xr:uid="{00000000-0005-0000-0000-0000CB010000}"/>
    <cellStyle name="Comma 6 2 11" xfId="2389" xr:uid="{00000000-0005-0000-0000-0000CC010000}"/>
    <cellStyle name="Comma 6 2 2" xfId="164" xr:uid="{00000000-0005-0000-0000-0000CD010000}"/>
    <cellStyle name="Comma 6 2 2 2" xfId="681" xr:uid="{00000000-0005-0000-0000-0000CE010000}"/>
    <cellStyle name="Comma 6 2 2 2 2" xfId="1743" xr:uid="{00000000-0005-0000-0000-0000CF010000}"/>
    <cellStyle name="Comma 6 2 2 3" xfId="841" xr:uid="{00000000-0005-0000-0000-0000D0010000}"/>
    <cellStyle name="Comma 6 2 2 3 2" xfId="1902" xr:uid="{00000000-0005-0000-0000-0000D1010000}"/>
    <cellStyle name="Comma 6 2 2 4" xfId="530" xr:uid="{00000000-0005-0000-0000-0000D2010000}"/>
    <cellStyle name="Comma 6 2 2 4 2" xfId="1592" xr:uid="{00000000-0005-0000-0000-0000D3010000}"/>
    <cellStyle name="Comma 6 2 2 5" xfId="1035" xr:uid="{00000000-0005-0000-0000-0000D4010000}"/>
    <cellStyle name="Comma 6 2 2 5 2" xfId="2096" xr:uid="{00000000-0005-0000-0000-0000D5010000}"/>
    <cellStyle name="Comma 6 2 2 6" xfId="1276" xr:uid="{00000000-0005-0000-0000-0000D6010000}"/>
    <cellStyle name="Comma 6 2 2 7" xfId="2324" xr:uid="{00000000-0005-0000-0000-0000D7010000}"/>
    <cellStyle name="Comma 6 2 2 8" xfId="2532" xr:uid="{00000000-0005-0000-0000-0000D8010000}"/>
    <cellStyle name="Comma 6 2 3" xfId="281" xr:uid="{00000000-0005-0000-0000-0000D9010000}"/>
    <cellStyle name="Comma 6 2 3 2" xfId="606" xr:uid="{00000000-0005-0000-0000-0000DA010000}"/>
    <cellStyle name="Comma 6 2 3 2 2" xfId="1668" xr:uid="{00000000-0005-0000-0000-0000DB010000}"/>
    <cellStyle name="Comma 6 2 3 3" xfId="962" xr:uid="{00000000-0005-0000-0000-0000DC010000}"/>
    <cellStyle name="Comma 6 2 3 3 2" xfId="2023" xr:uid="{00000000-0005-0000-0000-0000DD010000}"/>
    <cellStyle name="Comma 6 2 3 4" xfId="1355" xr:uid="{00000000-0005-0000-0000-0000DE010000}"/>
    <cellStyle name="Comma 6 2 3 5" xfId="2459" xr:uid="{00000000-0005-0000-0000-0000DF010000}"/>
    <cellStyle name="Comma 6 2 4" xfId="719" xr:uid="{00000000-0005-0000-0000-0000E0010000}"/>
    <cellStyle name="Comma 6 2 4 2" xfId="1781" xr:uid="{00000000-0005-0000-0000-0000E1010000}"/>
    <cellStyle name="Comma 6 2 5" xfId="769" xr:uid="{00000000-0005-0000-0000-0000E2010000}"/>
    <cellStyle name="Comma 6 2 5 2" xfId="1830" xr:uid="{00000000-0005-0000-0000-0000E3010000}"/>
    <cellStyle name="Comma 6 2 6" xfId="454" xr:uid="{00000000-0005-0000-0000-0000E4010000}"/>
    <cellStyle name="Comma 6 2 6 2" xfId="1516" xr:uid="{00000000-0005-0000-0000-0000E5010000}"/>
    <cellStyle name="Comma 6 2 7" xfId="335" xr:uid="{00000000-0005-0000-0000-0000E6010000}"/>
    <cellStyle name="Comma 6 2 7 2" xfId="1402" xr:uid="{00000000-0005-0000-0000-0000E7010000}"/>
    <cellStyle name="Comma 6 2 8" xfId="1126" xr:uid="{00000000-0005-0000-0000-0000E8010000}"/>
    <cellStyle name="Comma 6 2 8 2" xfId="2172" xr:uid="{00000000-0005-0000-0000-0000E9010000}"/>
    <cellStyle name="Comma 6 2 9" xfId="1205" xr:uid="{00000000-0005-0000-0000-0000EA010000}"/>
    <cellStyle name="Comma 6 3" xfId="115" xr:uid="{00000000-0005-0000-0000-0000EB010000}"/>
    <cellStyle name="Comma 6 3 10" xfId="2418" xr:uid="{00000000-0005-0000-0000-0000EC010000}"/>
    <cellStyle name="Comma 6 3 2" xfId="188" xr:uid="{00000000-0005-0000-0000-0000ED010000}"/>
    <cellStyle name="Comma 6 3 2 2" xfId="658" xr:uid="{00000000-0005-0000-0000-0000EE010000}"/>
    <cellStyle name="Comma 6 3 2 2 2" xfId="1720" xr:uid="{00000000-0005-0000-0000-0000EF010000}"/>
    <cellStyle name="Comma 6 3 2 3" xfId="865" xr:uid="{00000000-0005-0000-0000-0000F0010000}"/>
    <cellStyle name="Comma 6 3 2 3 2" xfId="1926" xr:uid="{00000000-0005-0000-0000-0000F1010000}"/>
    <cellStyle name="Comma 6 3 2 4" xfId="507" xr:uid="{00000000-0005-0000-0000-0000F2010000}"/>
    <cellStyle name="Comma 6 3 2 4 2" xfId="1569" xr:uid="{00000000-0005-0000-0000-0000F3010000}"/>
    <cellStyle name="Comma 6 3 2 5" xfId="1059" xr:uid="{00000000-0005-0000-0000-0000F4010000}"/>
    <cellStyle name="Comma 6 3 2 5 2" xfId="2120" xr:uid="{00000000-0005-0000-0000-0000F5010000}"/>
    <cellStyle name="Comma 6 3 2 6" xfId="1300" xr:uid="{00000000-0005-0000-0000-0000F6010000}"/>
    <cellStyle name="Comma 6 3 2 7" xfId="2348" xr:uid="{00000000-0005-0000-0000-0000F7010000}"/>
    <cellStyle name="Comma 6 3 2 8" xfId="2556" xr:uid="{00000000-0005-0000-0000-0000F8010000}"/>
    <cellStyle name="Comma 6 3 3" xfId="583" xr:uid="{00000000-0005-0000-0000-0000F9010000}"/>
    <cellStyle name="Comma 6 3 3 2" xfId="1645" xr:uid="{00000000-0005-0000-0000-0000FA010000}"/>
    <cellStyle name="Comma 6 3 3 3" xfId="2483" xr:uid="{00000000-0005-0000-0000-0000FB010000}"/>
    <cellStyle name="Comma 6 3 4" xfId="792" xr:uid="{00000000-0005-0000-0000-0000FC010000}"/>
    <cellStyle name="Comma 6 3 4 2" xfId="1853" xr:uid="{00000000-0005-0000-0000-0000FD010000}"/>
    <cellStyle name="Comma 6 3 5" xfId="431" xr:uid="{00000000-0005-0000-0000-0000FE010000}"/>
    <cellStyle name="Comma 6 3 5 2" xfId="1493" xr:uid="{00000000-0005-0000-0000-0000FF010000}"/>
    <cellStyle name="Comma 6 3 6" xfId="986" xr:uid="{00000000-0005-0000-0000-000000020000}"/>
    <cellStyle name="Comma 6 3 6 2" xfId="2047" xr:uid="{00000000-0005-0000-0000-000001020000}"/>
    <cellStyle name="Comma 6 3 7" xfId="1155" xr:uid="{00000000-0005-0000-0000-000002020000}"/>
    <cellStyle name="Comma 6 3 7 2" xfId="2201" xr:uid="{00000000-0005-0000-0000-000003020000}"/>
    <cellStyle name="Comma 6 3 8" xfId="1227" xr:uid="{00000000-0005-0000-0000-000004020000}"/>
    <cellStyle name="Comma 6 3 9" xfId="2275" xr:uid="{00000000-0005-0000-0000-000005020000}"/>
    <cellStyle name="Comma 6 4" xfId="141" xr:uid="{00000000-0005-0000-0000-000006020000}"/>
    <cellStyle name="Comma 6 4 2" xfId="623" xr:uid="{00000000-0005-0000-0000-000007020000}"/>
    <cellStyle name="Comma 6 4 2 2" xfId="1685" xr:uid="{00000000-0005-0000-0000-000008020000}"/>
    <cellStyle name="Comma 6 4 3" xfId="818" xr:uid="{00000000-0005-0000-0000-000009020000}"/>
    <cellStyle name="Comma 6 4 3 2" xfId="1879" xr:uid="{00000000-0005-0000-0000-00000A020000}"/>
    <cellStyle name="Comma 6 4 4" xfId="472" xr:uid="{00000000-0005-0000-0000-00000B020000}"/>
    <cellStyle name="Comma 6 4 4 2" xfId="1534" xr:uid="{00000000-0005-0000-0000-00000C020000}"/>
    <cellStyle name="Comma 6 4 5" xfId="1012" xr:uid="{00000000-0005-0000-0000-00000D020000}"/>
    <cellStyle name="Comma 6 4 5 2" xfId="2073" xr:uid="{00000000-0005-0000-0000-00000E020000}"/>
    <cellStyle name="Comma 6 4 6" xfId="1253" xr:uid="{00000000-0005-0000-0000-00000F020000}"/>
    <cellStyle name="Comma 6 4 7" xfId="2301" xr:uid="{00000000-0005-0000-0000-000010020000}"/>
    <cellStyle name="Comma 6 4 8" xfId="2509" xr:uid="{00000000-0005-0000-0000-000011020000}"/>
    <cellStyle name="Comma 6 5" xfId="261" xr:uid="{00000000-0005-0000-0000-000012020000}"/>
    <cellStyle name="Comma 6 5 2" xfId="548" xr:uid="{00000000-0005-0000-0000-000013020000}"/>
    <cellStyle name="Comma 6 5 2 2" xfId="1610" xr:uid="{00000000-0005-0000-0000-000014020000}"/>
    <cellStyle name="Comma 6 5 3" xfId="953" xr:uid="{00000000-0005-0000-0000-000015020000}"/>
    <cellStyle name="Comma 6 5 3 2" xfId="2014" xr:uid="{00000000-0005-0000-0000-000016020000}"/>
    <cellStyle name="Comma 6 5 4" xfId="1335" xr:uid="{00000000-0005-0000-0000-000017020000}"/>
    <cellStyle name="Comma 6 5 5" xfId="2436" xr:uid="{00000000-0005-0000-0000-000018020000}"/>
    <cellStyle name="Comma 6 6" xfId="696" xr:uid="{00000000-0005-0000-0000-000019020000}"/>
    <cellStyle name="Comma 6 6 2" xfId="1758" xr:uid="{00000000-0005-0000-0000-00001A020000}"/>
    <cellStyle name="Comma 6 7" xfId="391" xr:uid="{00000000-0005-0000-0000-00001B020000}"/>
    <cellStyle name="Comma 6 7 2" xfId="1458" xr:uid="{00000000-0005-0000-0000-00001C020000}"/>
    <cellStyle name="Comma 6 8" xfId="746" xr:uid="{00000000-0005-0000-0000-00001D020000}"/>
    <cellStyle name="Comma 6 8 2" xfId="1807" xr:uid="{00000000-0005-0000-0000-00001E020000}"/>
    <cellStyle name="Comma 6 9" xfId="351" xr:uid="{00000000-0005-0000-0000-00001F020000}"/>
    <cellStyle name="Comma 6 9 2" xfId="1418" xr:uid="{00000000-0005-0000-0000-000020020000}"/>
    <cellStyle name="Comma 7" xfId="28" xr:uid="{00000000-0005-0000-0000-000021020000}"/>
    <cellStyle name="Comma 7 10" xfId="64" xr:uid="{00000000-0005-0000-0000-000022020000}"/>
    <cellStyle name="Comma 7 10 2" xfId="1098" xr:uid="{00000000-0005-0000-0000-000023020000}"/>
    <cellStyle name="Comma 7 10 3" xfId="1186" xr:uid="{00000000-0005-0000-0000-000024020000}"/>
    <cellStyle name="Comma 7 11" xfId="1163" xr:uid="{00000000-0005-0000-0000-000025020000}"/>
    <cellStyle name="Comma 7 12" xfId="2232" xr:uid="{00000000-0005-0000-0000-000026020000}"/>
    <cellStyle name="Comma 7 2" xfId="119" xr:uid="{00000000-0005-0000-0000-000027020000}"/>
    <cellStyle name="Comma 7 2 2" xfId="192" xr:uid="{00000000-0005-0000-0000-000028020000}"/>
    <cellStyle name="Comma 7 2 2 2" xfId="662" xr:uid="{00000000-0005-0000-0000-000029020000}"/>
    <cellStyle name="Comma 7 2 2 2 2" xfId="1724" xr:uid="{00000000-0005-0000-0000-00002A020000}"/>
    <cellStyle name="Comma 7 2 2 3" xfId="869" xr:uid="{00000000-0005-0000-0000-00002B020000}"/>
    <cellStyle name="Comma 7 2 2 3 2" xfId="1930" xr:uid="{00000000-0005-0000-0000-00002C020000}"/>
    <cellStyle name="Comma 7 2 2 4" xfId="511" xr:uid="{00000000-0005-0000-0000-00002D020000}"/>
    <cellStyle name="Comma 7 2 2 4 2" xfId="1573" xr:uid="{00000000-0005-0000-0000-00002E020000}"/>
    <cellStyle name="Comma 7 2 2 5" xfId="1063" xr:uid="{00000000-0005-0000-0000-00002F020000}"/>
    <cellStyle name="Comma 7 2 2 5 2" xfId="2124" xr:uid="{00000000-0005-0000-0000-000030020000}"/>
    <cellStyle name="Comma 7 2 2 6" xfId="1304" xr:uid="{00000000-0005-0000-0000-000031020000}"/>
    <cellStyle name="Comma 7 2 2 7" xfId="2352" xr:uid="{00000000-0005-0000-0000-000032020000}"/>
    <cellStyle name="Comma 7 2 2 8" xfId="2560" xr:uid="{00000000-0005-0000-0000-000033020000}"/>
    <cellStyle name="Comma 7 2 3" xfId="587" xr:uid="{00000000-0005-0000-0000-000034020000}"/>
    <cellStyle name="Comma 7 2 3 2" xfId="1649" xr:uid="{00000000-0005-0000-0000-000035020000}"/>
    <cellStyle name="Comma 7 2 4" xfId="796" xr:uid="{00000000-0005-0000-0000-000036020000}"/>
    <cellStyle name="Comma 7 2 4 2" xfId="1857" xr:uid="{00000000-0005-0000-0000-000037020000}"/>
    <cellStyle name="Comma 7 2 5" xfId="435" xr:uid="{00000000-0005-0000-0000-000038020000}"/>
    <cellStyle name="Comma 7 2 5 2" xfId="1497" xr:uid="{00000000-0005-0000-0000-000039020000}"/>
    <cellStyle name="Comma 7 2 6" xfId="990" xr:uid="{00000000-0005-0000-0000-00003A020000}"/>
    <cellStyle name="Comma 7 2 6 2" xfId="2051" xr:uid="{00000000-0005-0000-0000-00003B020000}"/>
    <cellStyle name="Comma 7 2 7" xfId="1231" xr:uid="{00000000-0005-0000-0000-00003C020000}"/>
    <cellStyle name="Comma 7 2 8" xfId="2279" xr:uid="{00000000-0005-0000-0000-00003D020000}"/>
    <cellStyle name="Comma 7 2 9" xfId="2487" xr:uid="{00000000-0005-0000-0000-00003E020000}"/>
    <cellStyle name="Comma 7 3" xfId="145" xr:uid="{00000000-0005-0000-0000-00003F020000}"/>
    <cellStyle name="Comma 7 3 2" xfId="627" xr:uid="{00000000-0005-0000-0000-000040020000}"/>
    <cellStyle name="Comma 7 3 2 2" xfId="1689" xr:uid="{00000000-0005-0000-0000-000041020000}"/>
    <cellStyle name="Comma 7 3 3" xfId="822" xr:uid="{00000000-0005-0000-0000-000042020000}"/>
    <cellStyle name="Comma 7 3 3 2" xfId="1883" xr:uid="{00000000-0005-0000-0000-000043020000}"/>
    <cellStyle name="Comma 7 3 4" xfId="476" xr:uid="{00000000-0005-0000-0000-000044020000}"/>
    <cellStyle name="Comma 7 3 4 2" xfId="1538" xr:uid="{00000000-0005-0000-0000-000045020000}"/>
    <cellStyle name="Comma 7 3 5" xfId="1016" xr:uid="{00000000-0005-0000-0000-000046020000}"/>
    <cellStyle name="Comma 7 3 5 2" xfId="2077" xr:uid="{00000000-0005-0000-0000-000047020000}"/>
    <cellStyle name="Comma 7 3 6" xfId="1257" xr:uid="{00000000-0005-0000-0000-000048020000}"/>
    <cellStyle name="Comma 7 3 7" xfId="2305" xr:uid="{00000000-0005-0000-0000-000049020000}"/>
    <cellStyle name="Comma 7 3 8" xfId="2513" xr:uid="{00000000-0005-0000-0000-00004A020000}"/>
    <cellStyle name="Comma 7 4" xfId="265" xr:uid="{00000000-0005-0000-0000-00004B020000}"/>
    <cellStyle name="Comma 7 4 2" xfId="552" xr:uid="{00000000-0005-0000-0000-00004C020000}"/>
    <cellStyle name="Comma 7 4 2 2" xfId="1614" xr:uid="{00000000-0005-0000-0000-00004D020000}"/>
    <cellStyle name="Comma 7 4 3" xfId="907" xr:uid="{00000000-0005-0000-0000-00004E020000}"/>
    <cellStyle name="Comma 7 4 3 2" xfId="1968" xr:uid="{00000000-0005-0000-0000-00004F020000}"/>
    <cellStyle name="Comma 7 4 4" xfId="1339" xr:uid="{00000000-0005-0000-0000-000050020000}"/>
    <cellStyle name="Comma 7 4 5" xfId="2440" xr:uid="{00000000-0005-0000-0000-000051020000}"/>
    <cellStyle name="Comma 7 5" xfId="700" xr:uid="{00000000-0005-0000-0000-000052020000}"/>
    <cellStyle name="Comma 7 5 2" xfId="1762" xr:uid="{00000000-0005-0000-0000-000053020000}"/>
    <cellStyle name="Comma 7 6" xfId="395" xr:uid="{00000000-0005-0000-0000-000054020000}"/>
    <cellStyle name="Comma 7 6 2" xfId="1462" xr:uid="{00000000-0005-0000-0000-000055020000}"/>
    <cellStyle name="Comma 7 7" xfId="750" xr:uid="{00000000-0005-0000-0000-000056020000}"/>
    <cellStyle name="Comma 7 7 2" xfId="1811" xr:uid="{00000000-0005-0000-0000-000057020000}"/>
    <cellStyle name="Comma 7 8" xfId="355" xr:uid="{00000000-0005-0000-0000-000058020000}"/>
    <cellStyle name="Comma 7 8 2" xfId="1422" xr:uid="{00000000-0005-0000-0000-000059020000}"/>
    <cellStyle name="Comma 7 9" xfId="887" xr:uid="{00000000-0005-0000-0000-00005A020000}"/>
    <cellStyle name="Comma 7 9 2" xfId="1948" xr:uid="{00000000-0005-0000-0000-00005B020000}"/>
    <cellStyle name="Comma 8" xfId="38" xr:uid="{00000000-0005-0000-0000-00005C020000}"/>
    <cellStyle name="Comma 8 10" xfId="2256" xr:uid="{00000000-0005-0000-0000-00005D020000}"/>
    <cellStyle name="Comma 8 11" xfId="2464" xr:uid="{00000000-0005-0000-0000-00005E020000}"/>
    <cellStyle name="Comma 8 2" xfId="123" xr:uid="{00000000-0005-0000-0000-00005F020000}"/>
    <cellStyle name="Comma 8 2 2" xfId="196" xr:uid="{00000000-0005-0000-0000-000060020000}"/>
    <cellStyle name="Comma 8 2 2 2" xfId="873" xr:uid="{00000000-0005-0000-0000-000061020000}"/>
    <cellStyle name="Comma 8 2 2 2 2" xfId="1934" xr:uid="{00000000-0005-0000-0000-000062020000}"/>
    <cellStyle name="Comma 8 2 2 3" xfId="638" xr:uid="{00000000-0005-0000-0000-000063020000}"/>
    <cellStyle name="Comma 8 2 2 3 2" xfId="1700" xr:uid="{00000000-0005-0000-0000-000064020000}"/>
    <cellStyle name="Comma 8 2 2 4" xfId="1067" xr:uid="{00000000-0005-0000-0000-000065020000}"/>
    <cellStyle name="Comma 8 2 2 4 2" xfId="2128" xr:uid="{00000000-0005-0000-0000-000066020000}"/>
    <cellStyle name="Comma 8 2 2 5" xfId="1308" xr:uid="{00000000-0005-0000-0000-000067020000}"/>
    <cellStyle name="Comma 8 2 2 6" xfId="2356" xr:uid="{00000000-0005-0000-0000-000068020000}"/>
    <cellStyle name="Comma 8 2 2 7" xfId="2564" xr:uid="{00000000-0005-0000-0000-000069020000}"/>
    <cellStyle name="Comma 8 2 3" xfId="800" xr:uid="{00000000-0005-0000-0000-00006A020000}"/>
    <cellStyle name="Comma 8 2 3 2" xfId="1861" xr:uid="{00000000-0005-0000-0000-00006B020000}"/>
    <cellStyle name="Comma 8 2 4" xfId="487" xr:uid="{00000000-0005-0000-0000-00006C020000}"/>
    <cellStyle name="Comma 8 2 4 2" xfId="1549" xr:uid="{00000000-0005-0000-0000-00006D020000}"/>
    <cellStyle name="Comma 8 2 5" xfId="994" xr:uid="{00000000-0005-0000-0000-00006E020000}"/>
    <cellStyle name="Comma 8 2 5 2" xfId="2055" xr:uid="{00000000-0005-0000-0000-00006F020000}"/>
    <cellStyle name="Comma 8 2 6" xfId="1235" xr:uid="{00000000-0005-0000-0000-000070020000}"/>
    <cellStyle name="Comma 8 2 7" xfId="2283" xr:uid="{00000000-0005-0000-0000-000071020000}"/>
    <cellStyle name="Comma 8 2 8" xfId="2491" xr:uid="{00000000-0005-0000-0000-000072020000}"/>
    <cellStyle name="Comma 8 3" xfId="169" xr:uid="{00000000-0005-0000-0000-000073020000}"/>
    <cellStyle name="Comma 8 3 2" xfId="846" xr:uid="{00000000-0005-0000-0000-000074020000}"/>
    <cellStyle name="Comma 8 3 2 2" xfId="1907" xr:uid="{00000000-0005-0000-0000-000075020000}"/>
    <cellStyle name="Comma 8 3 3" xfId="563" xr:uid="{00000000-0005-0000-0000-000076020000}"/>
    <cellStyle name="Comma 8 3 3 2" xfId="1625" xr:uid="{00000000-0005-0000-0000-000077020000}"/>
    <cellStyle name="Comma 8 3 4" xfId="1040" xr:uid="{00000000-0005-0000-0000-000078020000}"/>
    <cellStyle name="Comma 8 3 4 2" xfId="2101" xr:uid="{00000000-0005-0000-0000-000079020000}"/>
    <cellStyle name="Comma 8 3 5" xfId="1281" xr:uid="{00000000-0005-0000-0000-00007A020000}"/>
    <cellStyle name="Comma 8 3 6" xfId="2329" xr:uid="{00000000-0005-0000-0000-00007B020000}"/>
    <cellStyle name="Comma 8 3 7" xfId="2537" xr:uid="{00000000-0005-0000-0000-00007C020000}"/>
    <cellStyle name="Comma 8 4" xfId="286" xr:uid="{00000000-0005-0000-0000-00007D020000}"/>
    <cellStyle name="Comma 8 4 2" xfId="724" xr:uid="{00000000-0005-0000-0000-00007E020000}"/>
    <cellStyle name="Comma 8 4 2 2" xfId="1786" xr:uid="{00000000-0005-0000-0000-00007F020000}"/>
    <cellStyle name="Comma 8 4 3" xfId="967" xr:uid="{00000000-0005-0000-0000-000080020000}"/>
    <cellStyle name="Comma 8 4 3 2" xfId="2028" xr:uid="{00000000-0005-0000-0000-000081020000}"/>
    <cellStyle name="Comma 8 4 4" xfId="1360" xr:uid="{00000000-0005-0000-0000-000082020000}"/>
    <cellStyle name="Comma 8 5" xfId="406" xr:uid="{00000000-0005-0000-0000-000083020000}"/>
    <cellStyle name="Comma 8 5 2" xfId="1473" xr:uid="{00000000-0005-0000-0000-000084020000}"/>
    <cellStyle name="Comma 8 6" xfId="774" xr:uid="{00000000-0005-0000-0000-000085020000}"/>
    <cellStyle name="Comma 8 6 2" xfId="1835" xr:uid="{00000000-0005-0000-0000-000086020000}"/>
    <cellStyle name="Comma 8 7" xfId="371" xr:uid="{00000000-0005-0000-0000-000087020000}"/>
    <cellStyle name="Comma 8 7 2" xfId="1438" xr:uid="{00000000-0005-0000-0000-000088020000}"/>
    <cellStyle name="Comma 8 8" xfId="878" xr:uid="{00000000-0005-0000-0000-000089020000}"/>
    <cellStyle name="Comma 8 8 2" xfId="1939" xr:uid="{00000000-0005-0000-0000-00008A020000}"/>
    <cellStyle name="Comma 8 9" xfId="1169" xr:uid="{00000000-0005-0000-0000-00008B020000}"/>
    <cellStyle name="Comma 9" xfId="301" xr:uid="{00000000-0005-0000-0000-00008C020000}"/>
    <cellStyle name="Comma 9 2" xfId="728" xr:uid="{00000000-0005-0000-0000-00008D020000}"/>
    <cellStyle name="Comma 9 2 2" xfId="1789" xr:uid="{00000000-0005-0000-0000-00008E020000}"/>
    <cellStyle name="Comma 9 3" xfId="1071" xr:uid="{00000000-0005-0000-0000-00008F020000}"/>
    <cellStyle name="Comma 9 3 2" xfId="2132" xr:uid="{00000000-0005-0000-0000-000090020000}"/>
    <cellStyle name="Comma 9 4" xfId="1375" xr:uid="{00000000-0005-0000-0000-000091020000}"/>
    <cellStyle name="Comma 9 5" xfId="2568" xr:uid="{00000000-0005-0000-0000-000092020000}"/>
    <cellStyle name="Currency" xfId="2" builtinId="4"/>
    <cellStyle name="Currency 2" xfId="11" xr:uid="{00000000-0005-0000-0000-000094020000}"/>
    <cellStyle name="Currency 2 10" xfId="48" xr:uid="{00000000-0005-0000-0000-000095020000}"/>
    <cellStyle name="Currency 2 2" xfId="56" xr:uid="{00000000-0005-0000-0000-000096020000}"/>
    <cellStyle name="Currency 2 2 2" xfId="249" xr:uid="{00000000-0005-0000-0000-000097020000}"/>
    <cellStyle name="Currency 2 2 3" xfId="318" xr:uid="{00000000-0005-0000-0000-000098020000}"/>
    <cellStyle name="Currency 2 2 4" xfId="310" xr:uid="{00000000-0005-0000-0000-000099020000}"/>
    <cellStyle name="Currency 2 2 4 2" xfId="1082" xr:uid="{00000000-0005-0000-0000-00009A020000}"/>
    <cellStyle name="Currency 2 2 4 2 2" xfId="2143" xr:uid="{00000000-0005-0000-0000-00009B020000}"/>
    <cellStyle name="Currency 2 2 4 3" xfId="1384" xr:uid="{00000000-0005-0000-0000-00009C020000}"/>
    <cellStyle name="Currency 2 2 5" xfId="248" xr:uid="{00000000-0005-0000-0000-00009D020000}"/>
    <cellStyle name="Currency 2 3" xfId="84" xr:uid="{00000000-0005-0000-0000-00009E020000}"/>
    <cellStyle name="Currency 2 3 10" xfId="1106" xr:uid="{00000000-0005-0000-0000-00009F020000}"/>
    <cellStyle name="Currency 2 3 10 2" xfId="2152" xr:uid="{00000000-0005-0000-0000-0000A0020000}"/>
    <cellStyle name="Currency 2 3 11" xfId="1199" xr:uid="{00000000-0005-0000-0000-0000A1020000}"/>
    <cellStyle name="Currency 2 3 12" xfId="2245" xr:uid="{00000000-0005-0000-0000-0000A2020000}"/>
    <cellStyle name="Currency 2 3 13" xfId="2369" xr:uid="{00000000-0005-0000-0000-0000A3020000}"/>
    <cellStyle name="Currency 2 3 2" xfId="109" xr:uid="{00000000-0005-0000-0000-0000A4020000}"/>
    <cellStyle name="Currency 2 3 2 10" xfId="2383" xr:uid="{00000000-0005-0000-0000-0000A5020000}"/>
    <cellStyle name="Currency 2 3 2 2" xfId="182" xr:uid="{00000000-0005-0000-0000-0000A6020000}"/>
    <cellStyle name="Currency 2 3 2 2 2" xfId="664" xr:uid="{00000000-0005-0000-0000-0000A7020000}"/>
    <cellStyle name="Currency 2 3 2 2 2 2" xfId="1726" xr:uid="{00000000-0005-0000-0000-0000A8020000}"/>
    <cellStyle name="Currency 2 3 2 2 2 3" xfId="2550" xr:uid="{00000000-0005-0000-0000-0000A9020000}"/>
    <cellStyle name="Currency 2 3 2 2 3" xfId="859" xr:uid="{00000000-0005-0000-0000-0000AA020000}"/>
    <cellStyle name="Currency 2 3 2 2 3 2" xfId="1920" xr:uid="{00000000-0005-0000-0000-0000AB020000}"/>
    <cellStyle name="Currency 2 3 2 2 4" xfId="513" xr:uid="{00000000-0005-0000-0000-0000AC020000}"/>
    <cellStyle name="Currency 2 3 2 2 4 2" xfId="1575" xr:uid="{00000000-0005-0000-0000-0000AD020000}"/>
    <cellStyle name="Currency 2 3 2 2 5" xfId="1053" xr:uid="{00000000-0005-0000-0000-0000AE020000}"/>
    <cellStyle name="Currency 2 3 2 2 5 2" xfId="2114" xr:uid="{00000000-0005-0000-0000-0000AF020000}"/>
    <cellStyle name="Currency 2 3 2 2 6" xfId="1149" xr:uid="{00000000-0005-0000-0000-0000B0020000}"/>
    <cellStyle name="Currency 2 3 2 2 6 2" xfId="2195" xr:uid="{00000000-0005-0000-0000-0000B1020000}"/>
    <cellStyle name="Currency 2 3 2 2 7" xfId="1294" xr:uid="{00000000-0005-0000-0000-0000B2020000}"/>
    <cellStyle name="Currency 2 3 2 2 8" xfId="2342" xr:uid="{00000000-0005-0000-0000-0000B3020000}"/>
    <cellStyle name="Currency 2 3 2 2 9" xfId="2412" xr:uid="{00000000-0005-0000-0000-0000B4020000}"/>
    <cellStyle name="Currency 2 3 2 3" xfId="293" xr:uid="{00000000-0005-0000-0000-0000B5020000}"/>
    <cellStyle name="Currency 2 3 2 3 2" xfId="589" xr:uid="{00000000-0005-0000-0000-0000B6020000}"/>
    <cellStyle name="Currency 2 3 2 3 2 2" xfId="1651" xr:uid="{00000000-0005-0000-0000-0000B7020000}"/>
    <cellStyle name="Currency 2 3 2 3 3" xfId="980" xr:uid="{00000000-0005-0000-0000-0000B8020000}"/>
    <cellStyle name="Currency 2 3 2 3 3 2" xfId="2041" xr:uid="{00000000-0005-0000-0000-0000B9020000}"/>
    <cellStyle name="Currency 2 3 2 3 4" xfId="1367" xr:uid="{00000000-0005-0000-0000-0000BA020000}"/>
    <cellStyle name="Currency 2 3 2 3 5" xfId="2477" xr:uid="{00000000-0005-0000-0000-0000BB020000}"/>
    <cellStyle name="Currency 2 3 2 4" xfId="786" xr:uid="{00000000-0005-0000-0000-0000BC020000}"/>
    <cellStyle name="Currency 2 3 2 4 2" xfId="1847" xr:uid="{00000000-0005-0000-0000-0000BD020000}"/>
    <cellStyle name="Currency 2 3 2 5" xfId="437" xr:uid="{00000000-0005-0000-0000-0000BE020000}"/>
    <cellStyle name="Currency 2 3 2 5 2" xfId="1499" xr:uid="{00000000-0005-0000-0000-0000BF020000}"/>
    <cellStyle name="Currency 2 3 2 6" xfId="960" xr:uid="{00000000-0005-0000-0000-0000C0020000}"/>
    <cellStyle name="Currency 2 3 2 6 2" xfId="2021" xr:uid="{00000000-0005-0000-0000-0000C1020000}"/>
    <cellStyle name="Currency 2 3 2 7" xfId="1120" xr:uid="{00000000-0005-0000-0000-0000C2020000}"/>
    <cellStyle name="Currency 2 3 2 7 2" xfId="2166" xr:uid="{00000000-0005-0000-0000-0000C3020000}"/>
    <cellStyle name="Currency 2 3 2 8" xfId="1221" xr:uid="{00000000-0005-0000-0000-0000C4020000}"/>
    <cellStyle name="Currency 2 3 2 9" xfId="2269" xr:uid="{00000000-0005-0000-0000-0000C5020000}"/>
    <cellStyle name="Currency 2 3 3" xfId="158" xr:uid="{00000000-0005-0000-0000-0000C6020000}"/>
    <cellStyle name="Currency 2 3 3 2" xfId="632" xr:uid="{00000000-0005-0000-0000-0000C7020000}"/>
    <cellStyle name="Currency 2 3 3 2 2" xfId="1694" xr:uid="{00000000-0005-0000-0000-0000C8020000}"/>
    <cellStyle name="Currency 2 3 3 2 3" xfId="2526" xr:uid="{00000000-0005-0000-0000-0000C9020000}"/>
    <cellStyle name="Currency 2 3 3 3" xfId="835" xr:uid="{00000000-0005-0000-0000-0000CA020000}"/>
    <cellStyle name="Currency 2 3 3 3 2" xfId="1896" xr:uid="{00000000-0005-0000-0000-0000CB020000}"/>
    <cellStyle name="Currency 2 3 3 4" xfId="481" xr:uid="{00000000-0005-0000-0000-0000CC020000}"/>
    <cellStyle name="Currency 2 3 3 4 2" xfId="1543" xr:uid="{00000000-0005-0000-0000-0000CD020000}"/>
    <cellStyle name="Currency 2 3 3 5" xfId="1029" xr:uid="{00000000-0005-0000-0000-0000CE020000}"/>
    <cellStyle name="Currency 2 3 3 5 2" xfId="2090" xr:uid="{00000000-0005-0000-0000-0000CF020000}"/>
    <cellStyle name="Currency 2 3 3 6" xfId="1135" xr:uid="{00000000-0005-0000-0000-0000D0020000}"/>
    <cellStyle name="Currency 2 3 3 6 2" xfId="2181" xr:uid="{00000000-0005-0000-0000-0000D1020000}"/>
    <cellStyle name="Currency 2 3 3 7" xfId="1270" xr:uid="{00000000-0005-0000-0000-0000D2020000}"/>
    <cellStyle name="Currency 2 3 3 8" xfId="2318" xr:uid="{00000000-0005-0000-0000-0000D3020000}"/>
    <cellStyle name="Currency 2 3 3 9" xfId="2398" xr:uid="{00000000-0005-0000-0000-0000D4020000}"/>
    <cellStyle name="Currency 2 3 4" xfId="276" xr:uid="{00000000-0005-0000-0000-0000D5020000}"/>
    <cellStyle name="Currency 2 3 4 2" xfId="557" xr:uid="{00000000-0005-0000-0000-0000D6020000}"/>
    <cellStyle name="Currency 2 3 4 2 2" xfId="1619" xr:uid="{00000000-0005-0000-0000-0000D7020000}"/>
    <cellStyle name="Currency 2 3 4 3" xfId="886" xr:uid="{00000000-0005-0000-0000-0000D8020000}"/>
    <cellStyle name="Currency 2 3 4 3 2" xfId="1947" xr:uid="{00000000-0005-0000-0000-0000D9020000}"/>
    <cellStyle name="Currency 2 3 4 4" xfId="1350" xr:uid="{00000000-0005-0000-0000-0000DA020000}"/>
    <cellStyle name="Currency 2 3 4 5" xfId="2453" xr:uid="{00000000-0005-0000-0000-0000DB020000}"/>
    <cellStyle name="Currency 2 3 5" xfId="305" xr:uid="{00000000-0005-0000-0000-0000DC020000}"/>
    <cellStyle name="Currency 2 3 5 2" xfId="713" xr:uid="{00000000-0005-0000-0000-0000DD020000}"/>
    <cellStyle name="Currency 2 3 5 2 2" xfId="1775" xr:uid="{00000000-0005-0000-0000-0000DE020000}"/>
    <cellStyle name="Currency 2 3 5 3" xfId="1075" xr:uid="{00000000-0005-0000-0000-0000DF020000}"/>
    <cellStyle name="Currency 2 3 5 3 2" xfId="2136" xr:uid="{00000000-0005-0000-0000-0000E0020000}"/>
    <cellStyle name="Currency 2 3 5 4" xfId="1379" xr:uid="{00000000-0005-0000-0000-0000E1020000}"/>
    <cellStyle name="Currency 2 3 6" xfId="400" xr:uid="{00000000-0005-0000-0000-0000E2020000}"/>
    <cellStyle name="Currency 2 3 6 2" xfId="1467" xr:uid="{00000000-0005-0000-0000-0000E3020000}"/>
    <cellStyle name="Currency 2 3 7" xfId="763" xr:uid="{00000000-0005-0000-0000-0000E4020000}"/>
    <cellStyle name="Currency 2 3 7 2" xfId="1824" xr:uid="{00000000-0005-0000-0000-0000E5020000}"/>
    <cellStyle name="Currency 2 3 8" xfId="360" xr:uid="{00000000-0005-0000-0000-0000E6020000}"/>
    <cellStyle name="Currency 2 3 8 2" xfId="1427" xr:uid="{00000000-0005-0000-0000-0000E7020000}"/>
    <cellStyle name="Currency 2 3 9" xfId="888" xr:uid="{00000000-0005-0000-0000-0000E8020000}"/>
    <cellStyle name="Currency 2 3 9 2" xfId="1949" xr:uid="{00000000-0005-0000-0000-0000E9020000}"/>
    <cellStyle name="Currency 2 4" xfId="97" xr:uid="{00000000-0005-0000-0000-0000EA020000}"/>
    <cellStyle name="Currency 2 4 2" xfId="491" xr:uid="{00000000-0005-0000-0000-0000EB020000}"/>
    <cellStyle name="Currency 2 4 2 2" xfId="642" xr:uid="{00000000-0005-0000-0000-0000EC020000}"/>
    <cellStyle name="Currency 2 4 2 2 2" xfId="1704" xr:uid="{00000000-0005-0000-0000-0000ED020000}"/>
    <cellStyle name="Currency 2 4 2 3" xfId="1086" xr:uid="{00000000-0005-0000-0000-0000EE020000}"/>
    <cellStyle name="Currency 2 4 2 4" xfId="1553" xr:uid="{00000000-0005-0000-0000-0000EF020000}"/>
    <cellStyle name="Currency 2 4 3" xfId="567" xr:uid="{00000000-0005-0000-0000-0000F0020000}"/>
    <cellStyle name="Currency 2 4 3 2" xfId="1629" xr:uid="{00000000-0005-0000-0000-0000F1020000}"/>
    <cellStyle name="Currency 2 4 4" xfId="726" xr:uid="{00000000-0005-0000-0000-0000F2020000}"/>
    <cellStyle name="Currency 2 4 5" xfId="415" xr:uid="{00000000-0005-0000-0000-0000F3020000}"/>
    <cellStyle name="Currency 2 4 5 2" xfId="1477" xr:uid="{00000000-0005-0000-0000-0000F4020000}"/>
    <cellStyle name="Currency 2 4 6" xfId="334" xr:uid="{00000000-0005-0000-0000-0000F5020000}"/>
    <cellStyle name="Currency 2 4 6 2" xfId="1401" xr:uid="{00000000-0005-0000-0000-0000F6020000}"/>
    <cellStyle name="Currency 2 4 7" xfId="1103" xr:uid="{00000000-0005-0000-0000-0000F7020000}"/>
    <cellStyle name="Currency 2 5" xfId="127" xr:uid="{00000000-0005-0000-0000-0000F8020000}"/>
    <cellStyle name="Currency 2 5 2" xfId="298" xr:uid="{00000000-0005-0000-0000-0000F9020000}"/>
    <cellStyle name="Currency 2 5 2 2" xfId="609" xr:uid="{00000000-0005-0000-0000-0000FA020000}"/>
    <cellStyle name="Currency 2 5 2 2 2" xfId="1671" xr:uid="{00000000-0005-0000-0000-0000FB020000}"/>
    <cellStyle name="Currency 2 5 2 3" xfId="998" xr:uid="{00000000-0005-0000-0000-0000FC020000}"/>
    <cellStyle name="Currency 2 5 2 3 2" xfId="2059" xr:uid="{00000000-0005-0000-0000-0000FD020000}"/>
    <cellStyle name="Currency 2 5 2 4" xfId="1372" xr:uid="{00000000-0005-0000-0000-0000FE020000}"/>
    <cellStyle name="Currency 2 5 3" xfId="457" xr:uid="{00000000-0005-0000-0000-0000FF020000}"/>
    <cellStyle name="Currency 2 5 3 2" xfId="1519" xr:uid="{00000000-0005-0000-0000-000000030000}"/>
    <cellStyle name="Currency 2 5 4" xfId="804" xr:uid="{00000000-0005-0000-0000-000001030000}"/>
    <cellStyle name="Currency 2 5 4 2" xfId="1865" xr:uid="{00000000-0005-0000-0000-000002030000}"/>
    <cellStyle name="Currency 2 5 5" xfId="368" xr:uid="{00000000-0005-0000-0000-000003030000}"/>
    <cellStyle name="Currency 2 5 5 2" xfId="1435" xr:uid="{00000000-0005-0000-0000-000004030000}"/>
    <cellStyle name="Currency 2 5 6" xfId="345" xr:uid="{00000000-0005-0000-0000-000005030000}"/>
    <cellStyle name="Currency 2 5 6 2" xfId="1412" xr:uid="{00000000-0005-0000-0000-000006030000}"/>
    <cellStyle name="Currency 2 5 7" xfId="1239" xr:uid="{00000000-0005-0000-0000-000007030000}"/>
    <cellStyle name="Currency 2 5 8" xfId="2287" xr:uid="{00000000-0005-0000-0000-000008030000}"/>
    <cellStyle name="Currency 2 5 9" xfId="2495" xr:uid="{00000000-0005-0000-0000-000009030000}"/>
    <cellStyle name="Currency 2 6" xfId="203" xr:uid="{00000000-0005-0000-0000-00000A030000}"/>
    <cellStyle name="Currency 2 6 2" xfId="533" xr:uid="{00000000-0005-0000-0000-00000B030000}"/>
    <cellStyle name="Currency 2 6 2 2" xfId="1595" xr:uid="{00000000-0005-0000-0000-00000C030000}"/>
    <cellStyle name="Currency 2 6 3" xfId="375" xr:uid="{00000000-0005-0000-0000-00000D030000}"/>
    <cellStyle name="Currency 2 6 3 2" xfId="1442" xr:uid="{00000000-0005-0000-0000-00000E030000}"/>
    <cellStyle name="Currency 2 6 4" xfId="319" xr:uid="{00000000-0005-0000-0000-00000F030000}"/>
    <cellStyle name="Currency 2 6 4 2" xfId="1386" xr:uid="{00000000-0005-0000-0000-000010030000}"/>
    <cellStyle name="Currency 2 6 5" xfId="251" xr:uid="{00000000-0005-0000-0000-000011030000}"/>
    <cellStyle name="Currency 2 6 5 2" xfId="1325" xr:uid="{00000000-0005-0000-0000-000012030000}"/>
    <cellStyle name="Currency 2 7" xfId="226" xr:uid="{00000000-0005-0000-0000-000013030000}"/>
    <cellStyle name="Currency 2 7 2" xfId="1320" xr:uid="{00000000-0005-0000-0000-000014030000}"/>
    <cellStyle name="Currency 2 7 3" xfId="2214" xr:uid="{00000000-0005-0000-0000-000015030000}"/>
    <cellStyle name="Currency 2 7 4" xfId="2422" xr:uid="{00000000-0005-0000-0000-000016030000}"/>
    <cellStyle name="Currency 2 8" xfId="382" xr:uid="{00000000-0005-0000-0000-000017030000}"/>
    <cellStyle name="Currency 2 8 2" xfId="1449" xr:uid="{00000000-0005-0000-0000-000018030000}"/>
    <cellStyle name="Currency 2 9" xfId="732" xr:uid="{00000000-0005-0000-0000-000019030000}"/>
    <cellStyle name="Currency 2 9 2" xfId="1793" xr:uid="{00000000-0005-0000-0000-00001A030000}"/>
    <cellStyle name="Currency 3" xfId="14" xr:uid="{00000000-0005-0000-0000-00001B030000}"/>
    <cellStyle name="Currency 3 10" xfId="930" xr:uid="{00000000-0005-0000-0000-00001C030000}"/>
    <cellStyle name="Currency 3 10 2" xfId="1991" xr:uid="{00000000-0005-0000-0000-00001D030000}"/>
    <cellStyle name="Currency 3 11" xfId="53" xr:uid="{00000000-0005-0000-0000-00001E030000}"/>
    <cellStyle name="Currency 3 11 2" xfId="1092" xr:uid="{00000000-0005-0000-0000-00001F030000}"/>
    <cellStyle name="Currency 3 11 3" xfId="1180" xr:uid="{00000000-0005-0000-0000-000020030000}"/>
    <cellStyle name="Currency 3 2" xfId="88" xr:uid="{00000000-0005-0000-0000-000021030000}"/>
    <cellStyle name="Currency 3 2 10" xfId="1109" xr:uid="{00000000-0005-0000-0000-000022030000}"/>
    <cellStyle name="Currency 3 2 10 2" xfId="2155" xr:uid="{00000000-0005-0000-0000-000023030000}"/>
    <cellStyle name="Currency 3 2 11" xfId="1203" xr:uid="{00000000-0005-0000-0000-000024030000}"/>
    <cellStyle name="Currency 3 2 12" xfId="2249" xr:uid="{00000000-0005-0000-0000-000025030000}"/>
    <cellStyle name="Currency 3 2 13" xfId="2372" xr:uid="{00000000-0005-0000-0000-000026030000}"/>
    <cellStyle name="Currency 3 2 2" xfId="113" xr:uid="{00000000-0005-0000-0000-000027030000}"/>
    <cellStyle name="Currency 3 2 2 10" xfId="2387" xr:uid="{00000000-0005-0000-0000-000028030000}"/>
    <cellStyle name="Currency 3 2 2 2" xfId="186" xr:uid="{00000000-0005-0000-0000-000029030000}"/>
    <cellStyle name="Currency 3 2 2 2 2" xfId="670" xr:uid="{00000000-0005-0000-0000-00002A030000}"/>
    <cellStyle name="Currency 3 2 2 2 2 2" xfId="1732" xr:uid="{00000000-0005-0000-0000-00002B030000}"/>
    <cellStyle name="Currency 3 2 2 2 2 3" xfId="2554" xr:uid="{00000000-0005-0000-0000-00002C030000}"/>
    <cellStyle name="Currency 3 2 2 2 3" xfId="863" xr:uid="{00000000-0005-0000-0000-00002D030000}"/>
    <cellStyle name="Currency 3 2 2 2 3 2" xfId="1924" xr:uid="{00000000-0005-0000-0000-00002E030000}"/>
    <cellStyle name="Currency 3 2 2 2 4" xfId="519" xr:uid="{00000000-0005-0000-0000-00002F030000}"/>
    <cellStyle name="Currency 3 2 2 2 4 2" xfId="1581" xr:uid="{00000000-0005-0000-0000-000030030000}"/>
    <cellStyle name="Currency 3 2 2 2 5" xfId="1057" xr:uid="{00000000-0005-0000-0000-000031030000}"/>
    <cellStyle name="Currency 3 2 2 2 5 2" xfId="2118" xr:uid="{00000000-0005-0000-0000-000032030000}"/>
    <cellStyle name="Currency 3 2 2 2 6" xfId="1153" xr:uid="{00000000-0005-0000-0000-000033030000}"/>
    <cellStyle name="Currency 3 2 2 2 6 2" xfId="2199" xr:uid="{00000000-0005-0000-0000-000034030000}"/>
    <cellStyle name="Currency 3 2 2 2 7" xfId="1298" xr:uid="{00000000-0005-0000-0000-000035030000}"/>
    <cellStyle name="Currency 3 2 2 2 8" xfId="2346" xr:uid="{00000000-0005-0000-0000-000036030000}"/>
    <cellStyle name="Currency 3 2 2 2 9" xfId="2416" xr:uid="{00000000-0005-0000-0000-000037030000}"/>
    <cellStyle name="Currency 3 2 2 3" xfId="595" xr:uid="{00000000-0005-0000-0000-000038030000}"/>
    <cellStyle name="Currency 3 2 2 3 2" xfId="1657" xr:uid="{00000000-0005-0000-0000-000039030000}"/>
    <cellStyle name="Currency 3 2 2 3 3" xfId="2481" xr:uid="{00000000-0005-0000-0000-00003A030000}"/>
    <cellStyle name="Currency 3 2 2 4" xfId="790" xr:uid="{00000000-0005-0000-0000-00003B030000}"/>
    <cellStyle name="Currency 3 2 2 4 2" xfId="1851" xr:uid="{00000000-0005-0000-0000-00003C030000}"/>
    <cellStyle name="Currency 3 2 2 5" xfId="443" xr:uid="{00000000-0005-0000-0000-00003D030000}"/>
    <cellStyle name="Currency 3 2 2 5 2" xfId="1505" xr:uid="{00000000-0005-0000-0000-00003E030000}"/>
    <cellStyle name="Currency 3 2 2 6" xfId="984" xr:uid="{00000000-0005-0000-0000-00003F030000}"/>
    <cellStyle name="Currency 3 2 2 6 2" xfId="2045" xr:uid="{00000000-0005-0000-0000-000040030000}"/>
    <cellStyle name="Currency 3 2 2 7" xfId="1124" xr:uid="{00000000-0005-0000-0000-000041030000}"/>
    <cellStyle name="Currency 3 2 2 7 2" xfId="2170" xr:uid="{00000000-0005-0000-0000-000042030000}"/>
    <cellStyle name="Currency 3 2 2 8" xfId="1225" xr:uid="{00000000-0005-0000-0000-000043030000}"/>
    <cellStyle name="Currency 3 2 2 9" xfId="2273" xr:uid="{00000000-0005-0000-0000-000044030000}"/>
    <cellStyle name="Currency 3 2 3" xfId="162" xr:uid="{00000000-0005-0000-0000-000045030000}"/>
    <cellStyle name="Currency 3 2 3 2" xfId="636" xr:uid="{00000000-0005-0000-0000-000046030000}"/>
    <cellStyle name="Currency 3 2 3 2 2" xfId="1698" xr:uid="{00000000-0005-0000-0000-000047030000}"/>
    <cellStyle name="Currency 3 2 3 2 3" xfId="2530" xr:uid="{00000000-0005-0000-0000-000048030000}"/>
    <cellStyle name="Currency 3 2 3 3" xfId="839" xr:uid="{00000000-0005-0000-0000-000049030000}"/>
    <cellStyle name="Currency 3 2 3 3 2" xfId="1900" xr:uid="{00000000-0005-0000-0000-00004A030000}"/>
    <cellStyle name="Currency 3 2 3 4" xfId="485" xr:uid="{00000000-0005-0000-0000-00004B030000}"/>
    <cellStyle name="Currency 3 2 3 4 2" xfId="1547" xr:uid="{00000000-0005-0000-0000-00004C030000}"/>
    <cellStyle name="Currency 3 2 3 5" xfId="1033" xr:uid="{00000000-0005-0000-0000-00004D030000}"/>
    <cellStyle name="Currency 3 2 3 5 2" xfId="2094" xr:uid="{00000000-0005-0000-0000-00004E030000}"/>
    <cellStyle name="Currency 3 2 3 6" xfId="1138" xr:uid="{00000000-0005-0000-0000-00004F030000}"/>
    <cellStyle name="Currency 3 2 3 6 2" xfId="2184" xr:uid="{00000000-0005-0000-0000-000050030000}"/>
    <cellStyle name="Currency 3 2 3 7" xfId="1274" xr:uid="{00000000-0005-0000-0000-000051030000}"/>
    <cellStyle name="Currency 3 2 3 8" xfId="2322" xr:uid="{00000000-0005-0000-0000-000052030000}"/>
    <cellStyle name="Currency 3 2 3 9" xfId="2401" xr:uid="{00000000-0005-0000-0000-000053030000}"/>
    <cellStyle name="Currency 3 2 4" xfId="279" xr:uid="{00000000-0005-0000-0000-000054030000}"/>
    <cellStyle name="Currency 3 2 4 2" xfId="561" xr:uid="{00000000-0005-0000-0000-000055030000}"/>
    <cellStyle name="Currency 3 2 4 2 2" xfId="1623" xr:uid="{00000000-0005-0000-0000-000056030000}"/>
    <cellStyle name="Currency 3 2 4 3" xfId="927" xr:uid="{00000000-0005-0000-0000-000057030000}"/>
    <cellStyle name="Currency 3 2 4 3 2" xfId="1988" xr:uid="{00000000-0005-0000-0000-000058030000}"/>
    <cellStyle name="Currency 3 2 4 4" xfId="1353" xr:uid="{00000000-0005-0000-0000-000059030000}"/>
    <cellStyle name="Currency 3 2 4 5" xfId="2457" xr:uid="{00000000-0005-0000-0000-00005A030000}"/>
    <cellStyle name="Currency 3 2 5" xfId="717" xr:uid="{00000000-0005-0000-0000-00005B030000}"/>
    <cellStyle name="Currency 3 2 5 2" xfId="1779" xr:uid="{00000000-0005-0000-0000-00005C030000}"/>
    <cellStyle name="Currency 3 2 6" xfId="404" xr:uid="{00000000-0005-0000-0000-00005D030000}"/>
    <cellStyle name="Currency 3 2 6 2" xfId="1471" xr:uid="{00000000-0005-0000-0000-00005E030000}"/>
    <cellStyle name="Currency 3 2 7" xfId="767" xr:uid="{00000000-0005-0000-0000-00005F030000}"/>
    <cellStyle name="Currency 3 2 7 2" xfId="1828" xr:uid="{00000000-0005-0000-0000-000060030000}"/>
    <cellStyle name="Currency 3 2 8" xfId="364" xr:uid="{00000000-0005-0000-0000-000061030000}"/>
    <cellStyle name="Currency 3 2 8 2" xfId="1431" xr:uid="{00000000-0005-0000-0000-000062030000}"/>
    <cellStyle name="Currency 3 2 9" xfId="938" xr:uid="{00000000-0005-0000-0000-000063030000}"/>
    <cellStyle name="Currency 3 2 9 2" xfId="1999" xr:uid="{00000000-0005-0000-0000-000064030000}"/>
    <cellStyle name="Currency 3 3" xfId="72" xr:uid="{00000000-0005-0000-0000-000065030000}"/>
    <cellStyle name="Currency 3 3 10" xfId="1191" xr:uid="{00000000-0005-0000-0000-000066030000}"/>
    <cellStyle name="Currency 3 3 11" xfId="2237" xr:uid="{00000000-0005-0000-0000-000067030000}"/>
    <cellStyle name="Currency 3 3 12" xfId="2376" xr:uid="{00000000-0005-0000-0000-000068030000}"/>
    <cellStyle name="Currency 3 3 2" xfId="150" xr:uid="{00000000-0005-0000-0000-000069030000}"/>
    <cellStyle name="Currency 3 3 2 2" xfId="673" xr:uid="{00000000-0005-0000-0000-00006A030000}"/>
    <cellStyle name="Currency 3 3 2 2 2" xfId="1735" xr:uid="{00000000-0005-0000-0000-00006B030000}"/>
    <cellStyle name="Currency 3 3 2 2 3" xfId="2518" xr:uid="{00000000-0005-0000-0000-00006C030000}"/>
    <cellStyle name="Currency 3 3 2 3" xfId="827" xr:uid="{00000000-0005-0000-0000-00006D030000}"/>
    <cellStyle name="Currency 3 3 2 3 2" xfId="1888" xr:uid="{00000000-0005-0000-0000-00006E030000}"/>
    <cellStyle name="Currency 3 3 2 4" xfId="522" xr:uid="{00000000-0005-0000-0000-00006F030000}"/>
    <cellStyle name="Currency 3 3 2 4 2" xfId="1584" xr:uid="{00000000-0005-0000-0000-000070030000}"/>
    <cellStyle name="Currency 3 3 2 5" xfId="1021" xr:uid="{00000000-0005-0000-0000-000071030000}"/>
    <cellStyle name="Currency 3 3 2 5 2" xfId="2082" xr:uid="{00000000-0005-0000-0000-000072030000}"/>
    <cellStyle name="Currency 3 3 2 6" xfId="1142" xr:uid="{00000000-0005-0000-0000-000073030000}"/>
    <cellStyle name="Currency 3 3 2 6 2" xfId="2188" xr:uid="{00000000-0005-0000-0000-000074030000}"/>
    <cellStyle name="Currency 3 3 2 7" xfId="1262" xr:uid="{00000000-0005-0000-0000-000075030000}"/>
    <cellStyle name="Currency 3 3 2 8" xfId="2310" xr:uid="{00000000-0005-0000-0000-000076030000}"/>
    <cellStyle name="Currency 3 3 2 9" xfId="2405" xr:uid="{00000000-0005-0000-0000-000077030000}"/>
    <cellStyle name="Currency 3 3 3" xfId="268" xr:uid="{00000000-0005-0000-0000-000078030000}"/>
    <cellStyle name="Currency 3 3 3 2" xfId="598" xr:uid="{00000000-0005-0000-0000-000079030000}"/>
    <cellStyle name="Currency 3 3 3 2 2" xfId="1660" xr:uid="{00000000-0005-0000-0000-00007A030000}"/>
    <cellStyle name="Currency 3 3 3 3" xfId="911" xr:uid="{00000000-0005-0000-0000-00007B030000}"/>
    <cellStyle name="Currency 3 3 3 3 2" xfId="1972" xr:uid="{00000000-0005-0000-0000-00007C030000}"/>
    <cellStyle name="Currency 3 3 3 4" xfId="1342" xr:uid="{00000000-0005-0000-0000-00007D030000}"/>
    <cellStyle name="Currency 3 3 3 5" xfId="2445" xr:uid="{00000000-0005-0000-0000-00007E030000}"/>
    <cellStyle name="Currency 3 3 4" xfId="705" xr:uid="{00000000-0005-0000-0000-00007F030000}"/>
    <cellStyle name="Currency 3 3 4 2" xfId="1767" xr:uid="{00000000-0005-0000-0000-000080030000}"/>
    <cellStyle name="Currency 3 3 5" xfId="446" xr:uid="{00000000-0005-0000-0000-000081030000}"/>
    <cellStyle name="Currency 3 3 5 2" xfId="1508" xr:uid="{00000000-0005-0000-0000-000082030000}"/>
    <cellStyle name="Currency 3 3 6" xfId="755" xr:uid="{00000000-0005-0000-0000-000083030000}"/>
    <cellStyle name="Currency 3 3 6 2" xfId="1816" xr:uid="{00000000-0005-0000-0000-000084030000}"/>
    <cellStyle name="Currency 3 3 7" xfId="341" xr:uid="{00000000-0005-0000-0000-000085030000}"/>
    <cellStyle name="Currency 3 3 7 2" xfId="1408" xr:uid="{00000000-0005-0000-0000-000086030000}"/>
    <cellStyle name="Currency 3 3 8" xfId="913" xr:uid="{00000000-0005-0000-0000-000087030000}"/>
    <cellStyle name="Currency 3 3 8 2" xfId="1974" xr:uid="{00000000-0005-0000-0000-000088030000}"/>
    <cellStyle name="Currency 3 3 9" xfId="1113" xr:uid="{00000000-0005-0000-0000-000089030000}"/>
    <cellStyle name="Currency 3 3 9 2" xfId="2159" xr:uid="{00000000-0005-0000-0000-00008A030000}"/>
    <cellStyle name="Currency 3 4" xfId="101" xr:uid="{00000000-0005-0000-0000-00008B030000}"/>
    <cellStyle name="Currency 3 4 10" xfId="2261" xr:uid="{00000000-0005-0000-0000-00008C030000}"/>
    <cellStyle name="Currency 3 4 11" xfId="2366" xr:uid="{00000000-0005-0000-0000-00008D030000}"/>
    <cellStyle name="Currency 3 4 2" xfId="174" xr:uid="{00000000-0005-0000-0000-00008E030000}"/>
    <cellStyle name="Currency 3 4 2 2" xfId="647" xr:uid="{00000000-0005-0000-0000-00008F030000}"/>
    <cellStyle name="Currency 3 4 2 2 2" xfId="1709" xr:uid="{00000000-0005-0000-0000-000090030000}"/>
    <cellStyle name="Currency 3 4 2 2 3" xfId="2542" xr:uid="{00000000-0005-0000-0000-000091030000}"/>
    <cellStyle name="Currency 3 4 2 3" xfId="851" xr:uid="{00000000-0005-0000-0000-000092030000}"/>
    <cellStyle name="Currency 3 4 2 3 2" xfId="1912" xr:uid="{00000000-0005-0000-0000-000093030000}"/>
    <cellStyle name="Currency 3 4 2 4" xfId="496" xr:uid="{00000000-0005-0000-0000-000094030000}"/>
    <cellStyle name="Currency 3 4 2 4 2" xfId="1558" xr:uid="{00000000-0005-0000-0000-000095030000}"/>
    <cellStyle name="Currency 3 4 2 5" xfId="1045" xr:uid="{00000000-0005-0000-0000-000096030000}"/>
    <cellStyle name="Currency 3 4 2 5 2" xfId="2106" xr:uid="{00000000-0005-0000-0000-000097030000}"/>
    <cellStyle name="Currency 3 4 2 6" xfId="1132" xr:uid="{00000000-0005-0000-0000-000098030000}"/>
    <cellStyle name="Currency 3 4 2 6 2" xfId="2178" xr:uid="{00000000-0005-0000-0000-000099030000}"/>
    <cellStyle name="Currency 3 4 2 7" xfId="1286" xr:uid="{00000000-0005-0000-0000-00009A030000}"/>
    <cellStyle name="Currency 3 4 2 8" xfId="2334" xr:uid="{00000000-0005-0000-0000-00009B030000}"/>
    <cellStyle name="Currency 3 4 2 9" xfId="2395" xr:uid="{00000000-0005-0000-0000-00009C030000}"/>
    <cellStyle name="Currency 3 4 3" xfId="288" xr:uid="{00000000-0005-0000-0000-00009D030000}"/>
    <cellStyle name="Currency 3 4 3 2" xfId="572" xr:uid="{00000000-0005-0000-0000-00009E030000}"/>
    <cellStyle name="Currency 3 4 3 2 2" xfId="1634" xr:uid="{00000000-0005-0000-0000-00009F030000}"/>
    <cellStyle name="Currency 3 4 3 3" xfId="972" xr:uid="{00000000-0005-0000-0000-0000A0030000}"/>
    <cellStyle name="Currency 3 4 3 3 2" xfId="2033" xr:uid="{00000000-0005-0000-0000-0000A1030000}"/>
    <cellStyle name="Currency 3 4 3 4" xfId="1362" xr:uid="{00000000-0005-0000-0000-0000A2030000}"/>
    <cellStyle name="Currency 3 4 3 5" xfId="2469" xr:uid="{00000000-0005-0000-0000-0000A3030000}"/>
    <cellStyle name="Currency 3 4 4" xfId="420" xr:uid="{00000000-0005-0000-0000-0000A4030000}"/>
    <cellStyle name="Currency 3 4 4 2" xfId="1482" xr:uid="{00000000-0005-0000-0000-0000A5030000}"/>
    <cellStyle name="Currency 3 4 5" xfId="778" xr:uid="{00000000-0005-0000-0000-0000A6030000}"/>
    <cellStyle name="Currency 3 4 5 2" xfId="1839" xr:uid="{00000000-0005-0000-0000-0000A7030000}"/>
    <cellStyle name="Currency 3 4 6" xfId="369" xr:uid="{00000000-0005-0000-0000-0000A8030000}"/>
    <cellStyle name="Currency 3 4 6 2" xfId="1436" xr:uid="{00000000-0005-0000-0000-0000A9030000}"/>
    <cellStyle name="Currency 3 4 7" xfId="920" xr:uid="{00000000-0005-0000-0000-0000AA030000}"/>
    <cellStyle name="Currency 3 4 7 2" xfId="1981" xr:uid="{00000000-0005-0000-0000-0000AB030000}"/>
    <cellStyle name="Currency 3 4 8" xfId="1102" xr:uid="{00000000-0005-0000-0000-0000AC030000}"/>
    <cellStyle name="Currency 3 4 8 2" xfId="2149" xr:uid="{00000000-0005-0000-0000-0000AD030000}"/>
    <cellStyle name="Currency 3 4 9" xfId="1214" xr:uid="{00000000-0005-0000-0000-0000AE030000}"/>
    <cellStyle name="Currency 3 5" xfId="132" xr:uid="{00000000-0005-0000-0000-0000AF030000}"/>
    <cellStyle name="Currency 3 5 2" xfId="614" xr:uid="{00000000-0005-0000-0000-0000B0030000}"/>
    <cellStyle name="Currency 3 5 2 2" xfId="1676" xr:uid="{00000000-0005-0000-0000-0000B1030000}"/>
    <cellStyle name="Currency 3 5 3" xfId="463" xr:uid="{00000000-0005-0000-0000-0000B2030000}"/>
    <cellStyle name="Currency 3 5 3 2" xfId="1525" xr:uid="{00000000-0005-0000-0000-0000B3030000}"/>
    <cellStyle name="Currency 3 5 4" xfId="809" xr:uid="{00000000-0005-0000-0000-0000B4030000}"/>
    <cellStyle name="Currency 3 5 4 2" xfId="1870" xr:uid="{00000000-0005-0000-0000-0000B5030000}"/>
    <cellStyle name="Currency 3 5 5" xfId="379" xr:uid="{00000000-0005-0000-0000-0000B6030000}"/>
    <cellStyle name="Currency 3 5 5 2" xfId="1446" xr:uid="{00000000-0005-0000-0000-0000B7030000}"/>
    <cellStyle name="Currency 3 5 6" xfId="1003" xr:uid="{00000000-0005-0000-0000-0000B8030000}"/>
    <cellStyle name="Currency 3 5 6 2" xfId="2064" xr:uid="{00000000-0005-0000-0000-0000B9030000}"/>
    <cellStyle name="Currency 3 5 7" xfId="1244" xr:uid="{00000000-0005-0000-0000-0000BA030000}"/>
    <cellStyle name="Currency 3 5 8" xfId="2292" xr:uid="{00000000-0005-0000-0000-0000BB030000}"/>
    <cellStyle name="Currency 3 5 9" xfId="2500" xr:uid="{00000000-0005-0000-0000-0000BC030000}"/>
    <cellStyle name="Currency 3 6" xfId="205" xr:uid="{00000000-0005-0000-0000-0000BD030000}"/>
    <cellStyle name="Currency 3 6 2" xfId="539" xr:uid="{00000000-0005-0000-0000-0000BE030000}"/>
    <cellStyle name="Currency 3 6 2 2" xfId="1601" xr:uid="{00000000-0005-0000-0000-0000BF030000}"/>
    <cellStyle name="Currency 3 6 3" xfId="931" xr:uid="{00000000-0005-0000-0000-0000C0030000}"/>
    <cellStyle name="Currency 3 6 3 2" xfId="1992" xr:uid="{00000000-0005-0000-0000-0000C1030000}"/>
    <cellStyle name="Currency 3 6 4" xfId="255" xr:uid="{00000000-0005-0000-0000-0000C2030000}"/>
    <cellStyle name="Currency 3 6 4 2" xfId="1329" xr:uid="{00000000-0005-0000-0000-0000C3030000}"/>
    <cellStyle name="Currency 3 7" xfId="221" xr:uid="{00000000-0005-0000-0000-0000C4030000}"/>
    <cellStyle name="Currency 3 7 2" xfId="687" xr:uid="{00000000-0005-0000-0000-0000C5030000}"/>
    <cellStyle name="Currency 3 7 2 2" xfId="1749" xr:uid="{00000000-0005-0000-0000-0000C6030000}"/>
    <cellStyle name="Currency 3 7 3" xfId="1080" xr:uid="{00000000-0005-0000-0000-0000C7030000}"/>
    <cellStyle name="Currency 3 7 3 2" xfId="2141" xr:uid="{00000000-0005-0000-0000-0000C8030000}"/>
    <cellStyle name="Currency 3 7 4" xfId="1316" xr:uid="{00000000-0005-0000-0000-0000C9030000}"/>
    <cellStyle name="Currency 3 7 5" xfId="2219" xr:uid="{00000000-0005-0000-0000-0000CA030000}"/>
    <cellStyle name="Currency 3 7 6" xfId="2427" xr:uid="{00000000-0005-0000-0000-0000CB030000}"/>
    <cellStyle name="Currency 3 8" xfId="328" xr:uid="{00000000-0005-0000-0000-0000CC030000}"/>
    <cellStyle name="Currency 3 8 2" xfId="1395" xr:uid="{00000000-0005-0000-0000-0000CD030000}"/>
    <cellStyle name="Currency 3 9" xfId="737" xr:uid="{00000000-0005-0000-0000-0000CE030000}"/>
    <cellStyle name="Currency 3 9 2" xfId="1798" xr:uid="{00000000-0005-0000-0000-0000CF030000}"/>
    <cellStyle name="Currency 4" xfId="31" xr:uid="{00000000-0005-0000-0000-0000D0030000}"/>
    <cellStyle name="Currency 4 10" xfId="933" xr:uid="{00000000-0005-0000-0000-0000D1030000}"/>
    <cellStyle name="Currency 4 10 2" xfId="1994" xr:uid="{00000000-0005-0000-0000-0000D2030000}"/>
    <cellStyle name="Currency 4 11" xfId="1089" xr:uid="{00000000-0005-0000-0000-0000D3030000}"/>
    <cellStyle name="Currency 4 11 2" xfId="2147" xr:uid="{00000000-0005-0000-0000-0000D4030000}"/>
    <cellStyle name="Currency 4 12" xfId="1166" xr:uid="{00000000-0005-0000-0000-0000D5030000}"/>
    <cellStyle name="Currency 4 13" xfId="2212" xr:uid="{00000000-0005-0000-0000-0000D6030000}"/>
    <cellStyle name="Currency 4 14" xfId="2361" xr:uid="{00000000-0005-0000-0000-0000D7030000}"/>
    <cellStyle name="Currency 4 2" xfId="76" xr:uid="{00000000-0005-0000-0000-0000D8030000}"/>
    <cellStyle name="Currency 4 2 10" xfId="2241" xr:uid="{00000000-0005-0000-0000-0000D9030000}"/>
    <cellStyle name="Currency 4 2 11" xfId="2390" xr:uid="{00000000-0005-0000-0000-0000DA030000}"/>
    <cellStyle name="Currency 4 2 2" xfId="154" xr:uid="{00000000-0005-0000-0000-0000DB030000}"/>
    <cellStyle name="Currency 4 2 2 2" xfId="676" xr:uid="{00000000-0005-0000-0000-0000DC030000}"/>
    <cellStyle name="Currency 4 2 2 2 2" xfId="1738" xr:uid="{00000000-0005-0000-0000-0000DD030000}"/>
    <cellStyle name="Currency 4 2 2 3" xfId="831" xr:uid="{00000000-0005-0000-0000-0000DE030000}"/>
    <cellStyle name="Currency 4 2 2 3 2" xfId="1892" xr:uid="{00000000-0005-0000-0000-0000DF030000}"/>
    <cellStyle name="Currency 4 2 2 4" xfId="525" xr:uid="{00000000-0005-0000-0000-0000E0030000}"/>
    <cellStyle name="Currency 4 2 2 4 2" xfId="1587" xr:uid="{00000000-0005-0000-0000-0000E1030000}"/>
    <cellStyle name="Currency 4 2 2 5" xfId="1025" xr:uid="{00000000-0005-0000-0000-0000E2030000}"/>
    <cellStyle name="Currency 4 2 2 5 2" xfId="2086" xr:uid="{00000000-0005-0000-0000-0000E3030000}"/>
    <cellStyle name="Currency 4 2 2 6" xfId="1266" xr:uid="{00000000-0005-0000-0000-0000E4030000}"/>
    <cellStyle name="Currency 4 2 2 7" xfId="2314" xr:uid="{00000000-0005-0000-0000-0000E5030000}"/>
    <cellStyle name="Currency 4 2 2 8" xfId="2522" xr:uid="{00000000-0005-0000-0000-0000E6030000}"/>
    <cellStyle name="Currency 4 2 3" xfId="272" xr:uid="{00000000-0005-0000-0000-0000E7030000}"/>
    <cellStyle name="Currency 4 2 3 2" xfId="601" xr:uid="{00000000-0005-0000-0000-0000E8030000}"/>
    <cellStyle name="Currency 4 2 3 2 2" xfId="1663" xr:uid="{00000000-0005-0000-0000-0000E9030000}"/>
    <cellStyle name="Currency 4 2 3 3" xfId="956" xr:uid="{00000000-0005-0000-0000-0000EA030000}"/>
    <cellStyle name="Currency 4 2 3 3 2" xfId="2017" xr:uid="{00000000-0005-0000-0000-0000EB030000}"/>
    <cellStyle name="Currency 4 2 3 4" xfId="1346" xr:uid="{00000000-0005-0000-0000-0000EC030000}"/>
    <cellStyle name="Currency 4 2 3 5" xfId="2449" xr:uid="{00000000-0005-0000-0000-0000ED030000}"/>
    <cellStyle name="Currency 4 2 4" xfId="709" xr:uid="{00000000-0005-0000-0000-0000EE030000}"/>
    <cellStyle name="Currency 4 2 4 2" xfId="1771" xr:uid="{00000000-0005-0000-0000-0000EF030000}"/>
    <cellStyle name="Currency 4 2 5" xfId="759" xr:uid="{00000000-0005-0000-0000-0000F0030000}"/>
    <cellStyle name="Currency 4 2 5 2" xfId="1820" xr:uid="{00000000-0005-0000-0000-0000F1030000}"/>
    <cellStyle name="Currency 4 2 6" xfId="449" xr:uid="{00000000-0005-0000-0000-0000F2030000}"/>
    <cellStyle name="Currency 4 2 6 2" xfId="1511" xr:uid="{00000000-0005-0000-0000-0000F3030000}"/>
    <cellStyle name="Currency 4 2 7" xfId="919" xr:uid="{00000000-0005-0000-0000-0000F4030000}"/>
    <cellStyle name="Currency 4 2 7 2" xfId="1980" xr:uid="{00000000-0005-0000-0000-0000F5030000}"/>
    <cellStyle name="Currency 4 2 8" xfId="1127" xr:uid="{00000000-0005-0000-0000-0000F6030000}"/>
    <cellStyle name="Currency 4 2 8 2" xfId="2173" xr:uid="{00000000-0005-0000-0000-0000F7030000}"/>
    <cellStyle name="Currency 4 2 9" xfId="1195" xr:uid="{00000000-0005-0000-0000-0000F8030000}"/>
    <cellStyle name="Currency 4 3" xfId="105" xr:uid="{00000000-0005-0000-0000-0000F9030000}"/>
    <cellStyle name="Currency 4 3 10" xfId="2419" xr:uid="{00000000-0005-0000-0000-0000FA030000}"/>
    <cellStyle name="Currency 4 3 2" xfId="178" xr:uid="{00000000-0005-0000-0000-0000FB030000}"/>
    <cellStyle name="Currency 4 3 2 2" xfId="653" xr:uid="{00000000-0005-0000-0000-0000FC030000}"/>
    <cellStyle name="Currency 4 3 2 2 2" xfId="1715" xr:uid="{00000000-0005-0000-0000-0000FD030000}"/>
    <cellStyle name="Currency 4 3 2 3" xfId="855" xr:uid="{00000000-0005-0000-0000-0000FE030000}"/>
    <cellStyle name="Currency 4 3 2 3 2" xfId="1916" xr:uid="{00000000-0005-0000-0000-0000FF030000}"/>
    <cellStyle name="Currency 4 3 2 4" xfId="502" xr:uid="{00000000-0005-0000-0000-000000040000}"/>
    <cellStyle name="Currency 4 3 2 4 2" xfId="1564" xr:uid="{00000000-0005-0000-0000-000001040000}"/>
    <cellStyle name="Currency 4 3 2 5" xfId="1049" xr:uid="{00000000-0005-0000-0000-000002040000}"/>
    <cellStyle name="Currency 4 3 2 5 2" xfId="2110" xr:uid="{00000000-0005-0000-0000-000003040000}"/>
    <cellStyle name="Currency 4 3 2 6" xfId="1290" xr:uid="{00000000-0005-0000-0000-000004040000}"/>
    <cellStyle name="Currency 4 3 2 7" xfId="2338" xr:uid="{00000000-0005-0000-0000-000005040000}"/>
    <cellStyle name="Currency 4 3 2 8" xfId="2546" xr:uid="{00000000-0005-0000-0000-000006040000}"/>
    <cellStyle name="Currency 4 3 3" xfId="290" xr:uid="{00000000-0005-0000-0000-000007040000}"/>
    <cellStyle name="Currency 4 3 3 2" xfId="578" xr:uid="{00000000-0005-0000-0000-000008040000}"/>
    <cellStyle name="Currency 4 3 3 2 2" xfId="1640" xr:uid="{00000000-0005-0000-0000-000009040000}"/>
    <cellStyle name="Currency 4 3 3 3" xfId="976" xr:uid="{00000000-0005-0000-0000-00000A040000}"/>
    <cellStyle name="Currency 4 3 3 3 2" xfId="2037" xr:uid="{00000000-0005-0000-0000-00000B040000}"/>
    <cellStyle name="Currency 4 3 3 4" xfId="1364" xr:uid="{00000000-0005-0000-0000-00000C040000}"/>
    <cellStyle name="Currency 4 3 3 5" xfId="2473" xr:uid="{00000000-0005-0000-0000-00000D040000}"/>
    <cellStyle name="Currency 4 3 4" xfId="782" xr:uid="{00000000-0005-0000-0000-00000E040000}"/>
    <cellStyle name="Currency 4 3 4 2" xfId="1843" xr:uid="{00000000-0005-0000-0000-00000F040000}"/>
    <cellStyle name="Currency 4 3 5" xfId="426" xr:uid="{00000000-0005-0000-0000-000010040000}"/>
    <cellStyle name="Currency 4 3 5 2" xfId="1488" xr:uid="{00000000-0005-0000-0000-000011040000}"/>
    <cellStyle name="Currency 4 3 6" xfId="890" xr:uid="{00000000-0005-0000-0000-000012040000}"/>
    <cellStyle name="Currency 4 3 6 2" xfId="1951" xr:uid="{00000000-0005-0000-0000-000013040000}"/>
    <cellStyle name="Currency 4 3 7" xfId="1156" xr:uid="{00000000-0005-0000-0000-000014040000}"/>
    <cellStyle name="Currency 4 3 7 2" xfId="2202" xr:uid="{00000000-0005-0000-0000-000015040000}"/>
    <cellStyle name="Currency 4 3 8" xfId="1217" xr:uid="{00000000-0005-0000-0000-000016040000}"/>
    <cellStyle name="Currency 4 3 9" xfId="2265" xr:uid="{00000000-0005-0000-0000-000017040000}"/>
    <cellStyle name="Currency 4 4" xfId="138" xr:uid="{00000000-0005-0000-0000-000018040000}"/>
    <cellStyle name="Currency 4 4 2" xfId="620" xr:uid="{00000000-0005-0000-0000-000019040000}"/>
    <cellStyle name="Currency 4 4 2 2" xfId="1682" xr:uid="{00000000-0005-0000-0000-00001A040000}"/>
    <cellStyle name="Currency 4 4 3" xfId="815" xr:uid="{00000000-0005-0000-0000-00001B040000}"/>
    <cellStyle name="Currency 4 4 3 2" xfId="1876" xr:uid="{00000000-0005-0000-0000-00001C040000}"/>
    <cellStyle name="Currency 4 4 4" xfId="469" xr:uid="{00000000-0005-0000-0000-00001D040000}"/>
    <cellStyle name="Currency 4 4 4 2" xfId="1531" xr:uid="{00000000-0005-0000-0000-00001E040000}"/>
    <cellStyle name="Currency 4 4 5" xfId="1009" xr:uid="{00000000-0005-0000-0000-00001F040000}"/>
    <cellStyle name="Currency 4 4 5 2" xfId="2070" xr:uid="{00000000-0005-0000-0000-000020040000}"/>
    <cellStyle name="Currency 4 4 6" xfId="1250" xr:uid="{00000000-0005-0000-0000-000021040000}"/>
    <cellStyle name="Currency 4 4 7" xfId="2298" xr:uid="{00000000-0005-0000-0000-000022040000}"/>
    <cellStyle name="Currency 4 4 8" xfId="2506" xr:uid="{00000000-0005-0000-0000-000023040000}"/>
    <cellStyle name="Currency 4 5" xfId="224" xr:uid="{00000000-0005-0000-0000-000024040000}"/>
    <cellStyle name="Currency 4 5 2" xfId="545" xr:uid="{00000000-0005-0000-0000-000025040000}"/>
    <cellStyle name="Currency 4 5 2 2" xfId="1607" xr:uid="{00000000-0005-0000-0000-000026040000}"/>
    <cellStyle name="Currency 4 5 3" xfId="885" xr:uid="{00000000-0005-0000-0000-000027040000}"/>
    <cellStyle name="Currency 4 5 3 2" xfId="1946" xr:uid="{00000000-0005-0000-0000-000028040000}"/>
    <cellStyle name="Currency 4 5 4" xfId="1318" xr:uid="{00000000-0005-0000-0000-000029040000}"/>
    <cellStyle name="Currency 4 5 5" xfId="2225" xr:uid="{00000000-0005-0000-0000-00002A040000}"/>
    <cellStyle name="Currency 4 5 6" xfId="2433" xr:uid="{00000000-0005-0000-0000-00002B040000}"/>
    <cellStyle name="Currency 4 6" xfId="693" xr:uid="{00000000-0005-0000-0000-00002C040000}"/>
    <cellStyle name="Currency 4 6 2" xfId="1755" xr:uid="{00000000-0005-0000-0000-00002D040000}"/>
    <cellStyle name="Currency 4 7" xfId="388" xr:uid="{00000000-0005-0000-0000-00002E040000}"/>
    <cellStyle name="Currency 4 7 2" xfId="1455" xr:uid="{00000000-0005-0000-0000-00002F040000}"/>
    <cellStyle name="Currency 4 8" xfId="743" xr:uid="{00000000-0005-0000-0000-000030040000}"/>
    <cellStyle name="Currency 4 8 2" xfId="1804" xr:uid="{00000000-0005-0000-0000-000031040000}"/>
    <cellStyle name="Currency 4 9" xfId="348" xr:uid="{00000000-0005-0000-0000-000032040000}"/>
    <cellStyle name="Currency 4 9 2" xfId="1415" xr:uid="{00000000-0005-0000-0000-000033040000}"/>
    <cellStyle name="Currency 5" xfId="39" xr:uid="{00000000-0005-0000-0000-000034040000}"/>
    <cellStyle name="Currency 5 10" xfId="880" xr:uid="{00000000-0005-0000-0000-000035040000}"/>
    <cellStyle name="Currency 5 10 2" xfId="1941" xr:uid="{00000000-0005-0000-0000-000036040000}"/>
    <cellStyle name="Currency 5 11" xfId="1099" xr:uid="{00000000-0005-0000-0000-000037040000}"/>
    <cellStyle name="Currency 5 12" xfId="1170" xr:uid="{00000000-0005-0000-0000-000038040000}"/>
    <cellStyle name="Currency 5 13" xfId="2227" xr:uid="{00000000-0005-0000-0000-000039040000}"/>
    <cellStyle name="Currency 5 2" xfId="92" xr:uid="{00000000-0005-0000-0000-00003A040000}"/>
    <cellStyle name="Currency 5 2 10" xfId="2461" xr:uid="{00000000-0005-0000-0000-00003B040000}"/>
    <cellStyle name="Currency 5 2 2" xfId="166" xr:uid="{00000000-0005-0000-0000-00003C040000}"/>
    <cellStyle name="Currency 5 2 2 2" xfId="657" xr:uid="{00000000-0005-0000-0000-00003D040000}"/>
    <cellStyle name="Currency 5 2 2 2 2" xfId="1719" xr:uid="{00000000-0005-0000-0000-00003E040000}"/>
    <cellStyle name="Currency 5 2 2 3" xfId="843" xr:uid="{00000000-0005-0000-0000-00003F040000}"/>
    <cellStyle name="Currency 5 2 2 3 2" xfId="1904" xr:uid="{00000000-0005-0000-0000-000040040000}"/>
    <cellStyle name="Currency 5 2 2 4" xfId="506" xr:uid="{00000000-0005-0000-0000-000041040000}"/>
    <cellStyle name="Currency 5 2 2 4 2" xfId="1568" xr:uid="{00000000-0005-0000-0000-000042040000}"/>
    <cellStyle name="Currency 5 2 2 5" xfId="1037" xr:uid="{00000000-0005-0000-0000-000043040000}"/>
    <cellStyle name="Currency 5 2 2 5 2" xfId="2098" xr:uid="{00000000-0005-0000-0000-000044040000}"/>
    <cellStyle name="Currency 5 2 2 6" xfId="1278" xr:uid="{00000000-0005-0000-0000-000045040000}"/>
    <cellStyle name="Currency 5 2 2 7" xfId="2326" xr:uid="{00000000-0005-0000-0000-000046040000}"/>
    <cellStyle name="Currency 5 2 2 8" xfId="2534" xr:uid="{00000000-0005-0000-0000-000047040000}"/>
    <cellStyle name="Currency 5 2 3" xfId="283" xr:uid="{00000000-0005-0000-0000-000048040000}"/>
    <cellStyle name="Currency 5 2 3 2" xfId="582" xr:uid="{00000000-0005-0000-0000-000049040000}"/>
    <cellStyle name="Currency 5 2 3 2 2" xfId="1644" xr:uid="{00000000-0005-0000-0000-00004A040000}"/>
    <cellStyle name="Currency 5 2 3 3" xfId="964" xr:uid="{00000000-0005-0000-0000-00004B040000}"/>
    <cellStyle name="Currency 5 2 3 3 2" xfId="2025" xr:uid="{00000000-0005-0000-0000-00004C040000}"/>
    <cellStyle name="Currency 5 2 3 4" xfId="1357" xr:uid="{00000000-0005-0000-0000-00004D040000}"/>
    <cellStyle name="Currency 5 2 4" xfId="721" xr:uid="{00000000-0005-0000-0000-00004E040000}"/>
    <cellStyle name="Currency 5 2 4 2" xfId="1783" xr:uid="{00000000-0005-0000-0000-00004F040000}"/>
    <cellStyle name="Currency 5 2 5" xfId="771" xr:uid="{00000000-0005-0000-0000-000050040000}"/>
    <cellStyle name="Currency 5 2 5 2" xfId="1832" xr:uid="{00000000-0005-0000-0000-000051040000}"/>
    <cellStyle name="Currency 5 2 6" xfId="430" xr:uid="{00000000-0005-0000-0000-000052040000}"/>
    <cellStyle name="Currency 5 2 6 2" xfId="1492" xr:uid="{00000000-0005-0000-0000-000053040000}"/>
    <cellStyle name="Currency 5 2 7" xfId="893" xr:uid="{00000000-0005-0000-0000-000054040000}"/>
    <cellStyle name="Currency 5 2 7 2" xfId="1954" xr:uid="{00000000-0005-0000-0000-000055040000}"/>
    <cellStyle name="Currency 5 2 8" xfId="1207" xr:uid="{00000000-0005-0000-0000-000056040000}"/>
    <cellStyle name="Currency 5 2 9" xfId="2253" xr:uid="{00000000-0005-0000-0000-000057040000}"/>
    <cellStyle name="Currency 5 3" xfId="117" xr:uid="{00000000-0005-0000-0000-000058040000}"/>
    <cellStyle name="Currency 5 3 2" xfId="190" xr:uid="{00000000-0005-0000-0000-000059040000}"/>
    <cellStyle name="Currency 5 3 2 2" xfId="867" xr:uid="{00000000-0005-0000-0000-00005A040000}"/>
    <cellStyle name="Currency 5 3 2 2 2" xfId="1928" xr:uid="{00000000-0005-0000-0000-00005B040000}"/>
    <cellStyle name="Currency 5 3 2 3" xfId="1061" xr:uid="{00000000-0005-0000-0000-00005C040000}"/>
    <cellStyle name="Currency 5 3 2 3 2" xfId="2122" xr:uid="{00000000-0005-0000-0000-00005D040000}"/>
    <cellStyle name="Currency 5 3 2 4" xfId="1302" xr:uid="{00000000-0005-0000-0000-00005E040000}"/>
    <cellStyle name="Currency 5 3 2 5" xfId="2350" xr:uid="{00000000-0005-0000-0000-00005F040000}"/>
    <cellStyle name="Currency 5 3 2 6" xfId="2558" xr:uid="{00000000-0005-0000-0000-000060040000}"/>
    <cellStyle name="Currency 5 3 3" xfId="794" xr:uid="{00000000-0005-0000-0000-000061040000}"/>
    <cellStyle name="Currency 5 3 3 2" xfId="1855" xr:uid="{00000000-0005-0000-0000-000062040000}"/>
    <cellStyle name="Currency 5 3 4" xfId="411" xr:uid="{00000000-0005-0000-0000-000063040000}"/>
    <cellStyle name="Currency 5 3 5" xfId="988" xr:uid="{00000000-0005-0000-0000-000064040000}"/>
    <cellStyle name="Currency 5 3 5 2" xfId="2049" xr:uid="{00000000-0005-0000-0000-000065040000}"/>
    <cellStyle name="Currency 5 3 6" xfId="1229" xr:uid="{00000000-0005-0000-0000-000066040000}"/>
    <cellStyle name="Currency 5 3 7" xfId="2277" xr:uid="{00000000-0005-0000-0000-000067040000}"/>
    <cellStyle name="Currency 5 3 8" xfId="2485" xr:uid="{00000000-0005-0000-0000-000068040000}"/>
    <cellStyle name="Currency 5 4" xfId="140" xr:uid="{00000000-0005-0000-0000-000069040000}"/>
    <cellStyle name="Currency 5 4 2" xfId="622" xr:uid="{00000000-0005-0000-0000-00006A040000}"/>
    <cellStyle name="Currency 5 4 2 2" xfId="1684" xr:uid="{00000000-0005-0000-0000-00006B040000}"/>
    <cellStyle name="Currency 5 4 3" xfId="817" xr:uid="{00000000-0005-0000-0000-00006C040000}"/>
    <cellStyle name="Currency 5 4 3 2" xfId="1878" xr:uid="{00000000-0005-0000-0000-00006D040000}"/>
    <cellStyle name="Currency 5 4 4" xfId="471" xr:uid="{00000000-0005-0000-0000-00006E040000}"/>
    <cellStyle name="Currency 5 4 4 2" xfId="1533" xr:uid="{00000000-0005-0000-0000-00006F040000}"/>
    <cellStyle name="Currency 5 4 5" xfId="1011" xr:uid="{00000000-0005-0000-0000-000070040000}"/>
    <cellStyle name="Currency 5 4 5 2" xfId="2072" xr:uid="{00000000-0005-0000-0000-000071040000}"/>
    <cellStyle name="Currency 5 4 6" xfId="1252" xr:uid="{00000000-0005-0000-0000-000072040000}"/>
    <cellStyle name="Currency 5 4 7" xfId="2300" xr:uid="{00000000-0005-0000-0000-000073040000}"/>
    <cellStyle name="Currency 5 4 8" xfId="2508" xr:uid="{00000000-0005-0000-0000-000074040000}"/>
    <cellStyle name="Currency 5 5" xfId="260" xr:uid="{00000000-0005-0000-0000-000075040000}"/>
    <cellStyle name="Currency 5 5 2" xfId="547" xr:uid="{00000000-0005-0000-0000-000076040000}"/>
    <cellStyle name="Currency 5 5 2 2" xfId="1609" xr:uid="{00000000-0005-0000-0000-000077040000}"/>
    <cellStyle name="Currency 5 5 3" xfId="914" xr:uid="{00000000-0005-0000-0000-000078040000}"/>
    <cellStyle name="Currency 5 5 3 2" xfId="1975" xr:uid="{00000000-0005-0000-0000-000079040000}"/>
    <cellStyle name="Currency 5 5 4" xfId="1334" xr:uid="{00000000-0005-0000-0000-00007A040000}"/>
    <cellStyle name="Currency 5 5 5" xfId="2435" xr:uid="{00000000-0005-0000-0000-00007B040000}"/>
    <cellStyle name="Currency 5 6" xfId="695" xr:uid="{00000000-0005-0000-0000-00007C040000}"/>
    <cellStyle name="Currency 5 6 2" xfId="1757" xr:uid="{00000000-0005-0000-0000-00007D040000}"/>
    <cellStyle name="Currency 5 7" xfId="390" xr:uid="{00000000-0005-0000-0000-00007E040000}"/>
    <cellStyle name="Currency 5 7 2" xfId="1457" xr:uid="{00000000-0005-0000-0000-00007F040000}"/>
    <cellStyle name="Currency 5 8" xfId="745" xr:uid="{00000000-0005-0000-0000-000080040000}"/>
    <cellStyle name="Currency 5 8 2" xfId="1806" xr:uid="{00000000-0005-0000-0000-000081040000}"/>
    <cellStyle name="Currency 5 9" xfId="350" xr:uid="{00000000-0005-0000-0000-000082040000}"/>
    <cellStyle name="Currency 5 9 2" xfId="1417" xr:uid="{00000000-0005-0000-0000-000083040000}"/>
    <cellStyle name="Currency 6" xfId="63" xr:uid="{00000000-0005-0000-0000-000084040000}"/>
    <cellStyle name="Currency 6 10" xfId="1185" xr:uid="{00000000-0005-0000-0000-000085040000}"/>
    <cellStyle name="Currency 6 11" xfId="2231" xr:uid="{00000000-0005-0000-0000-000086040000}"/>
    <cellStyle name="Currency 6 12" xfId="2439" xr:uid="{00000000-0005-0000-0000-000087040000}"/>
    <cellStyle name="Currency 6 2" xfId="121" xr:uid="{00000000-0005-0000-0000-000088040000}"/>
    <cellStyle name="Currency 6 2 2" xfId="194" xr:uid="{00000000-0005-0000-0000-000089040000}"/>
    <cellStyle name="Currency 6 2 2 2" xfId="661" xr:uid="{00000000-0005-0000-0000-00008A040000}"/>
    <cellStyle name="Currency 6 2 2 2 2" xfId="1723" xr:uid="{00000000-0005-0000-0000-00008B040000}"/>
    <cellStyle name="Currency 6 2 2 3" xfId="871" xr:uid="{00000000-0005-0000-0000-00008C040000}"/>
    <cellStyle name="Currency 6 2 2 3 2" xfId="1932" xr:uid="{00000000-0005-0000-0000-00008D040000}"/>
    <cellStyle name="Currency 6 2 2 4" xfId="510" xr:uid="{00000000-0005-0000-0000-00008E040000}"/>
    <cellStyle name="Currency 6 2 2 4 2" xfId="1572" xr:uid="{00000000-0005-0000-0000-00008F040000}"/>
    <cellStyle name="Currency 6 2 2 5" xfId="1065" xr:uid="{00000000-0005-0000-0000-000090040000}"/>
    <cellStyle name="Currency 6 2 2 5 2" xfId="2126" xr:uid="{00000000-0005-0000-0000-000091040000}"/>
    <cellStyle name="Currency 6 2 2 6" xfId="1306" xr:uid="{00000000-0005-0000-0000-000092040000}"/>
    <cellStyle name="Currency 6 2 2 7" xfId="2354" xr:uid="{00000000-0005-0000-0000-000093040000}"/>
    <cellStyle name="Currency 6 2 2 8" xfId="2562" xr:uid="{00000000-0005-0000-0000-000094040000}"/>
    <cellStyle name="Currency 6 2 3" xfId="586" xr:uid="{00000000-0005-0000-0000-000095040000}"/>
    <cellStyle name="Currency 6 2 3 2" xfId="1648" xr:uid="{00000000-0005-0000-0000-000096040000}"/>
    <cellStyle name="Currency 6 2 4" xfId="798" xr:uid="{00000000-0005-0000-0000-000097040000}"/>
    <cellStyle name="Currency 6 2 4 2" xfId="1859" xr:uid="{00000000-0005-0000-0000-000098040000}"/>
    <cellStyle name="Currency 6 2 5" xfId="434" xr:uid="{00000000-0005-0000-0000-000099040000}"/>
    <cellStyle name="Currency 6 2 5 2" xfId="1496" xr:uid="{00000000-0005-0000-0000-00009A040000}"/>
    <cellStyle name="Currency 6 2 6" xfId="992" xr:uid="{00000000-0005-0000-0000-00009B040000}"/>
    <cellStyle name="Currency 6 2 6 2" xfId="2053" xr:uid="{00000000-0005-0000-0000-00009C040000}"/>
    <cellStyle name="Currency 6 2 7" xfId="1233" xr:uid="{00000000-0005-0000-0000-00009D040000}"/>
    <cellStyle name="Currency 6 2 8" xfId="2281" xr:uid="{00000000-0005-0000-0000-00009E040000}"/>
    <cellStyle name="Currency 6 2 9" xfId="2489" xr:uid="{00000000-0005-0000-0000-00009F040000}"/>
    <cellStyle name="Currency 6 3" xfId="144" xr:uid="{00000000-0005-0000-0000-0000A0040000}"/>
    <cellStyle name="Currency 6 3 2" xfId="626" xr:uid="{00000000-0005-0000-0000-0000A1040000}"/>
    <cellStyle name="Currency 6 3 2 2" xfId="1688" xr:uid="{00000000-0005-0000-0000-0000A2040000}"/>
    <cellStyle name="Currency 6 3 3" xfId="821" xr:uid="{00000000-0005-0000-0000-0000A3040000}"/>
    <cellStyle name="Currency 6 3 3 2" xfId="1882" xr:uid="{00000000-0005-0000-0000-0000A4040000}"/>
    <cellStyle name="Currency 6 3 4" xfId="475" xr:uid="{00000000-0005-0000-0000-0000A5040000}"/>
    <cellStyle name="Currency 6 3 4 2" xfId="1537" xr:uid="{00000000-0005-0000-0000-0000A6040000}"/>
    <cellStyle name="Currency 6 3 5" xfId="1015" xr:uid="{00000000-0005-0000-0000-0000A7040000}"/>
    <cellStyle name="Currency 6 3 5 2" xfId="2076" xr:uid="{00000000-0005-0000-0000-0000A8040000}"/>
    <cellStyle name="Currency 6 3 6" xfId="1256" xr:uid="{00000000-0005-0000-0000-0000A9040000}"/>
    <cellStyle name="Currency 6 3 7" xfId="2304" xr:uid="{00000000-0005-0000-0000-0000AA040000}"/>
    <cellStyle name="Currency 6 3 8" xfId="2512" xr:uid="{00000000-0005-0000-0000-0000AB040000}"/>
    <cellStyle name="Currency 6 4" xfId="264" xr:uid="{00000000-0005-0000-0000-0000AC040000}"/>
    <cellStyle name="Currency 6 4 2" xfId="551" xr:uid="{00000000-0005-0000-0000-0000AD040000}"/>
    <cellStyle name="Currency 6 4 2 2" xfId="1613" xr:uid="{00000000-0005-0000-0000-0000AE040000}"/>
    <cellStyle name="Currency 6 4 3" xfId="950" xr:uid="{00000000-0005-0000-0000-0000AF040000}"/>
    <cellStyle name="Currency 6 4 3 2" xfId="2011" xr:uid="{00000000-0005-0000-0000-0000B0040000}"/>
    <cellStyle name="Currency 6 4 4" xfId="1338" xr:uid="{00000000-0005-0000-0000-0000B1040000}"/>
    <cellStyle name="Currency 6 5" xfId="699" xr:uid="{00000000-0005-0000-0000-0000B2040000}"/>
    <cellStyle name="Currency 6 5 2" xfId="1761" xr:uid="{00000000-0005-0000-0000-0000B3040000}"/>
    <cellStyle name="Currency 6 6" xfId="394" xr:uid="{00000000-0005-0000-0000-0000B4040000}"/>
    <cellStyle name="Currency 6 6 2" xfId="1461" xr:uid="{00000000-0005-0000-0000-0000B5040000}"/>
    <cellStyle name="Currency 6 7" xfId="749" xr:uid="{00000000-0005-0000-0000-0000B6040000}"/>
    <cellStyle name="Currency 6 7 2" xfId="1810" xr:uid="{00000000-0005-0000-0000-0000B7040000}"/>
    <cellStyle name="Currency 6 8" xfId="354" xr:uid="{00000000-0005-0000-0000-0000B8040000}"/>
    <cellStyle name="Currency 6 8 2" xfId="1421" xr:uid="{00000000-0005-0000-0000-0000B9040000}"/>
    <cellStyle name="Currency 6 9" xfId="909" xr:uid="{00000000-0005-0000-0000-0000BA040000}"/>
    <cellStyle name="Currency 6 9 2" xfId="1970" xr:uid="{00000000-0005-0000-0000-0000BB040000}"/>
    <cellStyle name="Currency 7" xfId="94" xr:uid="{00000000-0005-0000-0000-0000BC040000}"/>
    <cellStyle name="Currency 7 10" xfId="2463" xr:uid="{00000000-0005-0000-0000-0000BD040000}"/>
    <cellStyle name="Currency 7 2" xfId="125" xr:uid="{00000000-0005-0000-0000-0000BE040000}"/>
    <cellStyle name="Currency 7 2 2" xfId="198" xr:uid="{00000000-0005-0000-0000-0000BF040000}"/>
    <cellStyle name="Currency 7 2 2 2" xfId="875" xr:uid="{00000000-0005-0000-0000-0000C0040000}"/>
    <cellStyle name="Currency 7 2 2 2 2" xfId="1936" xr:uid="{00000000-0005-0000-0000-0000C1040000}"/>
    <cellStyle name="Currency 7 2 2 3" xfId="639" xr:uid="{00000000-0005-0000-0000-0000C2040000}"/>
    <cellStyle name="Currency 7 2 2 3 2" xfId="1701" xr:uid="{00000000-0005-0000-0000-0000C3040000}"/>
    <cellStyle name="Currency 7 2 2 4" xfId="1069" xr:uid="{00000000-0005-0000-0000-0000C4040000}"/>
    <cellStyle name="Currency 7 2 2 4 2" xfId="2130" xr:uid="{00000000-0005-0000-0000-0000C5040000}"/>
    <cellStyle name="Currency 7 2 2 5" xfId="1310" xr:uid="{00000000-0005-0000-0000-0000C6040000}"/>
    <cellStyle name="Currency 7 2 2 6" xfId="2358" xr:uid="{00000000-0005-0000-0000-0000C7040000}"/>
    <cellStyle name="Currency 7 2 2 7" xfId="2566" xr:uid="{00000000-0005-0000-0000-0000C8040000}"/>
    <cellStyle name="Currency 7 2 3" xfId="802" xr:uid="{00000000-0005-0000-0000-0000C9040000}"/>
    <cellStyle name="Currency 7 2 3 2" xfId="1863" xr:uid="{00000000-0005-0000-0000-0000CA040000}"/>
    <cellStyle name="Currency 7 2 4" xfId="488" xr:uid="{00000000-0005-0000-0000-0000CB040000}"/>
    <cellStyle name="Currency 7 2 4 2" xfId="1550" xr:uid="{00000000-0005-0000-0000-0000CC040000}"/>
    <cellStyle name="Currency 7 2 5" xfId="996" xr:uid="{00000000-0005-0000-0000-0000CD040000}"/>
    <cellStyle name="Currency 7 2 5 2" xfId="2057" xr:uid="{00000000-0005-0000-0000-0000CE040000}"/>
    <cellStyle name="Currency 7 2 6" xfId="1237" xr:uid="{00000000-0005-0000-0000-0000CF040000}"/>
    <cellStyle name="Currency 7 2 7" xfId="2285" xr:uid="{00000000-0005-0000-0000-0000D0040000}"/>
    <cellStyle name="Currency 7 2 8" xfId="2493" xr:uid="{00000000-0005-0000-0000-0000D1040000}"/>
    <cellStyle name="Currency 7 3" xfId="168" xr:uid="{00000000-0005-0000-0000-0000D2040000}"/>
    <cellStyle name="Currency 7 3 2" xfId="845" xr:uid="{00000000-0005-0000-0000-0000D3040000}"/>
    <cellStyle name="Currency 7 3 2 2" xfId="1906" xr:uid="{00000000-0005-0000-0000-0000D4040000}"/>
    <cellStyle name="Currency 7 3 3" xfId="564" xr:uid="{00000000-0005-0000-0000-0000D5040000}"/>
    <cellStyle name="Currency 7 3 3 2" xfId="1626" xr:uid="{00000000-0005-0000-0000-0000D6040000}"/>
    <cellStyle name="Currency 7 3 4" xfId="1039" xr:uid="{00000000-0005-0000-0000-0000D7040000}"/>
    <cellStyle name="Currency 7 3 4 2" xfId="2100" xr:uid="{00000000-0005-0000-0000-0000D8040000}"/>
    <cellStyle name="Currency 7 3 5" xfId="1280" xr:uid="{00000000-0005-0000-0000-0000D9040000}"/>
    <cellStyle name="Currency 7 3 6" xfId="2328" xr:uid="{00000000-0005-0000-0000-0000DA040000}"/>
    <cellStyle name="Currency 7 3 7" xfId="2536" xr:uid="{00000000-0005-0000-0000-0000DB040000}"/>
    <cellStyle name="Currency 7 4" xfId="285" xr:uid="{00000000-0005-0000-0000-0000DC040000}"/>
    <cellStyle name="Currency 7 4 2" xfId="723" xr:uid="{00000000-0005-0000-0000-0000DD040000}"/>
    <cellStyle name="Currency 7 4 2 2" xfId="1785" xr:uid="{00000000-0005-0000-0000-0000DE040000}"/>
    <cellStyle name="Currency 7 4 3" xfId="966" xr:uid="{00000000-0005-0000-0000-0000DF040000}"/>
    <cellStyle name="Currency 7 4 3 2" xfId="2027" xr:uid="{00000000-0005-0000-0000-0000E0040000}"/>
    <cellStyle name="Currency 7 4 4" xfId="1359" xr:uid="{00000000-0005-0000-0000-0000E1040000}"/>
    <cellStyle name="Currency 7 5" xfId="773" xr:uid="{00000000-0005-0000-0000-0000E2040000}"/>
    <cellStyle name="Currency 7 5 2" xfId="1834" xr:uid="{00000000-0005-0000-0000-0000E3040000}"/>
    <cellStyle name="Currency 7 6" xfId="407" xr:uid="{00000000-0005-0000-0000-0000E4040000}"/>
    <cellStyle name="Currency 7 6 2" xfId="1474" xr:uid="{00000000-0005-0000-0000-0000E5040000}"/>
    <cellStyle name="Currency 7 7" xfId="330" xr:uid="{00000000-0005-0000-0000-0000E6040000}"/>
    <cellStyle name="Currency 7 7 2" xfId="1397" xr:uid="{00000000-0005-0000-0000-0000E7040000}"/>
    <cellStyle name="Currency 7 8" xfId="1209" xr:uid="{00000000-0005-0000-0000-0000E8040000}"/>
    <cellStyle name="Currency 7 9" xfId="2255" xr:uid="{00000000-0005-0000-0000-0000E9040000}"/>
    <cellStyle name="Currency 8" xfId="302" xr:uid="{00000000-0005-0000-0000-0000EA040000}"/>
    <cellStyle name="Currency 8 2" xfId="729" xr:uid="{00000000-0005-0000-0000-0000EB040000}"/>
    <cellStyle name="Currency 8 2 2" xfId="1790" xr:uid="{00000000-0005-0000-0000-0000EC040000}"/>
    <cellStyle name="Currency 8 3" xfId="1072" xr:uid="{00000000-0005-0000-0000-0000ED040000}"/>
    <cellStyle name="Currency 8 3 2" xfId="2133" xr:uid="{00000000-0005-0000-0000-0000EE040000}"/>
    <cellStyle name="Currency 8 4" xfId="1376" xr:uid="{00000000-0005-0000-0000-0000EF040000}"/>
    <cellStyle name="Currency 8 5" xfId="2569" xr:uid="{00000000-0005-0000-0000-0000F0040000}"/>
    <cellStyle name="Currency 9" xfId="1160" xr:uid="{00000000-0005-0000-0000-0000F1040000}"/>
    <cellStyle name="Normal" xfId="0" builtinId="0"/>
    <cellStyle name="Normal 10" xfId="300" xr:uid="{00000000-0005-0000-0000-0000F3040000}"/>
    <cellStyle name="Normal 10 2" xfId="727" xr:uid="{00000000-0005-0000-0000-0000F4040000}"/>
    <cellStyle name="Normal 10 2 2" xfId="1788" xr:uid="{00000000-0005-0000-0000-0000F5040000}"/>
    <cellStyle name="Normal 10 3" xfId="1070" xr:uid="{00000000-0005-0000-0000-0000F6040000}"/>
    <cellStyle name="Normal 10 3 2" xfId="2131" xr:uid="{00000000-0005-0000-0000-0000F7040000}"/>
    <cellStyle name="Normal 10 4" xfId="1374" xr:uid="{00000000-0005-0000-0000-0000F8040000}"/>
    <cellStyle name="Normal 10 5" xfId="2567" xr:uid="{00000000-0005-0000-0000-0000F9040000}"/>
    <cellStyle name="Normal 11" xfId="1158" xr:uid="{00000000-0005-0000-0000-0000FA040000}"/>
    <cellStyle name="Normal 12 3 2" xfId="55" xr:uid="{00000000-0005-0000-0000-0000FB040000}"/>
    <cellStyle name="Normal 18" xfId="58" xr:uid="{00000000-0005-0000-0000-0000FC040000}"/>
    <cellStyle name="Normal 2" xfId="5" xr:uid="{00000000-0005-0000-0000-0000FD040000}"/>
    <cellStyle name="Normal 2 2" xfId="13" xr:uid="{00000000-0005-0000-0000-0000FE040000}"/>
    <cellStyle name="Normal 2 2 2" xfId="80" xr:uid="{00000000-0005-0000-0000-0000FF040000}"/>
    <cellStyle name="Normal 2 2 2 2" xfId="235" xr:uid="{00000000-0005-0000-0000-000000050000}"/>
    <cellStyle name="Normal 2 2 2 3" xfId="213" xr:uid="{00000000-0005-0000-0000-000001050000}"/>
    <cellStyle name="Normal 2 2 3" xfId="202" xr:uid="{00000000-0005-0000-0000-000002050000}"/>
    <cellStyle name="Normal 2 2 3 2" xfId="1101" xr:uid="{00000000-0005-0000-0000-000003050000}"/>
    <cellStyle name="Normal 2 2 3 2 2" xfId="1085" xr:uid="{00000000-0005-0000-0000-000004050000}"/>
    <cellStyle name="Normal 2 2 4" xfId="234" xr:uid="{00000000-0005-0000-0000-000005050000}"/>
    <cellStyle name="Normal 2 2 5" xfId="214" xr:uid="{00000000-0005-0000-0000-000006050000}"/>
    <cellStyle name="Normal 2 2 6" xfId="69" xr:uid="{00000000-0005-0000-0000-000007050000}"/>
    <cellStyle name="Normal 2 3" xfId="68" xr:uid="{00000000-0005-0000-0000-000008050000}"/>
    <cellStyle name="Normal 2 3 2" xfId="228" xr:uid="{00000000-0005-0000-0000-000009050000}"/>
    <cellStyle name="Normal 2 3 3" xfId="238" xr:uid="{00000000-0005-0000-0000-00000A050000}"/>
    <cellStyle name="Normal 2 4" xfId="208" xr:uid="{00000000-0005-0000-0000-00000B050000}"/>
    <cellStyle name="Normal 3" xfId="4" xr:uid="{00000000-0005-0000-0000-00000C050000}"/>
    <cellStyle name="Normal 3 2" xfId="9" xr:uid="{00000000-0005-0000-0000-00000D050000}"/>
    <cellStyle name="Normal 3 2 2" xfId="34" xr:uid="{00000000-0005-0000-0000-00000E050000}"/>
    <cellStyle name="Normal 3 2 2 2" xfId="250" xr:uid="{00000000-0005-0000-0000-00000F050000}"/>
    <cellStyle name="Normal 3 2 2 3" xfId="200" xr:uid="{00000000-0005-0000-0000-000010050000}"/>
    <cellStyle name="Normal 3 2 3" xfId="210" xr:uid="{00000000-0005-0000-0000-000011050000}"/>
    <cellStyle name="Normal 3 2 3 2" xfId="314" xr:uid="{00000000-0005-0000-0000-000012050000}"/>
    <cellStyle name="Normal 3 2 4" xfId="311" xr:uid="{00000000-0005-0000-0000-000013050000}"/>
    <cellStyle name="Normal 3 2 4 2" xfId="1083" xr:uid="{00000000-0005-0000-0000-000014050000}"/>
    <cellStyle name="Normal 3 2 4 2 2" xfId="2144" xr:uid="{00000000-0005-0000-0000-000015050000}"/>
    <cellStyle name="Normal 3 2 4 3" xfId="1385" xr:uid="{00000000-0005-0000-0000-000016050000}"/>
    <cellStyle name="Normal 3 2 5" xfId="244" xr:uid="{00000000-0005-0000-0000-000017050000}"/>
    <cellStyle name="Normal 3 2 6" xfId="70" xr:uid="{00000000-0005-0000-0000-000018050000}"/>
    <cellStyle name="Normal 3 3" xfId="16" xr:uid="{00000000-0005-0000-0000-000019050000}"/>
    <cellStyle name="Normal 3 3 10" xfId="2209" xr:uid="{00000000-0005-0000-0000-00001A050000}"/>
    <cellStyle name="Normal 3 3 2" xfId="147" xr:uid="{00000000-0005-0000-0000-00001B050000}"/>
    <cellStyle name="Normal 3 3 2 2" xfId="299" xr:uid="{00000000-0005-0000-0000-00001C050000}"/>
    <cellStyle name="Normal 3 3 2 2 2" xfId="654" xr:uid="{00000000-0005-0000-0000-00001D050000}"/>
    <cellStyle name="Normal 3 3 2 2 2 2" xfId="1716" xr:uid="{00000000-0005-0000-0000-00001E050000}"/>
    <cellStyle name="Normal 3 3 2 2 3" xfId="1018" xr:uid="{00000000-0005-0000-0000-00001F050000}"/>
    <cellStyle name="Normal 3 3 2 2 3 2" xfId="2079" xr:uid="{00000000-0005-0000-0000-000020050000}"/>
    <cellStyle name="Normal 3 3 2 2 4" xfId="1139" xr:uid="{00000000-0005-0000-0000-000021050000}"/>
    <cellStyle name="Normal 3 3 2 2 4 2" xfId="2185" xr:uid="{00000000-0005-0000-0000-000022050000}"/>
    <cellStyle name="Normal 3 3 2 2 5" xfId="1373" xr:uid="{00000000-0005-0000-0000-000023050000}"/>
    <cellStyle name="Normal 3 3 2 2 6" xfId="2402" xr:uid="{00000000-0005-0000-0000-000024050000}"/>
    <cellStyle name="Normal 3 3 2 3" xfId="824" xr:uid="{00000000-0005-0000-0000-000025050000}"/>
    <cellStyle name="Normal 3 3 2 3 2" xfId="1885" xr:uid="{00000000-0005-0000-0000-000026050000}"/>
    <cellStyle name="Normal 3 3 2 3 3" xfId="2515" xr:uid="{00000000-0005-0000-0000-000027050000}"/>
    <cellStyle name="Normal 3 3 2 4" xfId="503" xr:uid="{00000000-0005-0000-0000-000028050000}"/>
    <cellStyle name="Normal 3 3 2 4 2" xfId="1565" xr:uid="{00000000-0005-0000-0000-000029050000}"/>
    <cellStyle name="Normal 3 3 2 5" xfId="895" xr:uid="{00000000-0005-0000-0000-00002A050000}"/>
    <cellStyle name="Normal 3 3 2 5 2" xfId="1956" xr:uid="{00000000-0005-0000-0000-00002B050000}"/>
    <cellStyle name="Normal 3 3 2 6" xfId="1110" xr:uid="{00000000-0005-0000-0000-00002C050000}"/>
    <cellStyle name="Normal 3 3 2 6 2" xfId="2156" xr:uid="{00000000-0005-0000-0000-00002D050000}"/>
    <cellStyle name="Normal 3 3 2 7" xfId="1259" xr:uid="{00000000-0005-0000-0000-00002E050000}"/>
    <cellStyle name="Normal 3 3 2 8" xfId="2307" xr:uid="{00000000-0005-0000-0000-00002F050000}"/>
    <cellStyle name="Normal 3 3 2 9" xfId="2373" xr:uid="{00000000-0005-0000-0000-000030050000}"/>
    <cellStyle name="Normal 3 3 3" xfId="230" xr:uid="{00000000-0005-0000-0000-000031050000}"/>
    <cellStyle name="Normal 3 3 3 2" xfId="317" xr:uid="{00000000-0005-0000-0000-000032050000}"/>
    <cellStyle name="Normal 3 3 3 3" xfId="579" xr:uid="{00000000-0005-0000-0000-000033050000}"/>
    <cellStyle name="Normal 3 3 3 3 2" xfId="1641" xr:uid="{00000000-0005-0000-0000-000034050000}"/>
    <cellStyle name="Normal 3 3 3 4" xfId="946" xr:uid="{00000000-0005-0000-0000-000035050000}"/>
    <cellStyle name="Normal 3 3 3 4 2" xfId="2007" xr:uid="{00000000-0005-0000-0000-000036050000}"/>
    <cellStyle name="Normal 3 3 3 5" xfId="1322" xr:uid="{00000000-0005-0000-0000-000037050000}"/>
    <cellStyle name="Normal 3 3 3 6" xfId="2234" xr:uid="{00000000-0005-0000-0000-000038050000}"/>
    <cellStyle name="Normal 3 3 3 7" xfId="2442" xr:uid="{00000000-0005-0000-0000-000039050000}"/>
    <cellStyle name="Normal 3 3 4" xfId="702" xr:uid="{00000000-0005-0000-0000-00003A050000}"/>
    <cellStyle name="Normal 3 3 4 2" xfId="1764" xr:uid="{00000000-0005-0000-0000-00003B050000}"/>
    <cellStyle name="Normal 3 3 5" xfId="427" xr:uid="{00000000-0005-0000-0000-00003C050000}"/>
    <cellStyle name="Normal 3 3 5 2" xfId="1489" xr:uid="{00000000-0005-0000-0000-00003D050000}"/>
    <cellStyle name="Normal 3 3 6" xfId="752" xr:uid="{00000000-0005-0000-0000-00003E050000}"/>
    <cellStyle name="Normal 3 3 6 2" xfId="1813" xr:uid="{00000000-0005-0000-0000-00003F050000}"/>
    <cellStyle name="Normal 3 3 7" xfId="332" xr:uid="{00000000-0005-0000-0000-000040050000}"/>
    <cellStyle name="Normal 3 3 7 2" xfId="1399" xr:uid="{00000000-0005-0000-0000-000041050000}"/>
    <cellStyle name="Normal 3 3 8" xfId="247" xr:uid="{00000000-0005-0000-0000-000042050000}"/>
    <cellStyle name="Normal 3 3 9" xfId="66" xr:uid="{00000000-0005-0000-0000-000043050000}"/>
    <cellStyle name="Normal 3 3 9 2" xfId="1093" xr:uid="{00000000-0005-0000-0000-000044050000}"/>
    <cellStyle name="Normal 3 3 9 3" xfId="1188" xr:uid="{00000000-0005-0000-0000-000045050000}"/>
    <cellStyle name="Normal 3 4" xfId="7" xr:uid="{00000000-0005-0000-0000-000046050000}"/>
    <cellStyle name="Normal 3 4 2" xfId="232" xr:uid="{00000000-0005-0000-0000-000047050000}"/>
    <cellStyle name="Normal 3 4 2 2" xfId="315" xr:uid="{00000000-0005-0000-0000-000048050000}"/>
    <cellStyle name="Normal 3 4 3" xfId="216" xr:uid="{00000000-0005-0000-0000-000049050000}"/>
    <cellStyle name="Normal 3 4 3 2" xfId="245" xr:uid="{00000000-0005-0000-0000-00004A050000}"/>
    <cellStyle name="Normal 3 4 3 3" xfId="1315" xr:uid="{00000000-0005-0000-0000-00004B050000}"/>
    <cellStyle name="Normal 3 4 4" xfId="96" xr:uid="{00000000-0005-0000-0000-00004C050000}"/>
    <cellStyle name="Normal 3 4 5" xfId="2204" xr:uid="{00000000-0005-0000-0000-00004D050000}"/>
    <cellStyle name="Normal 3 5" xfId="41" xr:uid="{00000000-0005-0000-0000-00004E050000}"/>
    <cellStyle name="Normal 3 5 2" xfId="171" xr:uid="{00000000-0005-0000-0000-00004F050000}"/>
    <cellStyle name="Normal 3 5 2 2" xfId="848" xr:uid="{00000000-0005-0000-0000-000050050000}"/>
    <cellStyle name="Normal 3 5 2 2 2" xfId="1909" xr:uid="{00000000-0005-0000-0000-000051050000}"/>
    <cellStyle name="Normal 3 5 2 2 3" xfId="2539" xr:uid="{00000000-0005-0000-0000-000052050000}"/>
    <cellStyle name="Normal 3 5 2 3" xfId="607" xr:uid="{00000000-0005-0000-0000-000053050000}"/>
    <cellStyle name="Normal 3 5 2 3 2" xfId="1669" xr:uid="{00000000-0005-0000-0000-000054050000}"/>
    <cellStyle name="Normal 3 5 2 4" xfId="1042" xr:uid="{00000000-0005-0000-0000-000055050000}"/>
    <cellStyle name="Normal 3 5 2 4 2" xfId="2103" xr:uid="{00000000-0005-0000-0000-000056050000}"/>
    <cellStyle name="Normal 3 5 2 5" xfId="1129" xr:uid="{00000000-0005-0000-0000-000057050000}"/>
    <cellStyle name="Normal 3 5 2 5 2" xfId="2175" xr:uid="{00000000-0005-0000-0000-000058050000}"/>
    <cellStyle name="Normal 3 5 2 6" xfId="1283" xr:uid="{00000000-0005-0000-0000-000059050000}"/>
    <cellStyle name="Normal 3 5 2 7" xfId="2331" xr:uid="{00000000-0005-0000-0000-00005A050000}"/>
    <cellStyle name="Normal 3 5 2 8" xfId="2392" xr:uid="{00000000-0005-0000-0000-00005B050000}"/>
    <cellStyle name="Normal 3 5 3" xfId="776" xr:uid="{00000000-0005-0000-0000-00005C050000}"/>
    <cellStyle name="Normal 3 5 3 2" xfId="1837" xr:uid="{00000000-0005-0000-0000-00005D050000}"/>
    <cellStyle name="Normal 3 5 3 3" xfId="2466" xr:uid="{00000000-0005-0000-0000-00005E050000}"/>
    <cellStyle name="Normal 3 5 4" xfId="455" xr:uid="{00000000-0005-0000-0000-00005F050000}"/>
    <cellStyle name="Normal 3 5 4 2" xfId="1517" xr:uid="{00000000-0005-0000-0000-000060050000}"/>
    <cellStyle name="Normal 3 5 5" xfId="969" xr:uid="{00000000-0005-0000-0000-000061050000}"/>
    <cellStyle name="Normal 3 5 5 2" xfId="2030" xr:uid="{00000000-0005-0000-0000-000062050000}"/>
    <cellStyle name="Normal 3 5 6" xfId="98" xr:uid="{00000000-0005-0000-0000-000063050000}"/>
    <cellStyle name="Normal 3 5 6 2" xfId="1211" xr:uid="{00000000-0005-0000-0000-000064050000}"/>
    <cellStyle name="Normal 3 5 7" xfId="1172" xr:uid="{00000000-0005-0000-0000-000065050000}"/>
    <cellStyle name="Normal 3 5 8" xfId="2258" xr:uid="{00000000-0005-0000-0000-000066050000}"/>
    <cellStyle name="Normal 3 5 9" xfId="2363" xr:uid="{00000000-0005-0000-0000-000067050000}"/>
    <cellStyle name="Normal 3 6" xfId="222" xr:uid="{00000000-0005-0000-0000-000068050000}"/>
    <cellStyle name="Normal 3 6 2" xfId="531" xr:uid="{00000000-0005-0000-0000-000069050000}"/>
    <cellStyle name="Normal 3 6 2 2" xfId="1593" xr:uid="{00000000-0005-0000-0000-00006A050000}"/>
    <cellStyle name="Normal 3 7" xfId="313" xr:uid="{00000000-0005-0000-0000-00006B050000}"/>
    <cellStyle name="Normal 3 7 2" xfId="380" xr:uid="{00000000-0005-0000-0000-00006C050000}"/>
    <cellStyle name="Normal 3 7 2 2" xfId="1447" xr:uid="{00000000-0005-0000-0000-00006D050000}"/>
    <cellStyle name="Normal 3 8" xfId="243" xr:uid="{00000000-0005-0000-0000-00006E050000}"/>
    <cellStyle name="Normal 4" xfId="26" xr:uid="{00000000-0005-0000-0000-00006F050000}"/>
    <cellStyle name="Normal 4 2" xfId="79" xr:uid="{00000000-0005-0000-0000-000070050000}"/>
    <cellStyle name="Normal 4 3" xfId="73" xr:uid="{00000000-0005-0000-0000-000071050000}"/>
    <cellStyle name="Normal 4 3 10" xfId="2238" xr:uid="{00000000-0005-0000-0000-000072050000}"/>
    <cellStyle name="Normal 4 3 11" xfId="2377" xr:uid="{00000000-0005-0000-0000-000073050000}"/>
    <cellStyle name="Normal 4 3 2" xfId="151" xr:uid="{00000000-0005-0000-0000-000074050000}"/>
    <cellStyle name="Normal 4 3 2 2" xfId="674" xr:uid="{00000000-0005-0000-0000-000075050000}"/>
    <cellStyle name="Normal 4 3 2 2 2" xfId="1736" xr:uid="{00000000-0005-0000-0000-000076050000}"/>
    <cellStyle name="Normal 4 3 2 2 3" xfId="2519" xr:uid="{00000000-0005-0000-0000-000077050000}"/>
    <cellStyle name="Normal 4 3 2 3" xfId="828" xr:uid="{00000000-0005-0000-0000-000078050000}"/>
    <cellStyle name="Normal 4 3 2 3 2" xfId="1889" xr:uid="{00000000-0005-0000-0000-000079050000}"/>
    <cellStyle name="Normal 4 3 2 4" xfId="523" xr:uid="{00000000-0005-0000-0000-00007A050000}"/>
    <cellStyle name="Normal 4 3 2 4 2" xfId="1585" xr:uid="{00000000-0005-0000-0000-00007B050000}"/>
    <cellStyle name="Normal 4 3 2 5" xfId="1022" xr:uid="{00000000-0005-0000-0000-00007C050000}"/>
    <cellStyle name="Normal 4 3 2 5 2" xfId="2083" xr:uid="{00000000-0005-0000-0000-00007D050000}"/>
    <cellStyle name="Normal 4 3 2 6" xfId="1143" xr:uid="{00000000-0005-0000-0000-00007E050000}"/>
    <cellStyle name="Normal 4 3 2 6 2" xfId="2189" xr:uid="{00000000-0005-0000-0000-00007F050000}"/>
    <cellStyle name="Normal 4 3 2 7" xfId="1263" xr:uid="{00000000-0005-0000-0000-000080050000}"/>
    <cellStyle name="Normal 4 3 2 8" xfId="2311" xr:uid="{00000000-0005-0000-0000-000081050000}"/>
    <cellStyle name="Normal 4 3 2 9" xfId="2406" xr:uid="{00000000-0005-0000-0000-000082050000}"/>
    <cellStyle name="Normal 4 3 3" xfId="269" xr:uid="{00000000-0005-0000-0000-000083050000}"/>
    <cellStyle name="Normal 4 3 3 2" xfId="599" xr:uid="{00000000-0005-0000-0000-000084050000}"/>
    <cellStyle name="Normal 4 3 3 2 2" xfId="1661" xr:uid="{00000000-0005-0000-0000-000085050000}"/>
    <cellStyle name="Normal 4 3 3 3" xfId="952" xr:uid="{00000000-0005-0000-0000-000086050000}"/>
    <cellStyle name="Normal 4 3 3 3 2" xfId="2013" xr:uid="{00000000-0005-0000-0000-000087050000}"/>
    <cellStyle name="Normal 4 3 3 4" xfId="1343" xr:uid="{00000000-0005-0000-0000-000088050000}"/>
    <cellStyle name="Normal 4 3 3 5" xfId="2446" xr:uid="{00000000-0005-0000-0000-000089050000}"/>
    <cellStyle name="Normal 4 3 4" xfId="706" xr:uid="{00000000-0005-0000-0000-00008A050000}"/>
    <cellStyle name="Normal 4 3 4 2" xfId="1768" xr:uid="{00000000-0005-0000-0000-00008B050000}"/>
    <cellStyle name="Normal 4 3 5" xfId="756" xr:uid="{00000000-0005-0000-0000-00008C050000}"/>
    <cellStyle name="Normal 4 3 5 2" xfId="1817" xr:uid="{00000000-0005-0000-0000-00008D050000}"/>
    <cellStyle name="Normal 4 3 6" xfId="447" xr:uid="{00000000-0005-0000-0000-00008E050000}"/>
    <cellStyle name="Normal 4 3 6 2" xfId="1509" xr:uid="{00000000-0005-0000-0000-00008F050000}"/>
    <cellStyle name="Normal 4 3 7" xfId="951" xr:uid="{00000000-0005-0000-0000-000090050000}"/>
    <cellStyle name="Normal 4 3 7 2" xfId="2012" xr:uid="{00000000-0005-0000-0000-000091050000}"/>
    <cellStyle name="Normal 4 3 8" xfId="1114" xr:uid="{00000000-0005-0000-0000-000092050000}"/>
    <cellStyle name="Normal 4 3 8 2" xfId="2160" xr:uid="{00000000-0005-0000-0000-000093050000}"/>
    <cellStyle name="Normal 4 3 9" xfId="1192" xr:uid="{00000000-0005-0000-0000-000094050000}"/>
    <cellStyle name="Normal 4 4" xfId="102" xr:uid="{00000000-0005-0000-0000-000095050000}"/>
    <cellStyle name="Normal 4 4 2" xfId="175" xr:uid="{00000000-0005-0000-0000-000096050000}"/>
    <cellStyle name="Normal 4 4 2 2" xfId="852" xr:uid="{00000000-0005-0000-0000-000097050000}"/>
    <cellStyle name="Normal 4 4 2 2 2" xfId="1913" xr:uid="{00000000-0005-0000-0000-000098050000}"/>
    <cellStyle name="Normal 4 4 2 3" xfId="1046" xr:uid="{00000000-0005-0000-0000-000099050000}"/>
    <cellStyle name="Normal 4 4 2 3 2" xfId="2107" xr:uid="{00000000-0005-0000-0000-00009A050000}"/>
    <cellStyle name="Normal 4 4 2 4" xfId="1287" xr:uid="{00000000-0005-0000-0000-00009B050000}"/>
    <cellStyle name="Normal 4 4 2 5" xfId="2335" xr:uid="{00000000-0005-0000-0000-00009C050000}"/>
    <cellStyle name="Normal 4 4 2 6" xfId="2543" xr:uid="{00000000-0005-0000-0000-00009D050000}"/>
    <cellStyle name="Normal 4 4 3" xfId="779" xr:uid="{00000000-0005-0000-0000-00009E050000}"/>
    <cellStyle name="Normal 4 4 3 2" xfId="1840" xr:uid="{00000000-0005-0000-0000-00009F050000}"/>
    <cellStyle name="Normal 4 4 4" xfId="973" xr:uid="{00000000-0005-0000-0000-0000A0050000}"/>
    <cellStyle name="Normal 4 4 4 2" xfId="2034" xr:uid="{00000000-0005-0000-0000-0000A1050000}"/>
    <cellStyle name="Normal 4 4 5" xfId="1215" xr:uid="{00000000-0005-0000-0000-0000A2050000}"/>
    <cellStyle name="Normal 4 4 6" xfId="2262" xr:uid="{00000000-0005-0000-0000-0000A3050000}"/>
    <cellStyle name="Normal 4 4 7" xfId="2470" xr:uid="{00000000-0005-0000-0000-0000A4050000}"/>
    <cellStyle name="Normal 4 5" xfId="206" xr:uid="{00000000-0005-0000-0000-0000A5050000}"/>
    <cellStyle name="Normal 4 5 2" xfId="957" xr:uid="{00000000-0005-0000-0000-0000A6050000}"/>
    <cellStyle name="Normal 4 5 2 2" xfId="2018" xr:uid="{00000000-0005-0000-0000-0000A7050000}"/>
    <cellStyle name="Normal 4 6" xfId="215" xr:uid="{00000000-0005-0000-0000-0000A8050000}"/>
    <cellStyle name="Normal 5" xfId="30" xr:uid="{00000000-0005-0000-0000-0000A9050000}"/>
    <cellStyle name="Normal 5 10" xfId="908" xr:uid="{00000000-0005-0000-0000-0000AA050000}"/>
    <cellStyle name="Normal 5 10 2" xfId="1969" xr:uid="{00000000-0005-0000-0000-0000AB050000}"/>
    <cellStyle name="Normal 5 11" xfId="1087" xr:uid="{00000000-0005-0000-0000-0000AC050000}"/>
    <cellStyle name="Normal 5 11 2" xfId="2145" xr:uid="{00000000-0005-0000-0000-0000AD050000}"/>
    <cellStyle name="Normal 5 12" xfId="1165" xr:uid="{00000000-0005-0000-0000-0000AE050000}"/>
    <cellStyle name="Normal 5 13" xfId="2206" xr:uid="{00000000-0005-0000-0000-0000AF050000}"/>
    <cellStyle name="Normal 5 14" xfId="2359" xr:uid="{00000000-0005-0000-0000-0000B0050000}"/>
    <cellStyle name="Normal 5 2" xfId="51" xr:uid="{00000000-0005-0000-0000-0000B1050000}"/>
    <cellStyle name="Normal 5 2 10" xfId="339" xr:uid="{00000000-0005-0000-0000-0000B2050000}"/>
    <cellStyle name="Normal 5 2 10 2" xfId="1406" xr:uid="{00000000-0005-0000-0000-0000B3050000}"/>
    <cellStyle name="Normal 5 2 11" xfId="883" xr:uid="{00000000-0005-0000-0000-0000B4050000}"/>
    <cellStyle name="Normal 5 2 11 2" xfId="1944" xr:uid="{00000000-0005-0000-0000-0000B5050000}"/>
    <cellStyle name="Normal 5 2 12" xfId="1117" xr:uid="{00000000-0005-0000-0000-0000B6050000}"/>
    <cellStyle name="Normal 5 2 12 2" xfId="2163" xr:uid="{00000000-0005-0000-0000-0000B7050000}"/>
    <cellStyle name="Normal 5 2 13" xfId="1178" xr:uid="{00000000-0005-0000-0000-0000B8050000}"/>
    <cellStyle name="Normal 5 2 14" xfId="2211" xr:uid="{00000000-0005-0000-0000-0000B9050000}"/>
    <cellStyle name="Normal 5 2 15" xfId="2380" xr:uid="{00000000-0005-0000-0000-0000BA050000}"/>
    <cellStyle name="Normal 5 2 2" xfId="60" xr:uid="{00000000-0005-0000-0000-0000BB050000}"/>
    <cellStyle name="Normal 5 2 2 10" xfId="1146" xr:uid="{00000000-0005-0000-0000-0000BC050000}"/>
    <cellStyle name="Normal 5 2 2 10 2" xfId="2192" xr:uid="{00000000-0005-0000-0000-0000BD050000}"/>
    <cellStyle name="Normal 5 2 2 11" xfId="1182" xr:uid="{00000000-0005-0000-0000-0000BE050000}"/>
    <cellStyle name="Normal 5 2 2 12" xfId="2224" xr:uid="{00000000-0005-0000-0000-0000BF050000}"/>
    <cellStyle name="Normal 5 2 2 13" xfId="2409" xr:uid="{00000000-0005-0000-0000-0000C0050000}"/>
    <cellStyle name="Normal 5 2 2 2" xfId="137" xr:uid="{00000000-0005-0000-0000-0000C1050000}"/>
    <cellStyle name="Normal 5 2 2 2 2" xfId="501" xr:uid="{00000000-0005-0000-0000-0000C2050000}"/>
    <cellStyle name="Normal 5 2 2 2 2 2" xfId="652" xr:uid="{00000000-0005-0000-0000-0000C3050000}"/>
    <cellStyle name="Normal 5 2 2 2 2 2 2" xfId="1714" xr:uid="{00000000-0005-0000-0000-0000C4050000}"/>
    <cellStyle name="Normal 5 2 2 2 2 3" xfId="1563" xr:uid="{00000000-0005-0000-0000-0000C5050000}"/>
    <cellStyle name="Normal 5 2 2 2 3" xfId="577" xr:uid="{00000000-0005-0000-0000-0000C6050000}"/>
    <cellStyle name="Normal 5 2 2 2 3 2" xfId="1639" xr:uid="{00000000-0005-0000-0000-0000C7050000}"/>
    <cellStyle name="Normal 5 2 2 2 4" xfId="814" xr:uid="{00000000-0005-0000-0000-0000C8050000}"/>
    <cellStyle name="Normal 5 2 2 2 4 2" xfId="1875" xr:uid="{00000000-0005-0000-0000-0000C9050000}"/>
    <cellStyle name="Normal 5 2 2 2 5" xfId="425" xr:uid="{00000000-0005-0000-0000-0000CA050000}"/>
    <cellStyle name="Normal 5 2 2 2 5 2" xfId="1487" xr:uid="{00000000-0005-0000-0000-0000CB050000}"/>
    <cellStyle name="Normal 5 2 2 2 6" xfId="1008" xr:uid="{00000000-0005-0000-0000-0000CC050000}"/>
    <cellStyle name="Normal 5 2 2 2 6 2" xfId="2069" xr:uid="{00000000-0005-0000-0000-0000CD050000}"/>
    <cellStyle name="Normal 5 2 2 2 7" xfId="1249" xr:uid="{00000000-0005-0000-0000-0000CE050000}"/>
    <cellStyle name="Normal 5 2 2 2 8" xfId="2297" xr:uid="{00000000-0005-0000-0000-0000CF050000}"/>
    <cellStyle name="Normal 5 2 2 2 9" xfId="2505" xr:uid="{00000000-0005-0000-0000-0000D0050000}"/>
    <cellStyle name="Normal 5 2 2 3" xfId="258" xr:uid="{00000000-0005-0000-0000-0000D1050000}"/>
    <cellStyle name="Normal 5 2 2 3 2" xfId="619" xr:uid="{00000000-0005-0000-0000-0000D2050000}"/>
    <cellStyle name="Normal 5 2 2 3 2 2" xfId="1681" xr:uid="{00000000-0005-0000-0000-0000D3050000}"/>
    <cellStyle name="Normal 5 2 2 3 3" xfId="468" xr:uid="{00000000-0005-0000-0000-0000D4050000}"/>
    <cellStyle name="Normal 5 2 2 3 3 2" xfId="1530" xr:uid="{00000000-0005-0000-0000-0000D5050000}"/>
    <cellStyle name="Normal 5 2 2 3 4" xfId="889" xr:uid="{00000000-0005-0000-0000-0000D6050000}"/>
    <cellStyle name="Normal 5 2 2 3 4 2" xfId="1950" xr:uid="{00000000-0005-0000-0000-0000D7050000}"/>
    <cellStyle name="Normal 5 2 2 3 5" xfId="1332" xr:uid="{00000000-0005-0000-0000-0000D8050000}"/>
    <cellStyle name="Normal 5 2 2 3 6" xfId="2432" xr:uid="{00000000-0005-0000-0000-0000D9050000}"/>
    <cellStyle name="Normal 5 2 2 4" xfId="544" xr:uid="{00000000-0005-0000-0000-0000DA050000}"/>
    <cellStyle name="Normal 5 2 2 4 2" xfId="1606" xr:uid="{00000000-0005-0000-0000-0000DB050000}"/>
    <cellStyle name="Normal 5 2 2 5" xfId="692" xr:uid="{00000000-0005-0000-0000-0000DC050000}"/>
    <cellStyle name="Normal 5 2 2 5 2" xfId="1754" xr:uid="{00000000-0005-0000-0000-0000DD050000}"/>
    <cellStyle name="Normal 5 2 2 6" xfId="387" xr:uid="{00000000-0005-0000-0000-0000DE050000}"/>
    <cellStyle name="Normal 5 2 2 6 2" xfId="1454" xr:uid="{00000000-0005-0000-0000-0000DF050000}"/>
    <cellStyle name="Normal 5 2 2 7" xfId="742" xr:uid="{00000000-0005-0000-0000-0000E0050000}"/>
    <cellStyle name="Normal 5 2 2 7 2" xfId="1803" xr:uid="{00000000-0005-0000-0000-0000E1050000}"/>
    <cellStyle name="Normal 5 2 2 8" xfId="347" xr:uid="{00000000-0005-0000-0000-0000E2050000}"/>
    <cellStyle name="Normal 5 2 2 8 2" xfId="1414" xr:uid="{00000000-0005-0000-0000-0000E3050000}"/>
    <cellStyle name="Normal 5 2 2 9" xfId="955" xr:uid="{00000000-0005-0000-0000-0000E4050000}"/>
    <cellStyle name="Normal 5 2 2 9 2" xfId="2016" xr:uid="{00000000-0005-0000-0000-0000E5050000}"/>
    <cellStyle name="Normal 5 2 3" xfId="130" xr:uid="{00000000-0005-0000-0000-0000E6050000}"/>
    <cellStyle name="Normal 5 2 3 2" xfId="517" xr:uid="{00000000-0005-0000-0000-0000E7050000}"/>
    <cellStyle name="Normal 5 2 3 2 2" xfId="668" xr:uid="{00000000-0005-0000-0000-0000E8050000}"/>
    <cellStyle name="Normal 5 2 3 2 2 2" xfId="1730" xr:uid="{00000000-0005-0000-0000-0000E9050000}"/>
    <cellStyle name="Normal 5 2 3 2 3" xfId="1579" xr:uid="{00000000-0005-0000-0000-0000EA050000}"/>
    <cellStyle name="Normal 5 2 3 3" xfId="593" xr:uid="{00000000-0005-0000-0000-0000EB050000}"/>
    <cellStyle name="Normal 5 2 3 3 2" xfId="1655" xr:uid="{00000000-0005-0000-0000-0000EC050000}"/>
    <cellStyle name="Normal 5 2 3 4" xfId="807" xr:uid="{00000000-0005-0000-0000-0000ED050000}"/>
    <cellStyle name="Normal 5 2 3 4 2" xfId="1868" xr:uid="{00000000-0005-0000-0000-0000EE050000}"/>
    <cellStyle name="Normal 5 2 3 5" xfId="441" xr:uid="{00000000-0005-0000-0000-0000EF050000}"/>
    <cellStyle name="Normal 5 2 3 5 2" xfId="1503" xr:uid="{00000000-0005-0000-0000-0000F0050000}"/>
    <cellStyle name="Normal 5 2 3 6" xfId="1001" xr:uid="{00000000-0005-0000-0000-0000F1050000}"/>
    <cellStyle name="Normal 5 2 3 6 2" xfId="2062" xr:uid="{00000000-0005-0000-0000-0000F2050000}"/>
    <cellStyle name="Normal 5 2 3 7" xfId="1242" xr:uid="{00000000-0005-0000-0000-0000F3050000}"/>
    <cellStyle name="Normal 5 2 3 8" xfId="2290" xr:uid="{00000000-0005-0000-0000-0000F4050000}"/>
    <cellStyle name="Normal 5 2 3 9" xfId="2498" xr:uid="{00000000-0005-0000-0000-0000F5050000}"/>
    <cellStyle name="Normal 5 2 4" xfId="237" xr:uid="{00000000-0005-0000-0000-0000F6050000}"/>
    <cellStyle name="Normal 5 2 4 2" xfId="494" xr:uid="{00000000-0005-0000-0000-0000F7050000}"/>
    <cellStyle name="Normal 5 2 4 2 2" xfId="645" xr:uid="{00000000-0005-0000-0000-0000F8050000}"/>
    <cellStyle name="Normal 5 2 4 2 2 2" xfId="1707" xr:uid="{00000000-0005-0000-0000-0000F9050000}"/>
    <cellStyle name="Normal 5 2 4 2 3" xfId="1556" xr:uid="{00000000-0005-0000-0000-0000FA050000}"/>
    <cellStyle name="Normal 5 2 4 3" xfId="570" xr:uid="{00000000-0005-0000-0000-0000FB050000}"/>
    <cellStyle name="Normal 5 2 4 3 2" xfId="1632" xr:uid="{00000000-0005-0000-0000-0000FC050000}"/>
    <cellStyle name="Normal 5 2 4 4" xfId="418" xr:uid="{00000000-0005-0000-0000-0000FD050000}"/>
    <cellStyle name="Normal 5 2 4 4 2" xfId="1480" xr:uid="{00000000-0005-0000-0000-0000FE050000}"/>
    <cellStyle name="Normal 5 2 4 5" xfId="942" xr:uid="{00000000-0005-0000-0000-0000FF050000}"/>
    <cellStyle name="Normal 5 2 4 5 2" xfId="2003" xr:uid="{00000000-0005-0000-0000-000000060000}"/>
    <cellStyle name="Normal 5 2 4 6" xfId="1324" xr:uid="{00000000-0005-0000-0000-000001060000}"/>
    <cellStyle name="Normal 5 2 4 7" xfId="2217" xr:uid="{00000000-0005-0000-0000-000002060000}"/>
    <cellStyle name="Normal 5 2 4 8" xfId="2425" xr:uid="{00000000-0005-0000-0000-000003060000}"/>
    <cellStyle name="Normal 5 2 5" xfId="461" xr:uid="{00000000-0005-0000-0000-000004060000}"/>
    <cellStyle name="Normal 5 2 5 2" xfId="612" xr:uid="{00000000-0005-0000-0000-000005060000}"/>
    <cellStyle name="Normal 5 2 5 2 2" xfId="1674" xr:uid="{00000000-0005-0000-0000-000006060000}"/>
    <cellStyle name="Normal 5 2 5 3" xfId="1523" xr:uid="{00000000-0005-0000-0000-000007060000}"/>
    <cellStyle name="Normal 5 2 6" xfId="537" xr:uid="{00000000-0005-0000-0000-000008060000}"/>
    <cellStyle name="Normal 5 2 6 2" xfId="1599" xr:uid="{00000000-0005-0000-0000-000009060000}"/>
    <cellStyle name="Normal 5 2 7" xfId="685" xr:uid="{00000000-0005-0000-0000-00000A060000}"/>
    <cellStyle name="Normal 5 2 7 2" xfId="1747" xr:uid="{00000000-0005-0000-0000-00000B060000}"/>
    <cellStyle name="Normal 5 2 8" xfId="383" xr:uid="{00000000-0005-0000-0000-00000C060000}"/>
    <cellStyle name="Normal 5 2 8 2" xfId="1450" xr:uid="{00000000-0005-0000-0000-00000D060000}"/>
    <cellStyle name="Normal 5 2 9" xfId="735" xr:uid="{00000000-0005-0000-0000-00000E060000}"/>
    <cellStyle name="Normal 5 2 9 2" xfId="1796" xr:uid="{00000000-0005-0000-0000-00000F060000}"/>
    <cellStyle name="Normal 5 3" xfId="81" xr:uid="{00000000-0005-0000-0000-000010060000}"/>
    <cellStyle name="Normal 5 3 10" xfId="1125" xr:uid="{00000000-0005-0000-0000-000011060000}"/>
    <cellStyle name="Normal 5 3 10 2" xfId="2171" xr:uid="{00000000-0005-0000-0000-000012060000}"/>
    <cellStyle name="Normal 5 3 11" xfId="1196" xr:uid="{00000000-0005-0000-0000-000013060000}"/>
    <cellStyle name="Normal 5 3 12" xfId="2242" xr:uid="{00000000-0005-0000-0000-000014060000}"/>
    <cellStyle name="Normal 5 3 13" xfId="2388" xr:uid="{00000000-0005-0000-0000-000015060000}"/>
    <cellStyle name="Normal 5 3 2" xfId="155" xr:uid="{00000000-0005-0000-0000-000016060000}"/>
    <cellStyle name="Normal 5 3 2 2" xfId="514" xr:uid="{00000000-0005-0000-0000-000017060000}"/>
    <cellStyle name="Normal 5 3 2 2 2" xfId="665" xr:uid="{00000000-0005-0000-0000-000018060000}"/>
    <cellStyle name="Normal 5 3 2 2 2 2" xfId="1727" xr:uid="{00000000-0005-0000-0000-000019060000}"/>
    <cellStyle name="Normal 5 3 2 2 3" xfId="1576" xr:uid="{00000000-0005-0000-0000-00001A060000}"/>
    <cellStyle name="Normal 5 3 2 3" xfId="590" xr:uid="{00000000-0005-0000-0000-00001B060000}"/>
    <cellStyle name="Normal 5 3 2 3 2" xfId="1652" xr:uid="{00000000-0005-0000-0000-00001C060000}"/>
    <cellStyle name="Normal 5 3 2 4" xfId="832" xr:uid="{00000000-0005-0000-0000-00001D060000}"/>
    <cellStyle name="Normal 5 3 2 4 2" xfId="1893" xr:uid="{00000000-0005-0000-0000-00001E060000}"/>
    <cellStyle name="Normal 5 3 2 5" xfId="438" xr:uid="{00000000-0005-0000-0000-00001F060000}"/>
    <cellStyle name="Normal 5 3 2 5 2" xfId="1500" xr:uid="{00000000-0005-0000-0000-000020060000}"/>
    <cellStyle name="Normal 5 3 2 6" xfId="1026" xr:uid="{00000000-0005-0000-0000-000021060000}"/>
    <cellStyle name="Normal 5 3 2 6 2" xfId="2087" xr:uid="{00000000-0005-0000-0000-000022060000}"/>
    <cellStyle name="Normal 5 3 2 7" xfId="1267" xr:uid="{00000000-0005-0000-0000-000023060000}"/>
    <cellStyle name="Normal 5 3 2 8" xfId="2315" xr:uid="{00000000-0005-0000-0000-000024060000}"/>
    <cellStyle name="Normal 5 3 2 9" xfId="2523" xr:uid="{00000000-0005-0000-0000-000025060000}"/>
    <cellStyle name="Normal 5 3 3" xfId="273" xr:uid="{00000000-0005-0000-0000-000026060000}"/>
    <cellStyle name="Normal 5 3 3 2" xfId="629" xr:uid="{00000000-0005-0000-0000-000027060000}"/>
    <cellStyle name="Normal 5 3 3 2 2" xfId="1691" xr:uid="{00000000-0005-0000-0000-000028060000}"/>
    <cellStyle name="Normal 5 3 3 3" xfId="478" xr:uid="{00000000-0005-0000-0000-000029060000}"/>
    <cellStyle name="Normal 5 3 3 3 2" xfId="1540" xr:uid="{00000000-0005-0000-0000-00002A060000}"/>
    <cellStyle name="Normal 5 3 3 4" xfId="881" xr:uid="{00000000-0005-0000-0000-00002B060000}"/>
    <cellStyle name="Normal 5 3 3 4 2" xfId="1942" xr:uid="{00000000-0005-0000-0000-00002C060000}"/>
    <cellStyle name="Normal 5 3 3 5" xfId="1347" xr:uid="{00000000-0005-0000-0000-00002D060000}"/>
    <cellStyle name="Normal 5 3 3 6" xfId="2450" xr:uid="{00000000-0005-0000-0000-00002E060000}"/>
    <cellStyle name="Normal 5 3 4" xfId="554" xr:uid="{00000000-0005-0000-0000-00002F060000}"/>
    <cellStyle name="Normal 5 3 4 2" xfId="1616" xr:uid="{00000000-0005-0000-0000-000030060000}"/>
    <cellStyle name="Normal 5 3 5" xfId="710" xr:uid="{00000000-0005-0000-0000-000031060000}"/>
    <cellStyle name="Normal 5 3 5 2" xfId="1772" xr:uid="{00000000-0005-0000-0000-000032060000}"/>
    <cellStyle name="Normal 5 3 6" xfId="397" xr:uid="{00000000-0005-0000-0000-000033060000}"/>
    <cellStyle name="Normal 5 3 6 2" xfId="1464" xr:uid="{00000000-0005-0000-0000-000034060000}"/>
    <cellStyle name="Normal 5 3 7" xfId="760" xr:uid="{00000000-0005-0000-0000-000035060000}"/>
    <cellStyle name="Normal 5 3 7 2" xfId="1821" xr:uid="{00000000-0005-0000-0000-000036060000}"/>
    <cellStyle name="Normal 5 3 8" xfId="357" xr:uid="{00000000-0005-0000-0000-000037060000}"/>
    <cellStyle name="Normal 5 3 8 2" xfId="1424" xr:uid="{00000000-0005-0000-0000-000038060000}"/>
    <cellStyle name="Normal 5 3 9" xfId="924" xr:uid="{00000000-0005-0000-0000-000039060000}"/>
    <cellStyle name="Normal 5 3 9 2" xfId="1985" xr:uid="{00000000-0005-0000-0000-00003A060000}"/>
    <cellStyle name="Normal 5 4" xfId="106" xr:uid="{00000000-0005-0000-0000-00003B060000}"/>
    <cellStyle name="Normal 5 4 10" xfId="2266" xr:uid="{00000000-0005-0000-0000-00003C060000}"/>
    <cellStyle name="Normal 5 4 11" xfId="2417" xr:uid="{00000000-0005-0000-0000-00003D060000}"/>
    <cellStyle name="Normal 5 4 2" xfId="179" xr:uid="{00000000-0005-0000-0000-00003E060000}"/>
    <cellStyle name="Normal 5 4 2 2" xfId="641" xr:uid="{00000000-0005-0000-0000-00003F060000}"/>
    <cellStyle name="Normal 5 4 2 2 2" xfId="1703" xr:uid="{00000000-0005-0000-0000-000040060000}"/>
    <cellStyle name="Normal 5 4 2 3" xfId="856" xr:uid="{00000000-0005-0000-0000-000041060000}"/>
    <cellStyle name="Normal 5 4 2 3 2" xfId="1917" xr:uid="{00000000-0005-0000-0000-000042060000}"/>
    <cellStyle name="Normal 5 4 2 4" xfId="490" xr:uid="{00000000-0005-0000-0000-000043060000}"/>
    <cellStyle name="Normal 5 4 2 4 2" xfId="1552" xr:uid="{00000000-0005-0000-0000-000044060000}"/>
    <cellStyle name="Normal 5 4 2 5" xfId="1050" xr:uid="{00000000-0005-0000-0000-000045060000}"/>
    <cellStyle name="Normal 5 4 2 5 2" xfId="2111" xr:uid="{00000000-0005-0000-0000-000046060000}"/>
    <cellStyle name="Normal 5 4 2 6" xfId="1291" xr:uid="{00000000-0005-0000-0000-000047060000}"/>
    <cellStyle name="Normal 5 4 2 7" xfId="2339" xr:uid="{00000000-0005-0000-0000-000048060000}"/>
    <cellStyle name="Normal 5 4 2 8" xfId="2547" xr:uid="{00000000-0005-0000-0000-000049060000}"/>
    <cellStyle name="Normal 5 4 3" xfId="291" xr:uid="{00000000-0005-0000-0000-00004A060000}"/>
    <cellStyle name="Normal 5 4 3 2" xfId="566" xr:uid="{00000000-0005-0000-0000-00004B060000}"/>
    <cellStyle name="Normal 5 4 3 2 2" xfId="1628" xr:uid="{00000000-0005-0000-0000-00004C060000}"/>
    <cellStyle name="Normal 5 4 3 3" xfId="977" xr:uid="{00000000-0005-0000-0000-00004D060000}"/>
    <cellStyle name="Normal 5 4 3 3 2" xfId="2038" xr:uid="{00000000-0005-0000-0000-00004E060000}"/>
    <cellStyle name="Normal 5 4 3 4" xfId="1365" xr:uid="{00000000-0005-0000-0000-00004F060000}"/>
    <cellStyle name="Normal 5 4 3 5" xfId="2474" xr:uid="{00000000-0005-0000-0000-000050060000}"/>
    <cellStyle name="Normal 5 4 4" xfId="414" xr:uid="{00000000-0005-0000-0000-000051060000}"/>
    <cellStyle name="Normal 5 4 4 2" xfId="1476" xr:uid="{00000000-0005-0000-0000-000052060000}"/>
    <cellStyle name="Normal 5 4 5" xfId="783" xr:uid="{00000000-0005-0000-0000-000053060000}"/>
    <cellStyle name="Normal 5 4 5 2" xfId="1844" xr:uid="{00000000-0005-0000-0000-000054060000}"/>
    <cellStyle name="Normal 5 4 6" xfId="336" xr:uid="{00000000-0005-0000-0000-000055060000}"/>
    <cellStyle name="Normal 5 4 6 2" xfId="1403" xr:uid="{00000000-0005-0000-0000-000056060000}"/>
    <cellStyle name="Normal 5 4 7" xfId="954" xr:uid="{00000000-0005-0000-0000-000057060000}"/>
    <cellStyle name="Normal 5 4 7 2" xfId="2015" xr:uid="{00000000-0005-0000-0000-000058060000}"/>
    <cellStyle name="Normal 5 4 8" xfId="1154" xr:uid="{00000000-0005-0000-0000-000059060000}"/>
    <cellStyle name="Normal 5 4 8 2" xfId="2200" xr:uid="{00000000-0005-0000-0000-00005A060000}"/>
    <cellStyle name="Normal 5 4 9" xfId="1218" xr:uid="{00000000-0005-0000-0000-00005B060000}"/>
    <cellStyle name="Normal 5 5" xfId="126" xr:uid="{00000000-0005-0000-0000-00005C060000}"/>
    <cellStyle name="Normal 5 5 2" xfId="225" xr:uid="{00000000-0005-0000-0000-00005D060000}"/>
    <cellStyle name="Normal 5 5 2 2" xfId="1319" xr:uid="{00000000-0005-0000-0000-00005E060000}"/>
    <cellStyle name="Normal 5 5 3" xfId="458" xr:uid="{00000000-0005-0000-0000-00005F060000}"/>
    <cellStyle name="Normal 5 5 3 2" xfId="1520" xr:uid="{00000000-0005-0000-0000-000060060000}"/>
    <cellStyle name="Normal 5 5 4" xfId="803" xr:uid="{00000000-0005-0000-0000-000061060000}"/>
    <cellStyle name="Normal 5 5 4 2" xfId="1864" xr:uid="{00000000-0005-0000-0000-000062060000}"/>
    <cellStyle name="Normal 5 5 5" xfId="365" xr:uid="{00000000-0005-0000-0000-000063060000}"/>
    <cellStyle name="Normal 5 5 5 2" xfId="1432" xr:uid="{00000000-0005-0000-0000-000064060000}"/>
    <cellStyle name="Normal 5 5 6" xfId="997" xr:uid="{00000000-0005-0000-0000-000065060000}"/>
    <cellStyle name="Normal 5 5 6 2" xfId="2058" xr:uid="{00000000-0005-0000-0000-000066060000}"/>
    <cellStyle name="Normal 5 5 7" xfId="1238" xr:uid="{00000000-0005-0000-0000-000067060000}"/>
    <cellStyle name="Normal 5 5 8" xfId="2286" xr:uid="{00000000-0005-0000-0000-000068060000}"/>
    <cellStyle name="Normal 5 5 9" xfId="2494" xr:uid="{00000000-0005-0000-0000-000069060000}"/>
    <cellStyle name="Normal 5 6" xfId="45" xr:uid="{00000000-0005-0000-0000-00006A060000}"/>
    <cellStyle name="Normal 5 6 2" xfId="534" xr:uid="{00000000-0005-0000-0000-00006B060000}"/>
    <cellStyle name="Normal 5 6 2 2" xfId="1596" xr:uid="{00000000-0005-0000-0000-00006C060000}"/>
    <cellStyle name="Normal 5 6 3" xfId="372" xr:uid="{00000000-0005-0000-0000-00006D060000}"/>
    <cellStyle name="Normal 5 6 3 2" xfId="1439" xr:uid="{00000000-0005-0000-0000-00006E060000}"/>
    <cellStyle name="Normal 5 6 4" xfId="958" xr:uid="{00000000-0005-0000-0000-00006F060000}"/>
    <cellStyle name="Normal 5 6 4 2" xfId="2019" xr:uid="{00000000-0005-0000-0000-000070060000}"/>
    <cellStyle name="Normal 5 6 5" xfId="1176" xr:uid="{00000000-0005-0000-0000-000071060000}"/>
    <cellStyle name="Normal 5 6 6" xfId="2213" xr:uid="{00000000-0005-0000-0000-000072060000}"/>
    <cellStyle name="Normal 5 6 7" xfId="2421" xr:uid="{00000000-0005-0000-0000-000073060000}"/>
    <cellStyle name="Normal 5 7" xfId="304" xr:uid="{00000000-0005-0000-0000-000074060000}"/>
    <cellStyle name="Normal 5 7 2" xfId="682" xr:uid="{00000000-0005-0000-0000-000075060000}"/>
    <cellStyle name="Normal 5 7 2 2" xfId="1744" xr:uid="{00000000-0005-0000-0000-000076060000}"/>
    <cellStyle name="Normal 5 7 3" xfId="1074" xr:uid="{00000000-0005-0000-0000-000077060000}"/>
    <cellStyle name="Normal 5 7 3 2" xfId="2135" xr:uid="{00000000-0005-0000-0000-000078060000}"/>
    <cellStyle name="Normal 5 7 4" xfId="1378" xr:uid="{00000000-0005-0000-0000-000079060000}"/>
    <cellStyle name="Normal 5 8" xfId="323" xr:uid="{00000000-0005-0000-0000-00007A060000}"/>
    <cellStyle name="Normal 5 8 2" xfId="1390" xr:uid="{00000000-0005-0000-0000-00007B060000}"/>
    <cellStyle name="Normal 5 9" xfId="731" xr:uid="{00000000-0005-0000-0000-00007C060000}"/>
    <cellStyle name="Normal 5 9 2" xfId="1792" xr:uid="{00000000-0005-0000-0000-00007D060000}"/>
    <cellStyle name="Normal 6" xfId="37" xr:uid="{00000000-0005-0000-0000-00007E060000}"/>
    <cellStyle name="Normal 6 10" xfId="1107" xr:uid="{00000000-0005-0000-0000-00007F060000}"/>
    <cellStyle name="Normal 6 10 2" xfId="2153" xr:uid="{00000000-0005-0000-0000-000080060000}"/>
    <cellStyle name="Normal 6 11" xfId="1168" xr:uid="{00000000-0005-0000-0000-000081060000}"/>
    <cellStyle name="Normal 6 12" xfId="2207" xr:uid="{00000000-0005-0000-0000-000082060000}"/>
    <cellStyle name="Normal 6 13" xfId="2370" xr:uid="{00000000-0005-0000-0000-000083060000}"/>
    <cellStyle name="Normal 6 2" xfId="85" xr:uid="{00000000-0005-0000-0000-000084060000}"/>
    <cellStyle name="Normal 6 2 10" xfId="1121" xr:uid="{00000000-0005-0000-0000-000085060000}"/>
    <cellStyle name="Normal 6 2 10 2" xfId="2167" xr:uid="{00000000-0005-0000-0000-000086060000}"/>
    <cellStyle name="Normal 6 2 11" xfId="1200" xr:uid="{00000000-0005-0000-0000-000087060000}"/>
    <cellStyle name="Normal 6 2 12" xfId="2384" xr:uid="{00000000-0005-0000-0000-000088060000}"/>
    <cellStyle name="Normal 6 2 2" xfId="159" xr:uid="{00000000-0005-0000-0000-000089060000}"/>
    <cellStyle name="Normal 6 2 2 10" xfId="2413" xr:uid="{00000000-0005-0000-0000-00008A060000}"/>
    <cellStyle name="Normal 6 2 2 2" xfId="526" xr:uid="{00000000-0005-0000-0000-00008B060000}"/>
    <cellStyle name="Normal 6 2 2 2 2" xfId="677" xr:uid="{00000000-0005-0000-0000-00008C060000}"/>
    <cellStyle name="Normal 6 2 2 2 2 2" xfId="1739" xr:uid="{00000000-0005-0000-0000-00008D060000}"/>
    <cellStyle name="Normal 6 2 2 2 3" xfId="1588" xr:uid="{00000000-0005-0000-0000-00008E060000}"/>
    <cellStyle name="Normal 6 2 2 2 4" xfId="2527" xr:uid="{00000000-0005-0000-0000-00008F060000}"/>
    <cellStyle name="Normal 6 2 2 3" xfId="602" xr:uid="{00000000-0005-0000-0000-000090060000}"/>
    <cellStyle name="Normal 6 2 2 3 2" xfId="1664" xr:uid="{00000000-0005-0000-0000-000091060000}"/>
    <cellStyle name="Normal 6 2 2 4" xfId="836" xr:uid="{00000000-0005-0000-0000-000092060000}"/>
    <cellStyle name="Normal 6 2 2 4 2" xfId="1897" xr:uid="{00000000-0005-0000-0000-000093060000}"/>
    <cellStyle name="Normal 6 2 2 5" xfId="450" xr:uid="{00000000-0005-0000-0000-000094060000}"/>
    <cellStyle name="Normal 6 2 2 5 2" xfId="1512" xr:uid="{00000000-0005-0000-0000-000095060000}"/>
    <cellStyle name="Normal 6 2 2 6" xfId="1030" xr:uid="{00000000-0005-0000-0000-000096060000}"/>
    <cellStyle name="Normal 6 2 2 6 2" xfId="2091" xr:uid="{00000000-0005-0000-0000-000097060000}"/>
    <cellStyle name="Normal 6 2 2 7" xfId="1150" xr:uid="{00000000-0005-0000-0000-000098060000}"/>
    <cellStyle name="Normal 6 2 2 7 2" xfId="2196" xr:uid="{00000000-0005-0000-0000-000099060000}"/>
    <cellStyle name="Normal 6 2 2 8" xfId="1271" xr:uid="{00000000-0005-0000-0000-00009A060000}"/>
    <cellStyle name="Normal 6 2 2 9" xfId="2319" xr:uid="{00000000-0005-0000-0000-00009B060000}"/>
    <cellStyle name="Normal 6 2 3" xfId="211" xr:uid="{00000000-0005-0000-0000-00009C060000}"/>
    <cellStyle name="Normal 6 2 3 2" xfId="633" xr:uid="{00000000-0005-0000-0000-00009D060000}"/>
    <cellStyle name="Normal 6 2 3 2 2" xfId="1695" xr:uid="{00000000-0005-0000-0000-00009E060000}"/>
    <cellStyle name="Normal 6 2 3 3" xfId="482" xr:uid="{00000000-0005-0000-0000-00009F060000}"/>
    <cellStyle name="Normal 6 2 3 3 2" xfId="1544" xr:uid="{00000000-0005-0000-0000-0000A0060000}"/>
    <cellStyle name="Normal 6 2 3 4" xfId="926" xr:uid="{00000000-0005-0000-0000-0000A1060000}"/>
    <cellStyle name="Normal 6 2 3 4 2" xfId="1987" xr:uid="{00000000-0005-0000-0000-0000A2060000}"/>
    <cellStyle name="Normal 6 2 3 5" xfId="1313" xr:uid="{00000000-0005-0000-0000-0000A3060000}"/>
    <cellStyle name="Normal 6 2 3 6" xfId="2246" xr:uid="{00000000-0005-0000-0000-0000A4060000}"/>
    <cellStyle name="Normal 6 2 3 7" xfId="2454" xr:uid="{00000000-0005-0000-0000-0000A5060000}"/>
    <cellStyle name="Normal 6 2 4" xfId="220" xr:uid="{00000000-0005-0000-0000-0000A6060000}"/>
    <cellStyle name="Normal 6 2 4 2" xfId="558" xr:uid="{00000000-0005-0000-0000-0000A7060000}"/>
    <cellStyle name="Normal 6 2 4 2 2" xfId="1620" xr:uid="{00000000-0005-0000-0000-0000A8060000}"/>
    <cellStyle name="Normal 6 2 5" xfId="714" xr:uid="{00000000-0005-0000-0000-0000A9060000}"/>
    <cellStyle name="Normal 6 2 5 2" xfId="1776" xr:uid="{00000000-0005-0000-0000-0000AA060000}"/>
    <cellStyle name="Normal 6 2 6" xfId="401" xr:uid="{00000000-0005-0000-0000-0000AB060000}"/>
    <cellStyle name="Normal 6 2 6 2" xfId="1468" xr:uid="{00000000-0005-0000-0000-0000AC060000}"/>
    <cellStyle name="Normal 6 2 7" xfId="764" xr:uid="{00000000-0005-0000-0000-0000AD060000}"/>
    <cellStyle name="Normal 6 2 7 2" xfId="1825" xr:uid="{00000000-0005-0000-0000-0000AE060000}"/>
    <cellStyle name="Normal 6 2 8" xfId="361" xr:uid="{00000000-0005-0000-0000-0000AF060000}"/>
    <cellStyle name="Normal 6 2 8 2" xfId="1428" xr:uid="{00000000-0005-0000-0000-0000B0060000}"/>
    <cellStyle name="Normal 6 2 9" xfId="329" xr:uid="{00000000-0005-0000-0000-0000B1060000}"/>
    <cellStyle name="Normal 6 2 9 2" xfId="1396" xr:uid="{00000000-0005-0000-0000-0000B2060000}"/>
    <cellStyle name="Normal 6 3" xfId="110" xr:uid="{00000000-0005-0000-0000-0000B3060000}"/>
    <cellStyle name="Normal 6 3 10" xfId="2270" xr:uid="{00000000-0005-0000-0000-0000B4060000}"/>
    <cellStyle name="Normal 6 3 11" xfId="2399" xr:uid="{00000000-0005-0000-0000-0000B5060000}"/>
    <cellStyle name="Normal 6 3 2" xfId="183" xr:uid="{00000000-0005-0000-0000-0000B6060000}"/>
    <cellStyle name="Normal 6 3 2 2" xfId="649" xr:uid="{00000000-0005-0000-0000-0000B7060000}"/>
    <cellStyle name="Normal 6 3 2 2 2" xfId="1711" xr:uid="{00000000-0005-0000-0000-0000B8060000}"/>
    <cellStyle name="Normal 6 3 2 3" xfId="860" xr:uid="{00000000-0005-0000-0000-0000B9060000}"/>
    <cellStyle name="Normal 6 3 2 3 2" xfId="1921" xr:uid="{00000000-0005-0000-0000-0000BA060000}"/>
    <cellStyle name="Normal 6 3 2 4" xfId="498" xr:uid="{00000000-0005-0000-0000-0000BB060000}"/>
    <cellStyle name="Normal 6 3 2 4 2" xfId="1560" xr:uid="{00000000-0005-0000-0000-0000BC060000}"/>
    <cellStyle name="Normal 6 3 2 5" xfId="1054" xr:uid="{00000000-0005-0000-0000-0000BD060000}"/>
    <cellStyle name="Normal 6 3 2 5 2" xfId="2115" xr:uid="{00000000-0005-0000-0000-0000BE060000}"/>
    <cellStyle name="Normal 6 3 2 6" xfId="1295" xr:uid="{00000000-0005-0000-0000-0000BF060000}"/>
    <cellStyle name="Normal 6 3 2 7" xfId="2343" xr:uid="{00000000-0005-0000-0000-0000C0060000}"/>
    <cellStyle name="Normal 6 3 2 8" xfId="2551" xr:uid="{00000000-0005-0000-0000-0000C1060000}"/>
    <cellStyle name="Normal 6 3 3" xfId="294" xr:uid="{00000000-0005-0000-0000-0000C2060000}"/>
    <cellStyle name="Normal 6 3 3 2" xfId="574" xr:uid="{00000000-0005-0000-0000-0000C3060000}"/>
    <cellStyle name="Normal 6 3 3 2 2" xfId="1636" xr:uid="{00000000-0005-0000-0000-0000C4060000}"/>
    <cellStyle name="Normal 6 3 3 3" xfId="981" xr:uid="{00000000-0005-0000-0000-0000C5060000}"/>
    <cellStyle name="Normal 6 3 3 3 2" xfId="2042" xr:uid="{00000000-0005-0000-0000-0000C6060000}"/>
    <cellStyle name="Normal 6 3 3 4" xfId="1368" xr:uid="{00000000-0005-0000-0000-0000C7060000}"/>
    <cellStyle name="Normal 6 3 3 5" xfId="2478" xr:uid="{00000000-0005-0000-0000-0000C8060000}"/>
    <cellStyle name="Normal 6 3 4" xfId="422" xr:uid="{00000000-0005-0000-0000-0000C9060000}"/>
    <cellStyle name="Normal 6 3 4 2" xfId="1484" xr:uid="{00000000-0005-0000-0000-0000CA060000}"/>
    <cellStyle name="Normal 6 3 5" xfId="787" xr:uid="{00000000-0005-0000-0000-0000CB060000}"/>
    <cellStyle name="Normal 6 3 5 2" xfId="1848" xr:uid="{00000000-0005-0000-0000-0000CC060000}"/>
    <cellStyle name="Normal 6 3 6" xfId="343" xr:uid="{00000000-0005-0000-0000-0000CD060000}"/>
    <cellStyle name="Normal 6 3 6 2" xfId="1410" xr:uid="{00000000-0005-0000-0000-0000CE060000}"/>
    <cellStyle name="Normal 6 3 7" xfId="897" xr:uid="{00000000-0005-0000-0000-0000CF060000}"/>
    <cellStyle name="Normal 6 3 7 2" xfId="1958" xr:uid="{00000000-0005-0000-0000-0000D0060000}"/>
    <cellStyle name="Normal 6 3 8" xfId="1136" xr:uid="{00000000-0005-0000-0000-0000D1060000}"/>
    <cellStyle name="Normal 6 3 8 2" xfId="2182" xr:uid="{00000000-0005-0000-0000-0000D2060000}"/>
    <cellStyle name="Normal 6 3 9" xfId="1222" xr:uid="{00000000-0005-0000-0000-0000D3060000}"/>
    <cellStyle name="Normal 6 4" xfId="134" xr:uid="{00000000-0005-0000-0000-0000D4060000}"/>
    <cellStyle name="Normal 6 4 2" xfId="616" xr:uid="{00000000-0005-0000-0000-0000D5060000}"/>
    <cellStyle name="Normal 6 4 2 2" xfId="1678" xr:uid="{00000000-0005-0000-0000-0000D6060000}"/>
    <cellStyle name="Normal 6 4 3" xfId="465" xr:uid="{00000000-0005-0000-0000-0000D7060000}"/>
    <cellStyle name="Normal 6 4 3 2" xfId="1527" xr:uid="{00000000-0005-0000-0000-0000D8060000}"/>
    <cellStyle name="Normal 6 4 4" xfId="811" xr:uid="{00000000-0005-0000-0000-0000D9060000}"/>
    <cellStyle name="Normal 6 4 4 2" xfId="1872" xr:uid="{00000000-0005-0000-0000-0000DA060000}"/>
    <cellStyle name="Normal 6 4 5" xfId="376" xr:uid="{00000000-0005-0000-0000-0000DB060000}"/>
    <cellStyle name="Normal 6 4 5 2" xfId="1443" xr:uid="{00000000-0005-0000-0000-0000DC060000}"/>
    <cellStyle name="Normal 6 4 6" xfId="1005" xr:uid="{00000000-0005-0000-0000-0000DD060000}"/>
    <cellStyle name="Normal 6 4 6 2" xfId="2066" xr:uid="{00000000-0005-0000-0000-0000DE060000}"/>
    <cellStyle name="Normal 6 4 7" xfId="1246" xr:uid="{00000000-0005-0000-0000-0000DF060000}"/>
    <cellStyle name="Normal 6 4 8" xfId="2294" xr:uid="{00000000-0005-0000-0000-0000E0060000}"/>
    <cellStyle name="Normal 6 4 9" xfId="2502" xr:uid="{00000000-0005-0000-0000-0000E1060000}"/>
    <cellStyle name="Normal 6 5" xfId="223" xr:uid="{00000000-0005-0000-0000-0000E2060000}"/>
    <cellStyle name="Normal 6 5 2" xfId="541" xr:uid="{00000000-0005-0000-0000-0000E3060000}"/>
    <cellStyle name="Normal 6 5 2 2" xfId="1603" xr:uid="{00000000-0005-0000-0000-0000E4060000}"/>
    <cellStyle name="Normal 6 5 3" xfId="896" xr:uid="{00000000-0005-0000-0000-0000E5060000}"/>
    <cellStyle name="Normal 6 5 3 2" xfId="1957" xr:uid="{00000000-0005-0000-0000-0000E6060000}"/>
    <cellStyle name="Normal 6 5 4" xfId="1317" xr:uid="{00000000-0005-0000-0000-0000E7060000}"/>
    <cellStyle name="Normal 6 5 5" xfId="2221" xr:uid="{00000000-0005-0000-0000-0000E8060000}"/>
    <cellStyle name="Normal 6 5 6" xfId="2429" xr:uid="{00000000-0005-0000-0000-0000E9060000}"/>
    <cellStyle name="Normal 6 6" xfId="307" xr:uid="{00000000-0005-0000-0000-0000EA060000}"/>
    <cellStyle name="Normal 6 6 2" xfId="689" xr:uid="{00000000-0005-0000-0000-0000EB060000}"/>
    <cellStyle name="Normal 6 6 2 2" xfId="1751" xr:uid="{00000000-0005-0000-0000-0000EC060000}"/>
    <cellStyle name="Normal 6 6 3" xfId="1078" xr:uid="{00000000-0005-0000-0000-0000ED060000}"/>
    <cellStyle name="Normal 6 6 3 2" xfId="2139" xr:uid="{00000000-0005-0000-0000-0000EE060000}"/>
    <cellStyle name="Normal 6 6 4" xfId="1381" xr:uid="{00000000-0005-0000-0000-0000EF060000}"/>
    <cellStyle name="Normal 6 7" xfId="326" xr:uid="{00000000-0005-0000-0000-0000F0060000}"/>
    <cellStyle name="Normal 6 7 2" xfId="1393" xr:uid="{00000000-0005-0000-0000-0000F1060000}"/>
    <cellStyle name="Normal 6 8" xfId="739" xr:uid="{00000000-0005-0000-0000-0000F2060000}"/>
    <cellStyle name="Normal 6 8 2" xfId="1800" xr:uid="{00000000-0005-0000-0000-0000F3060000}"/>
    <cellStyle name="Normal 6 9" xfId="891" xr:uid="{00000000-0005-0000-0000-0000F4060000}"/>
    <cellStyle name="Normal 6 9 2" xfId="1952" xr:uid="{00000000-0005-0000-0000-0000F5060000}"/>
    <cellStyle name="Normal 7" xfId="61" xr:uid="{00000000-0005-0000-0000-0000F6060000}"/>
    <cellStyle name="Normal 7 10" xfId="928" xr:uid="{00000000-0005-0000-0000-0000F7060000}"/>
    <cellStyle name="Normal 7 10 2" xfId="1989" xr:uid="{00000000-0005-0000-0000-0000F8060000}"/>
    <cellStyle name="Normal 7 11" xfId="1183" xr:uid="{00000000-0005-0000-0000-0000F9060000}"/>
    <cellStyle name="Normal 7 12" xfId="2226" xr:uid="{00000000-0005-0000-0000-0000FA060000}"/>
    <cellStyle name="Normal 7 13" xfId="2434" xr:uid="{00000000-0005-0000-0000-0000FB060000}"/>
    <cellStyle name="Normal 7 2" xfId="89" xr:uid="{00000000-0005-0000-0000-0000FC060000}"/>
    <cellStyle name="Normal 7 2 10" xfId="2458" xr:uid="{00000000-0005-0000-0000-0000FD060000}"/>
    <cellStyle name="Normal 7 2 2" xfId="163" xr:uid="{00000000-0005-0000-0000-0000FE060000}"/>
    <cellStyle name="Normal 7 2 2 2" xfId="680" xr:uid="{00000000-0005-0000-0000-0000FF060000}"/>
    <cellStyle name="Normal 7 2 2 2 2" xfId="1742" xr:uid="{00000000-0005-0000-0000-000000070000}"/>
    <cellStyle name="Normal 7 2 2 3" xfId="840" xr:uid="{00000000-0005-0000-0000-000001070000}"/>
    <cellStyle name="Normal 7 2 2 3 2" xfId="1901" xr:uid="{00000000-0005-0000-0000-000002070000}"/>
    <cellStyle name="Normal 7 2 2 4" xfId="529" xr:uid="{00000000-0005-0000-0000-000003070000}"/>
    <cellStyle name="Normal 7 2 2 4 2" xfId="1591" xr:uid="{00000000-0005-0000-0000-000004070000}"/>
    <cellStyle name="Normal 7 2 2 5" xfId="1034" xr:uid="{00000000-0005-0000-0000-000005070000}"/>
    <cellStyle name="Normal 7 2 2 5 2" xfId="2095" xr:uid="{00000000-0005-0000-0000-000006070000}"/>
    <cellStyle name="Normal 7 2 2 6" xfId="1275" xr:uid="{00000000-0005-0000-0000-000007070000}"/>
    <cellStyle name="Normal 7 2 2 7" xfId="2323" xr:uid="{00000000-0005-0000-0000-000008070000}"/>
    <cellStyle name="Normal 7 2 2 8" xfId="2531" xr:uid="{00000000-0005-0000-0000-000009070000}"/>
    <cellStyle name="Normal 7 2 3" xfId="280" xr:uid="{00000000-0005-0000-0000-00000A070000}"/>
    <cellStyle name="Normal 7 2 3 2" xfId="605" xr:uid="{00000000-0005-0000-0000-00000B070000}"/>
    <cellStyle name="Normal 7 2 3 2 2" xfId="1667" xr:uid="{00000000-0005-0000-0000-00000C070000}"/>
    <cellStyle name="Normal 7 2 3 3" xfId="961" xr:uid="{00000000-0005-0000-0000-00000D070000}"/>
    <cellStyle name="Normal 7 2 3 3 2" xfId="2022" xr:uid="{00000000-0005-0000-0000-00000E070000}"/>
    <cellStyle name="Normal 7 2 3 4" xfId="1354" xr:uid="{00000000-0005-0000-0000-00000F070000}"/>
    <cellStyle name="Normal 7 2 4" xfId="718" xr:uid="{00000000-0005-0000-0000-000010070000}"/>
    <cellStyle name="Normal 7 2 4 2" xfId="1780" xr:uid="{00000000-0005-0000-0000-000011070000}"/>
    <cellStyle name="Normal 7 2 5" xfId="768" xr:uid="{00000000-0005-0000-0000-000012070000}"/>
    <cellStyle name="Normal 7 2 5 2" xfId="1829" xr:uid="{00000000-0005-0000-0000-000013070000}"/>
    <cellStyle name="Normal 7 2 6" xfId="453" xr:uid="{00000000-0005-0000-0000-000014070000}"/>
    <cellStyle name="Normal 7 2 6 2" xfId="1515" xr:uid="{00000000-0005-0000-0000-000015070000}"/>
    <cellStyle name="Normal 7 2 7" xfId="917" xr:uid="{00000000-0005-0000-0000-000016070000}"/>
    <cellStyle name="Normal 7 2 7 2" xfId="1978" xr:uid="{00000000-0005-0000-0000-000017070000}"/>
    <cellStyle name="Normal 7 2 8" xfId="1204" xr:uid="{00000000-0005-0000-0000-000018070000}"/>
    <cellStyle name="Normal 7 2 9" xfId="2250" xr:uid="{00000000-0005-0000-0000-000019070000}"/>
    <cellStyle name="Normal 7 3" xfId="114" xr:uid="{00000000-0005-0000-0000-00001A070000}"/>
    <cellStyle name="Normal 7 3 2" xfId="187" xr:uid="{00000000-0005-0000-0000-00001B070000}"/>
    <cellStyle name="Normal 7 3 2 2" xfId="656" xr:uid="{00000000-0005-0000-0000-00001C070000}"/>
    <cellStyle name="Normal 7 3 2 2 2" xfId="1718" xr:uid="{00000000-0005-0000-0000-00001D070000}"/>
    <cellStyle name="Normal 7 3 2 3" xfId="864" xr:uid="{00000000-0005-0000-0000-00001E070000}"/>
    <cellStyle name="Normal 7 3 2 3 2" xfId="1925" xr:uid="{00000000-0005-0000-0000-00001F070000}"/>
    <cellStyle name="Normal 7 3 2 4" xfId="505" xr:uid="{00000000-0005-0000-0000-000020070000}"/>
    <cellStyle name="Normal 7 3 2 4 2" xfId="1567" xr:uid="{00000000-0005-0000-0000-000021070000}"/>
    <cellStyle name="Normal 7 3 2 5" xfId="1058" xr:uid="{00000000-0005-0000-0000-000022070000}"/>
    <cellStyle name="Normal 7 3 2 5 2" xfId="2119" xr:uid="{00000000-0005-0000-0000-000023070000}"/>
    <cellStyle name="Normal 7 3 2 6" xfId="1299" xr:uid="{00000000-0005-0000-0000-000024070000}"/>
    <cellStyle name="Normal 7 3 2 7" xfId="2347" xr:uid="{00000000-0005-0000-0000-000025070000}"/>
    <cellStyle name="Normal 7 3 2 8" xfId="2555" xr:uid="{00000000-0005-0000-0000-000026070000}"/>
    <cellStyle name="Normal 7 3 3" xfId="581" xr:uid="{00000000-0005-0000-0000-000027070000}"/>
    <cellStyle name="Normal 7 3 3 2" xfId="1643" xr:uid="{00000000-0005-0000-0000-000028070000}"/>
    <cellStyle name="Normal 7 3 4" xfId="791" xr:uid="{00000000-0005-0000-0000-000029070000}"/>
    <cellStyle name="Normal 7 3 4 2" xfId="1852" xr:uid="{00000000-0005-0000-0000-00002A070000}"/>
    <cellStyle name="Normal 7 3 5" xfId="429" xr:uid="{00000000-0005-0000-0000-00002B070000}"/>
    <cellStyle name="Normal 7 3 5 2" xfId="1491" xr:uid="{00000000-0005-0000-0000-00002C070000}"/>
    <cellStyle name="Normal 7 3 6" xfId="985" xr:uid="{00000000-0005-0000-0000-00002D070000}"/>
    <cellStyle name="Normal 7 3 6 2" xfId="2046" xr:uid="{00000000-0005-0000-0000-00002E070000}"/>
    <cellStyle name="Normal 7 3 7" xfId="1226" xr:uid="{00000000-0005-0000-0000-00002F070000}"/>
    <cellStyle name="Normal 7 3 8" xfId="2274" xr:uid="{00000000-0005-0000-0000-000030070000}"/>
    <cellStyle name="Normal 7 3 9" xfId="2482" xr:uid="{00000000-0005-0000-0000-000031070000}"/>
    <cellStyle name="Normal 7 4" xfId="139" xr:uid="{00000000-0005-0000-0000-000032070000}"/>
    <cellStyle name="Normal 7 4 2" xfId="621" xr:uid="{00000000-0005-0000-0000-000033070000}"/>
    <cellStyle name="Normal 7 4 2 2" xfId="1683" xr:uid="{00000000-0005-0000-0000-000034070000}"/>
    <cellStyle name="Normal 7 4 3" xfId="816" xr:uid="{00000000-0005-0000-0000-000035070000}"/>
    <cellStyle name="Normal 7 4 3 2" xfId="1877" xr:uid="{00000000-0005-0000-0000-000036070000}"/>
    <cellStyle name="Normal 7 4 4" xfId="470" xr:uid="{00000000-0005-0000-0000-000037070000}"/>
    <cellStyle name="Normal 7 4 4 2" xfId="1532" xr:uid="{00000000-0005-0000-0000-000038070000}"/>
    <cellStyle name="Normal 7 4 5" xfId="1010" xr:uid="{00000000-0005-0000-0000-000039070000}"/>
    <cellStyle name="Normal 7 4 5 2" xfId="2071" xr:uid="{00000000-0005-0000-0000-00003A070000}"/>
    <cellStyle name="Normal 7 4 6" xfId="1251" xr:uid="{00000000-0005-0000-0000-00003B070000}"/>
    <cellStyle name="Normal 7 4 7" xfId="2299" xr:uid="{00000000-0005-0000-0000-00003C070000}"/>
    <cellStyle name="Normal 7 4 8" xfId="2507" xr:uid="{00000000-0005-0000-0000-00003D070000}"/>
    <cellStyle name="Normal 7 5" xfId="259" xr:uid="{00000000-0005-0000-0000-00003E070000}"/>
    <cellStyle name="Normal 7 5 2" xfId="546" xr:uid="{00000000-0005-0000-0000-00003F070000}"/>
    <cellStyle name="Normal 7 5 2 2" xfId="1608" xr:uid="{00000000-0005-0000-0000-000040070000}"/>
    <cellStyle name="Normal 7 5 3" xfId="937" xr:uid="{00000000-0005-0000-0000-000041070000}"/>
    <cellStyle name="Normal 7 5 3 2" xfId="1998" xr:uid="{00000000-0005-0000-0000-000042070000}"/>
    <cellStyle name="Normal 7 5 4" xfId="1333" xr:uid="{00000000-0005-0000-0000-000043070000}"/>
    <cellStyle name="Normal 7 6" xfId="694" xr:uid="{00000000-0005-0000-0000-000044070000}"/>
    <cellStyle name="Normal 7 6 2" xfId="1756" xr:uid="{00000000-0005-0000-0000-000045070000}"/>
    <cellStyle name="Normal 7 7" xfId="389" xr:uid="{00000000-0005-0000-0000-000046070000}"/>
    <cellStyle name="Normal 7 7 2" xfId="1456" xr:uid="{00000000-0005-0000-0000-000047070000}"/>
    <cellStyle name="Normal 7 8" xfId="744" xr:uid="{00000000-0005-0000-0000-000048070000}"/>
    <cellStyle name="Normal 7 8 2" xfId="1805" xr:uid="{00000000-0005-0000-0000-000049070000}"/>
    <cellStyle name="Normal 7 9" xfId="349" xr:uid="{00000000-0005-0000-0000-00004A070000}"/>
    <cellStyle name="Normal 7 9 2" xfId="1416" xr:uid="{00000000-0005-0000-0000-00004B070000}"/>
    <cellStyle name="Normal 8" xfId="62" xr:uid="{00000000-0005-0000-0000-00004C070000}"/>
    <cellStyle name="Normal 8 10" xfId="1184" xr:uid="{00000000-0005-0000-0000-00004D070000}"/>
    <cellStyle name="Normal 8 11" xfId="2230" xr:uid="{00000000-0005-0000-0000-00004E070000}"/>
    <cellStyle name="Normal 8 12" xfId="2438" xr:uid="{00000000-0005-0000-0000-00004F070000}"/>
    <cellStyle name="Normal 8 2" xfId="118" xr:uid="{00000000-0005-0000-0000-000050070000}"/>
    <cellStyle name="Normal 8 2 2" xfId="191" xr:uid="{00000000-0005-0000-0000-000051070000}"/>
    <cellStyle name="Normal 8 2 2 2" xfId="660" xr:uid="{00000000-0005-0000-0000-000052070000}"/>
    <cellStyle name="Normal 8 2 2 2 2" xfId="1722" xr:uid="{00000000-0005-0000-0000-000053070000}"/>
    <cellStyle name="Normal 8 2 2 3" xfId="868" xr:uid="{00000000-0005-0000-0000-000054070000}"/>
    <cellStyle name="Normal 8 2 2 3 2" xfId="1929" xr:uid="{00000000-0005-0000-0000-000055070000}"/>
    <cellStyle name="Normal 8 2 2 4" xfId="509" xr:uid="{00000000-0005-0000-0000-000056070000}"/>
    <cellStyle name="Normal 8 2 2 4 2" xfId="1571" xr:uid="{00000000-0005-0000-0000-000057070000}"/>
    <cellStyle name="Normal 8 2 2 5" xfId="1062" xr:uid="{00000000-0005-0000-0000-000058070000}"/>
    <cellStyle name="Normal 8 2 2 5 2" xfId="2123" xr:uid="{00000000-0005-0000-0000-000059070000}"/>
    <cellStyle name="Normal 8 2 2 6" xfId="1303" xr:uid="{00000000-0005-0000-0000-00005A070000}"/>
    <cellStyle name="Normal 8 2 2 7" xfId="2351" xr:uid="{00000000-0005-0000-0000-00005B070000}"/>
    <cellStyle name="Normal 8 2 2 8" xfId="2559" xr:uid="{00000000-0005-0000-0000-00005C070000}"/>
    <cellStyle name="Normal 8 2 3" xfId="585" xr:uid="{00000000-0005-0000-0000-00005D070000}"/>
    <cellStyle name="Normal 8 2 3 2" xfId="1647" xr:uid="{00000000-0005-0000-0000-00005E070000}"/>
    <cellStyle name="Normal 8 2 4" xfId="795" xr:uid="{00000000-0005-0000-0000-00005F070000}"/>
    <cellStyle name="Normal 8 2 4 2" xfId="1856" xr:uid="{00000000-0005-0000-0000-000060070000}"/>
    <cellStyle name="Normal 8 2 5" xfId="433" xr:uid="{00000000-0005-0000-0000-000061070000}"/>
    <cellStyle name="Normal 8 2 5 2" xfId="1495" xr:uid="{00000000-0005-0000-0000-000062070000}"/>
    <cellStyle name="Normal 8 2 6" xfId="989" xr:uid="{00000000-0005-0000-0000-000063070000}"/>
    <cellStyle name="Normal 8 2 6 2" xfId="2050" xr:uid="{00000000-0005-0000-0000-000064070000}"/>
    <cellStyle name="Normal 8 2 7" xfId="1230" xr:uid="{00000000-0005-0000-0000-000065070000}"/>
    <cellStyle name="Normal 8 2 8" xfId="2278" xr:uid="{00000000-0005-0000-0000-000066070000}"/>
    <cellStyle name="Normal 8 2 9" xfId="2486" xr:uid="{00000000-0005-0000-0000-000067070000}"/>
    <cellStyle name="Normal 8 3" xfId="143" xr:uid="{00000000-0005-0000-0000-000068070000}"/>
    <cellStyle name="Normal 8 3 2" xfId="625" xr:uid="{00000000-0005-0000-0000-000069070000}"/>
    <cellStyle name="Normal 8 3 2 2" xfId="1687" xr:uid="{00000000-0005-0000-0000-00006A070000}"/>
    <cellStyle name="Normal 8 3 3" xfId="820" xr:uid="{00000000-0005-0000-0000-00006B070000}"/>
    <cellStyle name="Normal 8 3 3 2" xfId="1881" xr:uid="{00000000-0005-0000-0000-00006C070000}"/>
    <cellStyle name="Normal 8 3 4" xfId="474" xr:uid="{00000000-0005-0000-0000-00006D070000}"/>
    <cellStyle name="Normal 8 3 4 2" xfId="1536" xr:uid="{00000000-0005-0000-0000-00006E070000}"/>
    <cellStyle name="Normal 8 3 5" xfId="1014" xr:uid="{00000000-0005-0000-0000-00006F070000}"/>
    <cellStyle name="Normal 8 3 5 2" xfId="2075" xr:uid="{00000000-0005-0000-0000-000070070000}"/>
    <cellStyle name="Normal 8 3 6" xfId="1255" xr:uid="{00000000-0005-0000-0000-000071070000}"/>
    <cellStyle name="Normal 8 3 7" xfId="2303" xr:uid="{00000000-0005-0000-0000-000072070000}"/>
    <cellStyle name="Normal 8 3 8" xfId="2511" xr:uid="{00000000-0005-0000-0000-000073070000}"/>
    <cellStyle name="Normal 8 4" xfId="263" xr:uid="{00000000-0005-0000-0000-000074070000}"/>
    <cellStyle name="Normal 8 4 2" xfId="550" xr:uid="{00000000-0005-0000-0000-000075070000}"/>
    <cellStyle name="Normal 8 4 2 2" xfId="1612" xr:uid="{00000000-0005-0000-0000-000076070000}"/>
    <cellStyle name="Normal 8 4 3" xfId="932" xr:uid="{00000000-0005-0000-0000-000077070000}"/>
    <cellStyle name="Normal 8 4 3 2" xfId="1993" xr:uid="{00000000-0005-0000-0000-000078070000}"/>
    <cellStyle name="Normal 8 4 4" xfId="1337" xr:uid="{00000000-0005-0000-0000-000079070000}"/>
    <cellStyle name="Normal 8 5" xfId="698" xr:uid="{00000000-0005-0000-0000-00007A070000}"/>
    <cellStyle name="Normal 8 5 2" xfId="1760" xr:uid="{00000000-0005-0000-0000-00007B070000}"/>
    <cellStyle name="Normal 8 6" xfId="393" xr:uid="{00000000-0005-0000-0000-00007C070000}"/>
    <cellStyle name="Normal 8 6 2" xfId="1460" xr:uid="{00000000-0005-0000-0000-00007D070000}"/>
    <cellStyle name="Normal 8 7" xfId="748" xr:uid="{00000000-0005-0000-0000-00007E070000}"/>
    <cellStyle name="Normal 8 7 2" xfId="1809" xr:uid="{00000000-0005-0000-0000-00007F070000}"/>
    <cellStyle name="Normal 8 8" xfId="353" xr:uid="{00000000-0005-0000-0000-000080070000}"/>
    <cellStyle name="Normal 8 8 2" xfId="1420" xr:uid="{00000000-0005-0000-0000-000081070000}"/>
    <cellStyle name="Normal 8 9" xfId="903" xr:uid="{00000000-0005-0000-0000-000082070000}"/>
    <cellStyle name="Normal 8 9 2" xfId="1964" xr:uid="{00000000-0005-0000-0000-000083070000}"/>
    <cellStyle name="Normal 9" xfId="93" xr:uid="{00000000-0005-0000-0000-000084070000}"/>
    <cellStyle name="Normal 9 10" xfId="2254" xr:uid="{00000000-0005-0000-0000-000085070000}"/>
    <cellStyle name="Normal 9 11" xfId="2462" xr:uid="{00000000-0005-0000-0000-000086070000}"/>
    <cellStyle name="Normal 9 2" xfId="122" xr:uid="{00000000-0005-0000-0000-000087070000}"/>
    <cellStyle name="Normal 9 2 2" xfId="195" xr:uid="{00000000-0005-0000-0000-000088070000}"/>
    <cellStyle name="Normal 9 2 2 2" xfId="872" xr:uid="{00000000-0005-0000-0000-000089070000}"/>
    <cellStyle name="Normal 9 2 2 2 2" xfId="1933" xr:uid="{00000000-0005-0000-0000-00008A070000}"/>
    <cellStyle name="Normal 9 2 2 3" xfId="637" xr:uid="{00000000-0005-0000-0000-00008B070000}"/>
    <cellStyle name="Normal 9 2 2 3 2" xfId="1699" xr:uid="{00000000-0005-0000-0000-00008C070000}"/>
    <cellStyle name="Normal 9 2 2 4" xfId="1066" xr:uid="{00000000-0005-0000-0000-00008D070000}"/>
    <cellStyle name="Normal 9 2 2 4 2" xfId="2127" xr:uid="{00000000-0005-0000-0000-00008E070000}"/>
    <cellStyle name="Normal 9 2 2 5" xfId="1307" xr:uid="{00000000-0005-0000-0000-00008F070000}"/>
    <cellStyle name="Normal 9 2 2 6" xfId="2355" xr:uid="{00000000-0005-0000-0000-000090070000}"/>
    <cellStyle name="Normal 9 2 2 7" xfId="2563" xr:uid="{00000000-0005-0000-0000-000091070000}"/>
    <cellStyle name="Normal 9 2 3" xfId="799" xr:uid="{00000000-0005-0000-0000-000092070000}"/>
    <cellStyle name="Normal 9 2 3 2" xfId="1860" xr:uid="{00000000-0005-0000-0000-000093070000}"/>
    <cellStyle name="Normal 9 2 4" xfId="486" xr:uid="{00000000-0005-0000-0000-000094070000}"/>
    <cellStyle name="Normal 9 2 4 2" xfId="1548" xr:uid="{00000000-0005-0000-0000-000095070000}"/>
    <cellStyle name="Normal 9 2 5" xfId="993" xr:uid="{00000000-0005-0000-0000-000096070000}"/>
    <cellStyle name="Normal 9 2 5 2" xfId="2054" xr:uid="{00000000-0005-0000-0000-000097070000}"/>
    <cellStyle name="Normal 9 2 6" xfId="1234" xr:uid="{00000000-0005-0000-0000-000098070000}"/>
    <cellStyle name="Normal 9 2 7" xfId="2282" xr:uid="{00000000-0005-0000-0000-000099070000}"/>
    <cellStyle name="Normal 9 2 8" xfId="2490" xr:uid="{00000000-0005-0000-0000-00009A070000}"/>
    <cellStyle name="Normal 9 3" xfId="167" xr:uid="{00000000-0005-0000-0000-00009B070000}"/>
    <cellStyle name="Normal 9 3 2" xfId="844" xr:uid="{00000000-0005-0000-0000-00009C070000}"/>
    <cellStyle name="Normal 9 3 2 2" xfId="1905" xr:uid="{00000000-0005-0000-0000-00009D070000}"/>
    <cellStyle name="Normal 9 3 3" xfId="562" xr:uid="{00000000-0005-0000-0000-00009E070000}"/>
    <cellStyle name="Normal 9 3 3 2" xfId="1624" xr:uid="{00000000-0005-0000-0000-00009F070000}"/>
    <cellStyle name="Normal 9 3 4" xfId="1038" xr:uid="{00000000-0005-0000-0000-0000A0070000}"/>
    <cellStyle name="Normal 9 3 4 2" xfId="2099" xr:uid="{00000000-0005-0000-0000-0000A1070000}"/>
    <cellStyle name="Normal 9 3 5" xfId="1279" xr:uid="{00000000-0005-0000-0000-0000A2070000}"/>
    <cellStyle name="Normal 9 3 6" xfId="2327" xr:uid="{00000000-0005-0000-0000-0000A3070000}"/>
    <cellStyle name="Normal 9 3 7" xfId="2535" xr:uid="{00000000-0005-0000-0000-0000A4070000}"/>
    <cellStyle name="Normal 9 4" xfId="284" xr:uid="{00000000-0005-0000-0000-0000A5070000}"/>
    <cellStyle name="Normal 9 4 2" xfId="722" xr:uid="{00000000-0005-0000-0000-0000A6070000}"/>
    <cellStyle name="Normal 9 4 2 2" xfId="1784" xr:uid="{00000000-0005-0000-0000-0000A7070000}"/>
    <cellStyle name="Normal 9 4 3" xfId="965" xr:uid="{00000000-0005-0000-0000-0000A8070000}"/>
    <cellStyle name="Normal 9 4 3 2" xfId="2026" xr:uid="{00000000-0005-0000-0000-0000A9070000}"/>
    <cellStyle name="Normal 9 4 4" xfId="1358" xr:uid="{00000000-0005-0000-0000-0000AA070000}"/>
    <cellStyle name="Normal 9 5" xfId="405" xr:uid="{00000000-0005-0000-0000-0000AB070000}"/>
    <cellStyle name="Normal 9 5 2" xfId="1472" xr:uid="{00000000-0005-0000-0000-0000AC070000}"/>
    <cellStyle name="Normal 9 6" xfId="772" xr:uid="{00000000-0005-0000-0000-0000AD070000}"/>
    <cellStyle name="Normal 9 6 2" xfId="1833" xr:uid="{00000000-0005-0000-0000-0000AE070000}"/>
    <cellStyle name="Normal 9 7" xfId="370" xr:uid="{00000000-0005-0000-0000-0000AF070000}"/>
    <cellStyle name="Normal 9 7 2" xfId="1437" xr:uid="{00000000-0005-0000-0000-0000B0070000}"/>
    <cellStyle name="Normal 9 8" xfId="898" xr:uid="{00000000-0005-0000-0000-0000B1070000}"/>
    <cellStyle name="Normal 9 8 2" xfId="1959" xr:uid="{00000000-0005-0000-0000-0000B2070000}"/>
    <cellStyle name="Normal 9 9" xfId="1208" xr:uid="{00000000-0005-0000-0000-0000B3070000}"/>
    <cellStyle name="Percent" xfId="3" builtinId="5"/>
    <cellStyle name="Percent 10" xfId="1161" xr:uid="{00000000-0005-0000-0000-0000B5070000}"/>
    <cellStyle name="Percent 2" xfId="6" xr:uid="{00000000-0005-0000-0000-0000B6070000}"/>
    <cellStyle name="Percent 2 2" xfId="17" xr:uid="{00000000-0005-0000-0000-0000B7070000}"/>
    <cellStyle name="Percent 2 2 2" xfId="239" xr:uid="{00000000-0005-0000-0000-0000B8070000}"/>
    <cellStyle name="Percent 2 2 3" xfId="229" xr:uid="{00000000-0005-0000-0000-0000B9070000}"/>
    <cellStyle name="Percent 2 3" xfId="201" xr:uid="{00000000-0005-0000-0000-0000BA070000}"/>
    <cellStyle name="Percent 3" xfId="12" xr:uid="{00000000-0005-0000-0000-0000BB070000}"/>
    <cellStyle name="Percent 3 2" xfId="25" xr:uid="{00000000-0005-0000-0000-0000BC070000}"/>
    <cellStyle name="Percent 3 3" xfId="15" xr:uid="{00000000-0005-0000-0000-0000BD070000}"/>
    <cellStyle name="Percent 3 3 2" xfId="149" xr:uid="{00000000-0005-0000-0000-0000BE070000}"/>
    <cellStyle name="Percent 3 3 2 2" xfId="672" xr:uid="{00000000-0005-0000-0000-0000BF070000}"/>
    <cellStyle name="Percent 3 3 2 2 2" xfId="1141" xr:uid="{00000000-0005-0000-0000-0000C0070000}"/>
    <cellStyle name="Percent 3 3 2 2 2 2" xfId="2187" xr:uid="{00000000-0005-0000-0000-0000C1070000}"/>
    <cellStyle name="Percent 3 3 2 2 3" xfId="1734" xr:uid="{00000000-0005-0000-0000-0000C2070000}"/>
    <cellStyle name="Percent 3 3 2 2 4" xfId="2404" xr:uid="{00000000-0005-0000-0000-0000C3070000}"/>
    <cellStyle name="Percent 3 3 2 3" xfId="826" xr:uid="{00000000-0005-0000-0000-0000C4070000}"/>
    <cellStyle name="Percent 3 3 2 3 2" xfId="1887" xr:uid="{00000000-0005-0000-0000-0000C5070000}"/>
    <cellStyle name="Percent 3 3 2 3 3" xfId="2517" xr:uid="{00000000-0005-0000-0000-0000C6070000}"/>
    <cellStyle name="Percent 3 3 2 4" xfId="521" xr:uid="{00000000-0005-0000-0000-0000C7070000}"/>
    <cellStyle name="Percent 3 3 2 4 2" xfId="1583" xr:uid="{00000000-0005-0000-0000-0000C8070000}"/>
    <cellStyle name="Percent 3 3 2 5" xfId="1020" xr:uid="{00000000-0005-0000-0000-0000C9070000}"/>
    <cellStyle name="Percent 3 3 2 5 2" xfId="2081" xr:uid="{00000000-0005-0000-0000-0000CA070000}"/>
    <cellStyle name="Percent 3 3 2 6" xfId="1112" xr:uid="{00000000-0005-0000-0000-0000CB070000}"/>
    <cellStyle name="Percent 3 3 2 6 2" xfId="2158" xr:uid="{00000000-0005-0000-0000-0000CC070000}"/>
    <cellStyle name="Percent 3 3 2 7" xfId="1261" xr:uid="{00000000-0005-0000-0000-0000CD070000}"/>
    <cellStyle name="Percent 3 3 2 8" xfId="2309" xr:uid="{00000000-0005-0000-0000-0000CE070000}"/>
    <cellStyle name="Percent 3 3 2 9" xfId="2375" xr:uid="{00000000-0005-0000-0000-0000CF070000}"/>
    <cellStyle name="Percent 3 3 3" xfId="267" xr:uid="{00000000-0005-0000-0000-0000D0070000}"/>
    <cellStyle name="Percent 3 3 3 2" xfId="597" xr:uid="{00000000-0005-0000-0000-0000D1070000}"/>
    <cellStyle name="Percent 3 3 3 2 2" xfId="1659" xr:uid="{00000000-0005-0000-0000-0000D2070000}"/>
    <cellStyle name="Percent 3 3 3 3" xfId="899" xr:uid="{00000000-0005-0000-0000-0000D3070000}"/>
    <cellStyle name="Percent 3 3 3 3 2" xfId="1960" xr:uid="{00000000-0005-0000-0000-0000D4070000}"/>
    <cellStyle name="Percent 3 3 3 4" xfId="1341" xr:uid="{00000000-0005-0000-0000-0000D5070000}"/>
    <cellStyle name="Percent 3 3 3 5" xfId="2444" xr:uid="{00000000-0005-0000-0000-0000D6070000}"/>
    <cellStyle name="Percent 3 3 4" xfId="704" xr:uid="{00000000-0005-0000-0000-0000D7070000}"/>
    <cellStyle name="Percent 3 3 4 2" xfId="1766" xr:uid="{00000000-0005-0000-0000-0000D8070000}"/>
    <cellStyle name="Percent 3 3 5" xfId="754" xr:uid="{00000000-0005-0000-0000-0000D9070000}"/>
    <cellStyle name="Percent 3 3 5 2" xfId="1815" xr:uid="{00000000-0005-0000-0000-0000DA070000}"/>
    <cellStyle name="Percent 3 3 6" xfId="445" xr:uid="{00000000-0005-0000-0000-0000DB070000}"/>
    <cellStyle name="Percent 3 3 6 2" xfId="1507" xr:uid="{00000000-0005-0000-0000-0000DC070000}"/>
    <cellStyle name="Percent 3 3 7" xfId="939" xr:uid="{00000000-0005-0000-0000-0000DD070000}"/>
    <cellStyle name="Percent 3 3 7 2" xfId="2000" xr:uid="{00000000-0005-0000-0000-0000DE070000}"/>
    <cellStyle name="Percent 3 3 8" xfId="71" xr:uid="{00000000-0005-0000-0000-0000DF070000}"/>
    <cellStyle name="Percent 3 3 8 2" xfId="1095" xr:uid="{00000000-0005-0000-0000-0000E0070000}"/>
    <cellStyle name="Percent 3 3 8 3" xfId="1190" xr:uid="{00000000-0005-0000-0000-0000E1070000}"/>
    <cellStyle name="Percent 3 3 9" xfId="2236" xr:uid="{00000000-0005-0000-0000-0000E2070000}"/>
    <cellStyle name="Percent 3 4" xfId="43" xr:uid="{00000000-0005-0000-0000-0000E3070000}"/>
    <cellStyle name="Percent 3 4 2" xfId="173" xr:uid="{00000000-0005-0000-0000-0000E4070000}"/>
    <cellStyle name="Percent 3 4 2 2" xfId="850" xr:uid="{00000000-0005-0000-0000-0000E5070000}"/>
    <cellStyle name="Percent 3 4 2 2 2" xfId="1911" xr:uid="{00000000-0005-0000-0000-0000E6070000}"/>
    <cellStyle name="Percent 3 4 2 2 3" xfId="2541" xr:uid="{00000000-0005-0000-0000-0000E7070000}"/>
    <cellStyle name="Percent 3 4 2 3" xfId="1044" xr:uid="{00000000-0005-0000-0000-0000E8070000}"/>
    <cellStyle name="Percent 3 4 2 3 2" xfId="2105" xr:uid="{00000000-0005-0000-0000-0000E9070000}"/>
    <cellStyle name="Percent 3 4 2 4" xfId="1131" xr:uid="{00000000-0005-0000-0000-0000EA070000}"/>
    <cellStyle name="Percent 3 4 2 4 2" xfId="2177" xr:uid="{00000000-0005-0000-0000-0000EB070000}"/>
    <cellStyle name="Percent 3 4 2 5" xfId="1285" xr:uid="{00000000-0005-0000-0000-0000EC070000}"/>
    <cellStyle name="Percent 3 4 2 6" xfId="2333" xr:uid="{00000000-0005-0000-0000-0000ED070000}"/>
    <cellStyle name="Percent 3 4 2 7" xfId="2394" xr:uid="{00000000-0005-0000-0000-0000EE070000}"/>
    <cellStyle name="Percent 3 4 3" xfId="777" xr:uid="{00000000-0005-0000-0000-0000EF070000}"/>
    <cellStyle name="Percent 3 4 3 2" xfId="1838" xr:uid="{00000000-0005-0000-0000-0000F0070000}"/>
    <cellStyle name="Percent 3 4 3 3" xfId="2468" xr:uid="{00000000-0005-0000-0000-0000F1070000}"/>
    <cellStyle name="Percent 3 4 4" xfId="971" xr:uid="{00000000-0005-0000-0000-0000F2070000}"/>
    <cellStyle name="Percent 3 4 4 2" xfId="2032" xr:uid="{00000000-0005-0000-0000-0000F3070000}"/>
    <cellStyle name="Percent 3 4 5" xfId="100" xr:uid="{00000000-0005-0000-0000-0000F4070000}"/>
    <cellStyle name="Percent 3 4 5 2" xfId="1213" xr:uid="{00000000-0005-0000-0000-0000F5070000}"/>
    <cellStyle name="Percent 3 4 6" xfId="1174" xr:uid="{00000000-0005-0000-0000-0000F6070000}"/>
    <cellStyle name="Percent 3 4 7" xfId="2260" xr:uid="{00000000-0005-0000-0000-0000F7070000}"/>
    <cellStyle name="Percent 3 4 8" xfId="2365" xr:uid="{00000000-0005-0000-0000-0000F8070000}"/>
    <cellStyle name="Percent 3 5" xfId="218" xr:uid="{00000000-0005-0000-0000-0000F9070000}"/>
    <cellStyle name="Percent 3 6" xfId="46" xr:uid="{00000000-0005-0000-0000-0000FA070000}"/>
    <cellStyle name="Percent 3 7" xfId="242" xr:uid="{00000000-0005-0000-0000-0000FB070000}"/>
    <cellStyle name="Percent 4" xfId="19" xr:uid="{00000000-0005-0000-0000-0000FC070000}"/>
    <cellStyle name="Percent 4 10" xfId="915" xr:uid="{00000000-0005-0000-0000-0000FD070000}"/>
    <cellStyle name="Percent 4 10 2" xfId="1976" xr:uid="{00000000-0005-0000-0000-0000FE070000}"/>
    <cellStyle name="Percent 4 11" xfId="50" xr:uid="{00000000-0005-0000-0000-0000FF070000}"/>
    <cellStyle name="Percent 4 11 2" xfId="1091" xr:uid="{00000000-0005-0000-0000-000000080000}"/>
    <cellStyle name="Percent 4 11 3" xfId="1177" xr:uid="{00000000-0005-0000-0000-000001080000}"/>
    <cellStyle name="Percent 4 12" xfId="2216" xr:uid="{00000000-0005-0000-0000-000002080000}"/>
    <cellStyle name="Percent 4 2" xfId="54" xr:uid="{00000000-0005-0000-0000-000003080000}"/>
    <cellStyle name="Percent 4 2 10" xfId="877" xr:uid="{00000000-0005-0000-0000-000004080000}"/>
    <cellStyle name="Percent 4 2 10 2" xfId="1938" xr:uid="{00000000-0005-0000-0000-000005080000}"/>
    <cellStyle name="Percent 4 2 11" xfId="1119" xr:uid="{00000000-0005-0000-0000-000006080000}"/>
    <cellStyle name="Percent 4 2 11 2" xfId="2165" xr:uid="{00000000-0005-0000-0000-000007080000}"/>
    <cellStyle name="Percent 4 2 12" xfId="1181" xr:uid="{00000000-0005-0000-0000-000008080000}"/>
    <cellStyle name="Percent 4 2 13" xfId="2220" xr:uid="{00000000-0005-0000-0000-000009080000}"/>
    <cellStyle name="Percent 4 2 14" xfId="2382" xr:uid="{00000000-0005-0000-0000-00000A080000}"/>
    <cellStyle name="Percent 4 2 2" xfId="83" xr:uid="{00000000-0005-0000-0000-00000B080000}"/>
    <cellStyle name="Percent 4 2 2 10" xfId="2244" xr:uid="{00000000-0005-0000-0000-00000C080000}"/>
    <cellStyle name="Percent 4 2 2 11" xfId="2411" xr:uid="{00000000-0005-0000-0000-00000D080000}"/>
    <cellStyle name="Percent 4 2 2 2" xfId="157" xr:uid="{00000000-0005-0000-0000-00000E080000}"/>
    <cellStyle name="Percent 4 2 2 2 2" xfId="671" xr:uid="{00000000-0005-0000-0000-00000F080000}"/>
    <cellStyle name="Percent 4 2 2 2 2 2" xfId="1733" xr:uid="{00000000-0005-0000-0000-000010080000}"/>
    <cellStyle name="Percent 4 2 2 2 3" xfId="834" xr:uid="{00000000-0005-0000-0000-000011080000}"/>
    <cellStyle name="Percent 4 2 2 2 3 2" xfId="1895" xr:uid="{00000000-0005-0000-0000-000012080000}"/>
    <cellStyle name="Percent 4 2 2 2 4" xfId="520" xr:uid="{00000000-0005-0000-0000-000013080000}"/>
    <cellStyle name="Percent 4 2 2 2 4 2" xfId="1582" xr:uid="{00000000-0005-0000-0000-000014080000}"/>
    <cellStyle name="Percent 4 2 2 2 5" xfId="1028" xr:uid="{00000000-0005-0000-0000-000015080000}"/>
    <cellStyle name="Percent 4 2 2 2 5 2" xfId="2089" xr:uid="{00000000-0005-0000-0000-000016080000}"/>
    <cellStyle name="Percent 4 2 2 2 6" xfId="1269" xr:uid="{00000000-0005-0000-0000-000017080000}"/>
    <cellStyle name="Percent 4 2 2 2 7" xfId="2317" xr:uid="{00000000-0005-0000-0000-000018080000}"/>
    <cellStyle name="Percent 4 2 2 2 8" xfId="2525" xr:uid="{00000000-0005-0000-0000-000019080000}"/>
    <cellStyle name="Percent 4 2 2 3" xfId="275" xr:uid="{00000000-0005-0000-0000-00001A080000}"/>
    <cellStyle name="Percent 4 2 2 3 2" xfId="596" xr:uid="{00000000-0005-0000-0000-00001B080000}"/>
    <cellStyle name="Percent 4 2 2 3 2 2" xfId="1658" xr:uid="{00000000-0005-0000-0000-00001C080000}"/>
    <cellStyle name="Percent 4 2 2 3 3" xfId="910" xr:uid="{00000000-0005-0000-0000-00001D080000}"/>
    <cellStyle name="Percent 4 2 2 3 3 2" xfId="1971" xr:uid="{00000000-0005-0000-0000-00001E080000}"/>
    <cellStyle name="Percent 4 2 2 3 4" xfId="1349" xr:uid="{00000000-0005-0000-0000-00001F080000}"/>
    <cellStyle name="Percent 4 2 2 3 5" xfId="2452" xr:uid="{00000000-0005-0000-0000-000020080000}"/>
    <cellStyle name="Percent 4 2 2 4" xfId="712" xr:uid="{00000000-0005-0000-0000-000021080000}"/>
    <cellStyle name="Percent 4 2 2 4 2" xfId="1774" xr:uid="{00000000-0005-0000-0000-000022080000}"/>
    <cellStyle name="Percent 4 2 2 5" xfId="762" xr:uid="{00000000-0005-0000-0000-000023080000}"/>
    <cellStyle name="Percent 4 2 2 5 2" xfId="1823" xr:uid="{00000000-0005-0000-0000-000024080000}"/>
    <cellStyle name="Percent 4 2 2 6" xfId="444" xr:uid="{00000000-0005-0000-0000-000025080000}"/>
    <cellStyle name="Percent 4 2 2 6 2" xfId="1506" xr:uid="{00000000-0005-0000-0000-000026080000}"/>
    <cellStyle name="Percent 4 2 2 7" xfId="949" xr:uid="{00000000-0005-0000-0000-000027080000}"/>
    <cellStyle name="Percent 4 2 2 7 2" xfId="2010" xr:uid="{00000000-0005-0000-0000-000028080000}"/>
    <cellStyle name="Percent 4 2 2 8" xfId="1148" xr:uid="{00000000-0005-0000-0000-000029080000}"/>
    <cellStyle name="Percent 4 2 2 8 2" xfId="2194" xr:uid="{00000000-0005-0000-0000-00002A080000}"/>
    <cellStyle name="Percent 4 2 2 9" xfId="1198" xr:uid="{00000000-0005-0000-0000-00002B080000}"/>
    <cellStyle name="Percent 4 2 3" xfId="108" xr:uid="{00000000-0005-0000-0000-00002C080000}"/>
    <cellStyle name="Percent 4 2 3 2" xfId="181" xr:uid="{00000000-0005-0000-0000-00002D080000}"/>
    <cellStyle name="Percent 4 2 3 2 2" xfId="648" xr:uid="{00000000-0005-0000-0000-00002E080000}"/>
    <cellStyle name="Percent 4 2 3 2 2 2" xfId="1710" xr:uid="{00000000-0005-0000-0000-00002F080000}"/>
    <cellStyle name="Percent 4 2 3 2 3" xfId="858" xr:uid="{00000000-0005-0000-0000-000030080000}"/>
    <cellStyle name="Percent 4 2 3 2 3 2" xfId="1919" xr:uid="{00000000-0005-0000-0000-000031080000}"/>
    <cellStyle name="Percent 4 2 3 2 4" xfId="497" xr:uid="{00000000-0005-0000-0000-000032080000}"/>
    <cellStyle name="Percent 4 2 3 2 4 2" xfId="1559" xr:uid="{00000000-0005-0000-0000-000033080000}"/>
    <cellStyle name="Percent 4 2 3 2 5" xfId="1052" xr:uid="{00000000-0005-0000-0000-000034080000}"/>
    <cellStyle name="Percent 4 2 3 2 5 2" xfId="2113" xr:uid="{00000000-0005-0000-0000-000035080000}"/>
    <cellStyle name="Percent 4 2 3 2 6" xfId="1293" xr:uid="{00000000-0005-0000-0000-000036080000}"/>
    <cellStyle name="Percent 4 2 3 2 7" xfId="2341" xr:uid="{00000000-0005-0000-0000-000037080000}"/>
    <cellStyle name="Percent 4 2 3 2 8" xfId="2549" xr:uid="{00000000-0005-0000-0000-000038080000}"/>
    <cellStyle name="Percent 4 2 3 3" xfId="573" xr:uid="{00000000-0005-0000-0000-000039080000}"/>
    <cellStyle name="Percent 4 2 3 3 2" xfId="1635" xr:uid="{00000000-0005-0000-0000-00003A080000}"/>
    <cellStyle name="Percent 4 2 3 4" xfId="785" xr:uid="{00000000-0005-0000-0000-00003B080000}"/>
    <cellStyle name="Percent 4 2 3 4 2" xfId="1846" xr:uid="{00000000-0005-0000-0000-00003C080000}"/>
    <cellStyle name="Percent 4 2 3 5" xfId="421" xr:uid="{00000000-0005-0000-0000-00003D080000}"/>
    <cellStyle name="Percent 4 2 3 5 2" xfId="1483" xr:uid="{00000000-0005-0000-0000-00003E080000}"/>
    <cellStyle name="Percent 4 2 3 6" xfId="979" xr:uid="{00000000-0005-0000-0000-00003F080000}"/>
    <cellStyle name="Percent 4 2 3 6 2" xfId="2040" xr:uid="{00000000-0005-0000-0000-000040080000}"/>
    <cellStyle name="Percent 4 2 3 7" xfId="1220" xr:uid="{00000000-0005-0000-0000-000041080000}"/>
    <cellStyle name="Percent 4 2 3 8" xfId="2268" xr:uid="{00000000-0005-0000-0000-000042080000}"/>
    <cellStyle name="Percent 4 2 3 9" xfId="2476" xr:uid="{00000000-0005-0000-0000-000043080000}"/>
    <cellStyle name="Percent 4 2 4" xfId="133" xr:uid="{00000000-0005-0000-0000-000044080000}"/>
    <cellStyle name="Percent 4 2 4 2" xfId="615" xr:uid="{00000000-0005-0000-0000-000045080000}"/>
    <cellStyle name="Percent 4 2 4 2 2" xfId="1677" xr:uid="{00000000-0005-0000-0000-000046080000}"/>
    <cellStyle name="Percent 4 2 4 3" xfId="810" xr:uid="{00000000-0005-0000-0000-000047080000}"/>
    <cellStyle name="Percent 4 2 4 3 2" xfId="1871" xr:uid="{00000000-0005-0000-0000-000048080000}"/>
    <cellStyle name="Percent 4 2 4 4" xfId="464" xr:uid="{00000000-0005-0000-0000-000049080000}"/>
    <cellStyle name="Percent 4 2 4 4 2" xfId="1526" xr:uid="{00000000-0005-0000-0000-00004A080000}"/>
    <cellStyle name="Percent 4 2 4 5" xfId="1004" xr:uid="{00000000-0005-0000-0000-00004B080000}"/>
    <cellStyle name="Percent 4 2 4 5 2" xfId="2065" xr:uid="{00000000-0005-0000-0000-00004C080000}"/>
    <cellStyle name="Percent 4 2 4 6" xfId="1245" xr:uid="{00000000-0005-0000-0000-00004D080000}"/>
    <cellStyle name="Percent 4 2 4 7" xfId="2293" xr:uid="{00000000-0005-0000-0000-00004E080000}"/>
    <cellStyle name="Percent 4 2 4 8" xfId="2501" xr:uid="{00000000-0005-0000-0000-00004F080000}"/>
    <cellStyle name="Percent 4 2 5" xfId="256" xr:uid="{00000000-0005-0000-0000-000050080000}"/>
    <cellStyle name="Percent 4 2 5 2" xfId="540" xr:uid="{00000000-0005-0000-0000-000051080000}"/>
    <cellStyle name="Percent 4 2 5 2 2" xfId="1602" xr:uid="{00000000-0005-0000-0000-000052080000}"/>
    <cellStyle name="Percent 4 2 5 3" xfId="944" xr:uid="{00000000-0005-0000-0000-000053080000}"/>
    <cellStyle name="Percent 4 2 5 3 2" xfId="2005" xr:uid="{00000000-0005-0000-0000-000054080000}"/>
    <cellStyle name="Percent 4 2 5 4" xfId="1330" xr:uid="{00000000-0005-0000-0000-000055080000}"/>
    <cellStyle name="Percent 4 2 5 5" xfId="2428" xr:uid="{00000000-0005-0000-0000-000056080000}"/>
    <cellStyle name="Percent 4 2 6" xfId="688" xr:uid="{00000000-0005-0000-0000-000057080000}"/>
    <cellStyle name="Percent 4 2 6 2" xfId="1750" xr:uid="{00000000-0005-0000-0000-000058080000}"/>
    <cellStyle name="Percent 4 2 7" xfId="385" xr:uid="{00000000-0005-0000-0000-000059080000}"/>
    <cellStyle name="Percent 4 2 7 2" xfId="1452" xr:uid="{00000000-0005-0000-0000-00005A080000}"/>
    <cellStyle name="Percent 4 2 8" xfId="738" xr:uid="{00000000-0005-0000-0000-00005B080000}"/>
    <cellStyle name="Percent 4 2 8 2" xfId="1799" xr:uid="{00000000-0005-0000-0000-00005C080000}"/>
    <cellStyle name="Percent 4 2 9" xfId="342" xr:uid="{00000000-0005-0000-0000-00005D080000}"/>
    <cellStyle name="Percent 4 2 9 2" xfId="1409" xr:uid="{00000000-0005-0000-0000-00005E080000}"/>
    <cellStyle name="Percent 4 3" xfId="75" xr:uid="{00000000-0005-0000-0000-00005F080000}"/>
    <cellStyle name="Percent 4 3 10" xfId="1116" xr:uid="{00000000-0005-0000-0000-000060080000}"/>
    <cellStyle name="Percent 4 3 10 2" xfId="2162" xr:uid="{00000000-0005-0000-0000-000061080000}"/>
    <cellStyle name="Percent 4 3 11" xfId="1194" xr:uid="{00000000-0005-0000-0000-000062080000}"/>
    <cellStyle name="Percent 4 3 12" xfId="2240" xr:uid="{00000000-0005-0000-0000-000063080000}"/>
    <cellStyle name="Percent 4 3 13" xfId="2379" xr:uid="{00000000-0005-0000-0000-000064080000}"/>
    <cellStyle name="Percent 4 3 2" xfId="153" xr:uid="{00000000-0005-0000-0000-000065080000}"/>
    <cellStyle name="Percent 4 3 2 10" xfId="2408" xr:uid="{00000000-0005-0000-0000-000066080000}"/>
    <cellStyle name="Percent 4 3 2 2" xfId="516" xr:uid="{00000000-0005-0000-0000-000067080000}"/>
    <cellStyle name="Percent 4 3 2 2 2" xfId="667" xr:uid="{00000000-0005-0000-0000-000068080000}"/>
    <cellStyle name="Percent 4 3 2 2 2 2" xfId="1729" xr:uid="{00000000-0005-0000-0000-000069080000}"/>
    <cellStyle name="Percent 4 3 2 2 3" xfId="1578" xr:uid="{00000000-0005-0000-0000-00006A080000}"/>
    <cellStyle name="Percent 4 3 2 2 4" xfId="2521" xr:uid="{00000000-0005-0000-0000-00006B080000}"/>
    <cellStyle name="Percent 4 3 2 3" xfId="592" xr:uid="{00000000-0005-0000-0000-00006C080000}"/>
    <cellStyle name="Percent 4 3 2 3 2" xfId="1654" xr:uid="{00000000-0005-0000-0000-00006D080000}"/>
    <cellStyle name="Percent 4 3 2 4" xfId="830" xr:uid="{00000000-0005-0000-0000-00006E080000}"/>
    <cellStyle name="Percent 4 3 2 4 2" xfId="1891" xr:uid="{00000000-0005-0000-0000-00006F080000}"/>
    <cellStyle name="Percent 4 3 2 5" xfId="440" xr:uid="{00000000-0005-0000-0000-000070080000}"/>
    <cellStyle name="Percent 4 3 2 5 2" xfId="1502" xr:uid="{00000000-0005-0000-0000-000071080000}"/>
    <cellStyle name="Percent 4 3 2 6" xfId="1024" xr:uid="{00000000-0005-0000-0000-000072080000}"/>
    <cellStyle name="Percent 4 3 2 6 2" xfId="2085" xr:uid="{00000000-0005-0000-0000-000073080000}"/>
    <cellStyle name="Percent 4 3 2 7" xfId="1145" xr:uid="{00000000-0005-0000-0000-000074080000}"/>
    <cellStyle name="Percent 4 3 2 7 2" xfId="2191" xr:uid="{00000000-0005-0000-0000-000075080000}"/>
    <cellStyle name="Percent 4 3 2 8" xfId="1265" xr:uid="{00000000-0005-0000-0000-000076080000}"/>
    <cellStyle name="Percent 4 3 2 9" xfId="2313" xr:uid="{00000000-0005-0000-0000-000077080000}"/>
    <cellStyle name="Percent 4 3 3" xfId="271" xr:uid="{00000000-0005-0000-0000-000078080000}"/>
    <cellStyle name="Percent 4 3 3 2" xfId="631" xr:uid="{00000000-0005-0000-0000-000079080000}"/>
    <cellStyle name="Percent 4 3 3 2 2" xfId="1693" xr:uid="{00000000-0005-0000-0000-00007A080000}"/>
    <cellStyle name="Percent 4 3 3 3" xfId="480" xr:uid="{00000000-0005-0000-0000-00007B080000}"/>
    <cellStyle name="Percent 4 3 3 3 2" xfId="1542" xr:uid="{00000000-0005-0000-0000-00007C080000}"/>
    <cellStyle name="Percent 4 3 3 4" xfId="879" xr:uid="{00000000-0005-0000-0000-00007D080000}"/>
    <cellStyle name="Percent 4 3 3 4 2" xfId="1940" xr:uid="{00000000-0005-0000-0000-00007E080000}"/>
    <cellStyle name="Percent 4 3 3 5" xfId="1345" xr:uid="{00000000-0005-0000-0000-00007F080000}"/>
    <cellStyle name="Percent 4 3 3 6" xfId="2448" xr:uid="{00000000-0005-0000-0000-000080080000}"/>
    <cellStyle name="Percent 4 3 4" xfId="556" xr:uid="{00000000-0005-0000-0000-000081080000}"/>
    <cellStyle name="Percent 4 3 4 2" xfId="1618" xr:uid="{00000000-0005-0000-0000-000082080000}"/>
    <cellStyle name="Percent 4 3 5" xfId="708" xr:uid="{00000000-0005-0000-0000-000083080000}"/>
    <cellStyle name="Percent 4 3 5 2" xfId="1770" xr:uid="{00000000-0005-0000-0000-000084080000}"/>
    <cellStyle name="Percent 4 3 6" xfId="399" xr:uid="{00000000-0005-0000-0000-000085080000}"/>
    <cellStyle name="Percent 4 3 6 2" xfId="1466" xr:uid="{00000000-0005-0000-0000-000086080000}"/>
    <cellStyle name="Percent 4 3 7" xfId="758" xr:uid="{00000000-0005-0000-0000-000087080000}"/>
    <cellStyle name="Percent 4 3 7 2" xfId="1819" xr:uid="{00000000-0005-0000-0000-000088080000}"/>
    <cellStyle name="Percent 4 3 8" xfId="359" xr:uid="{00000000-0005-0000-0000-000089080000}"/>
    <cellStyle name="Percent 4 3 8 2" xfId="1426" xr:uid="{00000000-0005-0000-0000-00008A080000}"/>
    <cellStyle name="Percent 4 3 9" xfId="936" xr:uid="{00000000-0005-0000-0000-00008B080000}"/>
    <cellStyle name="Percent 4 3 9 2" xfId="1997" xr:uid="{00000000-0005-0000-0000-00008C080000}"/>
    <cellStyle name="Percent 4 4" xfId="104" xr:uid="{00000000-0005-0000-0000-00008D080000}"/>
    <cellStyle name="Percent 4 4 10" xfId="2264" xr:uid="{00000000-0005-0000-0000-00008E080000}"/>
    <cellStyle name="Percent 4 4 11" xfId="2368" xr:uid="{00000000-0005-0000-0000-00008F080000}"/>
    <cellStyle name="Percent 4 4 2" xfId="177" xr:uid="{00000000-0005-0000-0000-000090080000}"/>
    <cellStyle name="Percent 4 4 2 2" xfId="644" xr:uid="{00000000-0005-0000-0000-000091080000}"/>
    <cellStyle name="Percent 4 4 2 2 2" xfId="1706" xr:uid="{00000000-0005-0000-0000-000092080000}"/>
    <cellStyle name="Percent 4 4 2 2 3" xfId="2545" xr:uid="{00000000-0005-0000-0000-000093080000}"/>
    <cellStyle name="Percent 4 4 2 3" xfId="854" xr:uid="{00000000-0005-0000-0000-000094080000}"/>
    <cellStyle name="Percent 4 4 2 3 2" xfId="1915" xr:uid="{00000000-0005-0000-0000-000095080000}"/>
    <cellStyle name="Percent 4 4 2 4" xfId="493" xr:uid="{00000000-0005-0000-0000-000096080000}"/>
    <cellStyle name="Percent 4 4 2 4 2" xfId="1555" xr:uid="{00000000-0005-0000-0000-000097080000}"/>
    <cellStyle name="Percent 4 4 2 5" xfId="1048" xr:uid="{00000000-0005-0000-0000-000098080000}"/>
    <cellStyle name="Percent 4 4 2 5 2" xfId="2109" xr:uid="{00000000-0005-0000-0000-000099080000}"/>
    <cellStyle name="Percent 4 4 2 6" xfId="1134" xr:uid="{00000000-0005-0000-0000-00009A080000}"/>
    <cellStyle name="Percent 4 4 2 6 2" xfId="2180" xr:uid="{00000000-0005-0000-0000-00009B080000}"/>
    <cellStyle name="Percent 4 4 2 7" xfId="1289" xr:uid="{00000000-0005-0000-0000-00009C080000}"/>
    <cellStyle name="Percent 4 4 2 8" xfId="2337" xr:uid="{00000000-0005-0000-0000-00009D080000}"/>
    <cellStyle name="Percent 4 4 2 9" xfId="2397" xr:uid="{00000000-0005-0000-0000-00009E080000}"/>
    <cellStyle name="Percent 4 4 3" xfId="289" xr:uid="{00000000-0005-0000-0000-00009F080000}"/>
    <cellStyle name="Percent 4 4 3 2" xfId="569" xr:uid="{00000000-0005-0000-0000-0000A0080000}"/>
    <cellStyle name="Percent 4 4 3 2 2" xfId="1631" xr:uid="{00000000-0005-0000-0000-0000A1080000}"/>
    <cellStyle name="Percent 4 4 3 3" xfId="975" xr:uid="{00000000-0005-0000-0000-0000A2080000}"/>
    <cellStyle name="Percent 4 4 3 3 2" xfId="2036" xr:uid="{00000000-0005-0000-0000-0000A3080000}"/>
    <cellStyle name="Percent 4 4 3 4" xfId="1363" xr:uid="{00000000-0005-0000-0000-0000A4080000}"/>
    <cellStyle name="Percent 4 4 3 5" xfId="2472" xr:uid="{00000000-0005-0000-0000-0000A5080000}"/>
    <cellStyle name="Percent 4 4 4" xfId="417" xr:uid="{00000000-0005-0000-0000-0000A6080000}"/>
    <cellStyle name="Percent 4 4 4 2" xfId="1479" xr:uid="{00000000-0005-0000-0000-0000A7080000}"/>
    <cellStyle name="Percent 4 4 5" xfId="781" xr:uid="{00000000-0005-0000-0000-0000A8080000}"/>
    <cellStyle name="Percent 4 4 5 2" xfId="1842" xr:uid="{00000000-0005-0000-0000-0000A9080000}"/>
    <cellStyle name="Percent 4 4 6" xfId="338" xr:uid="{00000000-0005-0000-0000-0000AA080000}"/>
    <cellStyle name="Percent 4 4 6 2" xfId="1405" xr:uid="{00000000-0005-0000-0000-0000AB080000}"/>
    <cellStyle name="Percent 4 4 7" xfId="925" xr:uid="{00000000-0005-0000-0000-0000AC080000}"/>
    <cellStyle name="Percent 4 4 7 2" xfId="1986" xr:uid="{00000000-0005-0000-0000-0000AD080000}"/>
    <cellStyle name="Percent 4 4 8" xfId="1105" xr:uid="{00000000-0005-0000-0000-0000AE080000}"/>
    <cellStyle name="Percent 4 4 8 2" xfId="2151" xr:uid="{00000000-0005-0000-0000-0000AF080000}"/>
    <cellStyle name="Percent 4 4 9" xfId="1216" xr:uid="{00000000-0005-0000-0000-0000B0080000}"/>
    <cellStyle name="Percent 4 5" xfId="129" xr:uid="{00000000-0005-0000-0000-0000B1080000}"/>
    <cellStyle name="Percent 4 5 2" xfId="611" xr:uid="{00000000-0005-0000-0000-0000B2080000}"/>
    <cellStyle name="Percent 4 5 2 2" xfId="1673" xr:uid="{00000000-0005-0000-0000-0000B3080000}"/>
    <cellStyle name="Percent 4 5 3" xfId="460" xr:uid="{00000000-0005-0000-0000-0000B4080000}"/>
    <cellStyle name="Percent 4 5 3 2" xfId="1522" xr:uid="{00000000-0005-0000-0000-0000B5080000}"/>
    <cellStyle name="Percent 4 5 4" xfId="806" xr:uid="{00000000-0005-0000-0000-0000B6080000}"/>
    <cellStyle name="Percent 4 5 4 2" xfId="1867" xr:uid="{00000000-0005-0000-0000-0000B7080000}"/>
    <cellStyle name="Percent 4 5 5" xfId="367" xr:uid="{00000000-0005-0000-0000-0000B8080000}"/>
    <cellStyle name="Percent 4 5 5 2" xfId="1434" xr:uid="{00000000-0005-0000-0000-0000B9080000}"/>
    <cellStyle name="Percent 4 5 6" xfId="1000" xr:uid="{00000000-0005-0000-0000-0000BA080000}"/>
    <cellStyle name="Percent 4 5 6 2" xfId="2061" xr:uid="{00000000-0005-0000-0000-0000BB080000}"/>
    <cellStyle name="Percent 4 5 7" xfId="1241" xr:uid="{00000000-0005-0000-0000-0000BC080000}"/>
    <cellStyle name="Percent 4 5 8" xfId="2289" xr:uid="{00000000-0005-0000-0000-0000BD080000}"/>
    <cellStyle name="Percent 4 5 9" xfId="2497" xr:uid="{00000000-0005-0000-0000-0000BE080000}"/>
    <cellStyle name="Percent 4 6" xfId="253" xr:uid="{00000000-0005-0000-0000-0000BF080000}"/>
    <cellStyle name="Percent 4 6 2" xfId="536" xr:uid="{00000000-0005-0000-0000-0000C0080000}"/>
    <cellStyle name="Percent 4 6 2 2" xfId="1598" xr:uid="{00000000-0005-0000-0000-0000C1080000}"/>
    <cellStyle name="Percent 4 6 3" xfId="374" xr:uid="{00000000-0005-0000-0000-0000C2080000}"/>
    <cellStyle name="Percent 4 6 3 2" xfId="1441" xr:uid="{00000000-0005-0000-0000-0000C3080000}"/>
    <cellStyle name="Percent 4 6 4" xfId="943" xr:uid="{00000000-0005-0000-0000-0000C4080000}"/>
    <cellStyle name="Percent 4 6 4 2" xfId="2004" xr:uid="{00000000-0005-0000-0000-0000C5080000}"/>
    <cellStyle name="Percent 4 6 5" xfId="1327" xr:uid="{00000000-0005-0000-0000-0000C6080000}"/>
    <cellStyle name="Percent 4 6 6" xfId="2424" xr:uid="{00000000-0005-0000-0000-0000C7080000}"/>
    <cellStyle name="Percent 4 7" xfId="306" xr:uid="{00000000-0005-0000-0000-0000C8080000}"/>
    <cellStyle name="Percent 4 7 2" xfId="684" xr:uid="{00000000-0005-0000-0000-0000C9080000}"/>
    <cellStyle name="Percent 4 7 2 2" xfId="1746" xr:uid="{00000000-0005-0000-0000-0000CA080000}"/>
    <cellStyle name="Percent 4 7 3" xfId="1077" xr:uid="{00000000-0005-0000-0000-0000CB080000}"/>
    <cellStyle name="Percent 4 7 3 2" xfId="2138" xr:uid="{00000000-0005-0000-0000-0000CC080000}"/>
    <cellStyle name="Percent 4 7 4" xfId="1380" xr:uid="{00000000-0005-0000-0000-0000CD080000}"/>
    <cellStyle name="Percent 4 8" xfId="325" xr:uid="{00000000-0005-0000-0000-0000CE080000}"/>
    <cellStyle name="Percent 4 8 2" xfId="1392" xr:uid="{00000000-0005-0000-0000-0000CF080000}"/>
    <cellStyle name="Percent 4 9" xfId="734" xr:uid="{00000000-0005-0000-0000-0000D0080000}"/>
    <cellStyle name="Percent 4 9 2" xfId="1795" xr:uid="{00000000-0005-0000-0000-0000D1080000}"/>
    <cellStyle name="Percent 5" xfId="20" xr:uid="{00000000-0005-0000-0000-0000D2080000}"/>
    <cellStyle name="Percent 5 10" xfId="246" xr:uid="{00000000-0005-0000-0000-0000D3080000}"/>
    <cellStyle name="Percent 5 11" xfId="1090" xr:uid="{00000000-0005-0000-0000-0000D4080000}"/>
    <cellStyle name="Percent 5 11 2" xfId="2148" xr:uid="{00000000-0005-0000-0000-0000D5080000}"/>
    <cellStyle name="Percent 5 12" xfId="1162" xr:uid="{00000000-0005-0000-0000-0000D6080000}"/>
    <cellStyle name="Percent 5 13" xfId="2223" xr:uid="{00000000-0005-0000-0000-0000D7080000}"/>
    <cellStyle name="Percent 5 14" xfId="2362" xr:uid="{00000000-0005-0000-0000-0000D8080000}"/>
    <cellStyle name="Percent 5 2" xfId="87" xr:uid="{00000000-0005-0000-0000-0000D9080000}"/>
    <cellStyle name="Percent 5 2 10" xfId="1123" xr:uid="{00000000-0005-0000-0000-0000DA080000}"/>
    <cellStyle name="Percent 5 2 10 2" xfId="2169" xr:uid="{00000000-0005-0000-0000-0000DB080000}"/>
    <cellStyle name="Percent 5 2 11" xfId="1202" xr:uid="{00000000-0005-0000-0000-0000DC080000}"/>
    <cellStyle name="Percent 5 2 12" xfId="2248" xr:uid="{00000000-0005-0000-0000-0000DD080000}"/>
    <cellStyle name="Percent 5 2 13" xfId="2386" xr:uid="{00000000-0005-0000-0000-0000DE080000}"/>
    <cellStyle name="Percent 5 2 2" xfId="161" xr:uid="{00000000-0005-0000-0000-0000DF080000}"/>
    <cellStyle name="Percent 5 2 2 10" xfId="2415" xr:uid="{00000000-0005-0000-0000-0000E0080000}"/>
    <cellStyle name="Percent 5 2 2 2" xfId="528" xr:uid="{00000000-0005-0000-0000-0000E1080000}"/>
    <cellStyle name="Percent 5 2 2 2 2" xfId="679" xr:uid="{00000000-0005-0000-0000-0000E2080000}"/>
    <cellStyle name="Percent 5 2 2 2 2 2" xfId="1741" xr:uid="{00000000-0005-0000-0000-0000E3080000}"/>
    <cellStyle name="Percent 5 2 2 2 3" xfId="1590" xr:uid="{00000000-0005-0000-0000-0000E4080000}"/>
    <cellStyle name="Percent 5 2 2 2 4" xfId="2529" xr:uid="{00000000-0005-0000-0000-0000E5080000}"/>
    <cellStyle name="Percent 5 2 2 3" xfId="604" xr:uid="{00000000-0005-0000-0000-0000E6080000}"/>
    <cellStyle name="Percent 5 2 2 3 2" xfId="1666" xr:uid="{00000000-0005-0000-0000-0000E7080000}"/>
    <cellStyle name="Percent 5 2 2 4" xfId="838" xr:uid="{00000000-0005-0000-0000-0000E8080000}"/>
    <cellStyle name="Percent 5 2 2 4 2" xfId="1899" xr:uid="{00000000-0005-0000-0000-0000E9080000}"/>
    <cellStyle name="Percent 5 2 2 5" xfId="452" xr:uid="{00000000-0005-0000-0000-0000EA080000}"/>
    <cellStyle name="Percent 5 2 2 5 2" xfId="1514" xr:uid="{00000000-0005-0000-0000-0000EB080000}"/>
    <cellStyle name="Percent 5 2 2 6" xfId="1032" xr:uid="{00000000-0005-0000-0000-0000EC080000}"/>
    <cellStyle name="Percent 5 2 2 6 2" xfId="2093" xr:uid="{00000000-0005-0000-0000-0000ED080000}"/>
    <cellStyle name="Percent 5 2 2 7" xfId="1152" xr:uid="{00000000-0005-0000-0000-0000EE080000}"/>
    <cellStyle name="Percent 5 2 2 7 2" xfId="2198" xr:uid="{00000000-0005-0000-0000-0000EF080000}"/>
    <cellStyle name="Percent 5 2 2 8" xfId="1273" xr:uid="{00000000-0005-0000-0000-0000F0080000}"/>
    <cellStyle name="Percent 5 2 2 9" xfId="2321" xr:uid="{00000000-0005-0000-0000-0000F1080000}"/>
    <cellStyle name="Percent 5 2 3" xfId="278" xr:uid="{00000000-0005-0000-0000-0000F2080000}"/>
    <cellStyle name="Percent 5 2 3 2" xfId="635" xr:uid="{00000000-0005-0000-0000-0000F3080000}"/>
    <cellStyle name="Percent 5 2 3 2 2" xfId="1697" xr:uid="{00000000-0005-0000-0000-0000F4080000}"/>
    <cellStyle name="Percent 5 2 3 3" xfId="484" xr:uid="{00000000-0005-0000-0000-0000F5080000}"/>
    <cellStyle name="Percent 5 2 3 3 2" xfId="1546" xr:uid="{00000000-0005-0000-0000-0000F6080000}"/>
    <cellStyle name="Percent 5 2 3 4" xfId="892" xr:uid="{00000000-0005-0000-0000-0000F7080000}"/>
    <cellStyle name="Percent 5 2 3 4 2" xfId="1953" xr:uid="{00000000-0005-0000-0000-0000F8080000}"/>
    <cellStyle name="Percent 5 2 3 5" xfId="1352" xr:uid="{00000000-0005-0000-0000-0000F9080000}"/>
    <cellStyle name="Percent 5 2 3 6" xfId="2456" xr:uid="{00000000-0005-0000-0000-0000FA080000}"/>
    <cellStyle name="Percent 5 2 4" xfId="560" xr:uid="{00000000-0005-0000-0000-0000FB080000}"/>
    <cellStyle name="Percent 5 2 4 2" xfId="1622" xr:uid="{00000000-0005-0000-0000-0000FC080000}"/>
    <cellStyle name="Percent 5 2 5" xfId="716" xr:uid="{00000000-0005-0000-0000-0000FD080000}"/>
    <cellStyle name="Percent 5 2 5 2" xfId="1778" xr:uid="{00000000-0005-0000-0000-0000FE080000}"/>
    <cellStyle name="Percent 5 2 6" xfId="403" xr:uid="{00000000-0005-0000-0000-0000FF080000}"/>
    <cellStyle name="Percent 5 2 6 2" xfId="1470" xr:uid="{00000000-0005-0000-0000-000000090000}"/>
    <cellStyle name="Percent 5 2 7" xfId="766" xr:uid="{00000000-0005-0000-0000-000001090000}"/>
    <cellStyle name="Percent 5 2 7 2" xfId="1827" xr:uid="{00000000-0005-0000-0000-000002090000}"/>
    <cellStyle name="Percent 5 2 8" xfId="363" xr:uid="{00000000-0005-0000-0000-000003090000}"/>
    <cellStyle name="Percent 5 2 8 2" xfId="1430" xr:uid="{00000000-0005-0000-0000-000004090000}"/>
    <cellStyle name="Percent 5 2 9" xfId="916" xr:uid="{00000000-0005-0000-0000-000005090000}"/>
    <cellStyle name="Percent 5 2 9 2" xfId="1977" xr:uid="{00000000-0005-0000-0000-000006090000}"/>
    <cellStyle name="Percent 5 3" xfId="112" xr:uid="{00000000-0005-0000-0000-000007090000}"/>
    <cellStyle name="Percent 5 3 10" xfId="2272" xr:uid="{00000000-0005-0000-0000-000008090000}"/>
    <cellStyle name="Percent 5 3 11" xfId="2391" xr:uid="{00000000-0005-0000-0000-000009090000}"/>
    <cellStyle name="Percent 5 3 2" xfId="185" xr:uid="{00000000-0005-0000-0000-00000A090000}"/>
    <cellStyle name="Percent 5 3 2 2" xfId="651" xr:uid="{00000000-0005-0000-0000-00000B090000}"/>
    <cellStyle name="Percent 5 3 2 2 2" xfId="1713" xr:uid="{00000000-0005-0000-0000-00000C090000}"/>
    <cellStyle name="Percent 5 3 2 3" xfId="862" xr:uid="{00000000-0005-0000-0000-00000D090000}"/>
    <cellStyle name="Percent 5 3 2 3 2" xfId="1923" xr:uid="{00000000-0005-0000-0000-00000E090000}"/>
    <cellStyle name="Percent 5 3 2 4" xfId="500" xr:uid="{00000000-0005-0000-0000-00000F090000}"/>
    <cellStyle name="Percent 5 3 2 4 2" xfId="1562" xr:uid="{00000000-0005-0000-0000-000010090000}"/>
    <cellStyle name="Percent 5 3 2 5" xfId="1056" xr:uid="{00000000-0005-0000-0000-000011090000}"/>
    <cellStyle name="Percent 5 3 2 5 2" xfId="2117" xr:uid="{00000000-0005-0000-0000-000012090000}"/>
    <cellStyle name="Percent 5 3 2 6" xfId="1297" xr:uid="{00000000-0005-0000-0000-000013090000}"/>
    <cellStyle name="Percent 5 3 2 7" xfId="2345" xr:uid="{00000000-0005-0000-0000-000014090000}"/>
    <cellStyle name="Percent 5 3 2 8" xfId="2553" xr:uid="{00000000-0005-0000-0000-000015090000}"/>
    <cellStyle name="Percent 5 3 3" xfId="296" xr:uid="{00000000-0005-0000-0000-000016090000}"/>
    <cellStyle name="Percent 5 3 3 2" xfId="576" xr:uid="{00000000-0005-0000-0000-000017090000}"/>
    <cellStyle name="Percent 5 3 3 2 2" xfId="1638" xr:uid="{00000000-0005-0000-0000-000018090000}"/>
    <cellStyle name="Percent 5 3 3 3" xfId="983" xr:uid="{00000000-0005-0000-0000-000019090000}"/>
    <cellStyle name="Percent 5 3 3 3 2" xfId="2044" xr:uid="{00000000-0005-0000-0000-00001A090000}"/>
    <cellStyle name="Percent 5 3 3 4" xfId="1370" xr:uid="{00000000-0005-0000-0000-00001B090000}"/>
    <cellStyle name="Percent 5 3 3 5" xfId="2480" xr:uid="{00000000-0005-0000-0000-00001C090000}"/>
    <cellStyle name="Percent 5 3 4" xfId="424" xr:uid="{00000000-0005-0000-0000-00001D090000}"/>
    <cellStyle name="Percent 5 3 4 2" xfId="1486" xr:uid="{00000000-0005-0000-0000-00001E090000}"/>
    <cellStyle name="Percent 5 3 5" xfId="789" xr:uid="{00000000-0005-0000-0000-00001F090000}"/>
    <cellStyle name="Percent 5 3 5 2" xfId="1850" xr:uid="{00000000-0005-0000-0000-000020090000}"/>
    <cellStyle name="Percent 5 3 6" xfId="346" xr:uid="{00000000-0005-0000-0000-000021090000}"/>
    <cellStyle name="Percent 5 3 6 2" xfId="1413" xr:uid="{00000000-0005-0000-0000-000022090000}"/>
    <cellStyle name="Percent 5 3 7" xfId="921" xr:uid="{00000000-0005-0000-0000-000023090000}"/>
    <cellStyle name="Percent 5 3 7 2" xfId="1982" xr:uid="{00000000-0005-0000-0000-000024090000}"/>
    <cellStyle name="Percent 5 3 8" xfId="1128" xr:uid="{00000000-0005-0000-0000-000025090000}"/>
    <cellStyle name="Percent 5 3 8 2" xfId="2174" xr:uid="{00000000-0005-0000-0000-000026090000}"/>
    <cellStyle name="Percent 5 3 9" xfId="1224" xr:uid="{00000000-0005-0000-0000-000027090000}"/>
    <cellStyle name="Percent 5 4" xfId="136" xr:uid="{00000000-0005-0000-0000-000028090000}"/>
    <cellStyle name="Percent 5 4 10" xfId="2420" xr:uid="{00000000-0005-0000-0000-000029090000}"/>
    <cellStyle name="Percent 5 4 2" xfId="618" xr:uid="{00000000-0005-0000-0000-00002A090000}"/>
    <cellStyle name="Percent 5 4 2 2" xfId="1680" xr:uid="{00000000-0005-0000-0000-00002B090000}"/>
    <cellStyle name="Percent 5 4 2 3" xfId="2504" xr:uid="{00000000-0005-0000-0000-00002C090000}"/>
    <cellStyle name="Percent 5 4 3" xfId="467" xr:uid="{00000000-0005-0000-0000-00002D090000}"/>
    <cellStyle name="Percent 5 4 3 2" xfId="1529" xr:uid="{00000000-0005-0000-0000-00002E090000}"/>
    <cellStyle name="Percent 5 4 4" xfId="813" xr:uid="{00000000-0005-0000-0000-00002F090000}"/>
    <cellStyle name="Percent 5 4 4 2" xfId="1874" xr:uid="{00000000-0005-0000-0000-000030090000}"/>
    <cellStyle name="Percent 5 4 5" xfId="378" xr:uid="{00000000-0005-0000-0000-000031090000}"/>
    <cellStyle name="Percent 5 4 5 2" xfId="1445" xr:uid="{00000000-0005-0000-0000-000032090000}"/>
    <cellStyle name="Percent 5 4 6" xfId="1007" xr:uid="{00000000-0005-0000-0000-000033090000}"/>
    <cellStyle name="Percent 5 4 6 2" xfId="2068" xr:uid="{00000000-0005-0000-0000-000034090000}"/>
    <cellStyle name="Percent 5 4 7" xfId="1157" xr:uid="{00000000-0005-0000-0000-000035090000}"/>
    <cellStyle name="Percent 5 4 7 2" xfId="2203" xr:uid="{00000000-0005-0000-0000-000036090000}"/>
    <cellStyle name="Percent 5 4 8" xfId="1248" xr:uid="{00000000-0005-0000-0000-000037090000}"/>
    <cellStyle name="Percent 5 4 9" xfId="2296" xr:uid="{00000000-0005-0000-0000-000038090000}"/>
    <cellStyle name="Percent 5 5" xfId="257" xr:uid="{00000000-0005-0000-0000-000039090000}"/>
    <cellStyle name="Percent 5 5 2" xfId="316" xr:uid="{00000000-0005-0000-0000-00003A090000}"/>
    <cellStyle name="Percent 5 5 3" xfId="543" xr:uid="{00000000-0005-0000-0000-00003B090000}"/>
    <cellStyle name="Percent 5 5 3 2" xfId="1605" xr:uid="{00000000-0005-0000-0000-00003C090000}"/>
    <cellStyle name="Percent 5 5 4" xfId="894" xr:uid="{00000000-0005-0000-0000-00003D090000}"/>
    <cellStyle name="Percent 5 5 4 2" xfId="1955" xr:uid="{00000000-0005-0000-0000-00003E090000}"/>
    <cellStyle name="Percent 5 5 5" xfId="1331" xr:uid="{00000000-0005-0000-0000-00003F090000}"/>
    <cellStyle name="Percent 5 5 6" xfId="2431" xr:uid="{00000000-0005-0000-0000-000040090000}"/>
    <cellStyle name="Percent 5 6" xfId="691" xr:uid="{00000000-0005-0000-0000-000041090000}"/>
    <cellStyle name="Percent 5 6 2" xfId="1753" xr:uid="{00000000-0005-0000-0000-000042090000}"/>
    <cellStyle name="Percent 5 7" xfId="386" xr:uid="{00000000-0005-0000-0000-000043090000}"/>
    <cellStyle name="Percent 5 7 2" xfId="1453" xr:uid="{00000000-0005-0000-0000-000044090000}"/>
    <cellStyle name="Percent 5 8" xfId="741" xr:uid="{00000000-0005-0000-0000-000045090000}"/>
    <cellStyle name="Percent 5 8 2" xfId="1802" xr:uid="{00000000-0005-0000-0000-000046090000}"/>
    <cellStyle name="Percent 5 9" xfId="331" xr:uid="{00000000-0005-0000-0000-000047090000}"/>
    <cellStyle name="Percent 5 9 2" xfId="1398" xr:uid="{00000000-0005-0000-0000-000048090000}"/>
    <cellStyle name="Percent 6" xfId="40" xr:uid="{00000000-0005-0000-0000-000049090000}"/>
    <cellStyle name="Percent 6 10" xfId="322" xr:uid="{00000000-0005-0000-0000-00004A090000}"/>
    <cellStyle name="Percent 6 10 2" xfId="1389" xr:uid="{00000000-0005-0000-0000-00004B090000}"/>
    <cellStyle name="Percent 6 11" xfId="1100" xr:uid="{00000000-0005-0000-0000-00004C090000}"/>
    <cellStyle name="Percent 6 12" xfId="1171" xr:uid="{00000000-0005-0000-0000-00004D090000}"/>
    <cellStyle name="Percent 6 13" xfId="2229" xr:uid="{00000000-0005-0000-0000-00004E090000}"/>
    <cellStyle name="Percent 6 2" xfId="91" xr:uid="{00000000-0005-0000-0000-00004F090000}"/>
    <cellStyle name="Percent 6 2 10" xfId="2460" xr:uid="{00000000-0005-0000-0000-000050090000}"/>
    <cellStyle name="Percent 6 2 2" xfId="165" xr:uid="{00000000-0005-0000-0000-000051090000}"/>
    <cellStyle name="Percent 6 2 2 2" xfId="659" xr:uid="{00000000-0005-0000-0000-000052090000}"/>
    <cellStyle name="Percent 6 2 2 2 2" xfId="1721" xr:uid="{00000000-0005-0000-0000-000053090000}"/>
    <cellStyle name="Percent 6 2 2 3" xfId="842" xr:uid="{00000000-0005-0000-0000-000054090000}"/>
    <cellStyle name="Percent 6 2 2 3 2" xfId="1903" xr:uid="{00000000-0005-0000-0000-000055090000}"/>
    <cellStyle name="Percent 6 2 2 4" xfId="508" xr:uid="{00000000-0005-0000-0000-000056090000}"/>
    <cellStyle name="Percent 6 2 2 4 2" xfId="1570" xr:uid="{00000000-0005-0000-0000-000057090000}"/>
    <cellStyle name="Percent 6 2 2 5" xfId="1036" xr:uid="{00000000-0005-0000-0000-000058090000}"/>
    <cellStyle name="Percent 6 2 2 5 2" xfId="2097" xr:uid="{00000000-0005-0000-0000-000059090000}"/>
    <cellStyle name="Percent 6 2 2 6" xfId="1277" xr:uid="{00000000-0005-0000-0000-00005A090000}"/>
    <cellStyle name="Percent 6 2 2 7" xfId="2325" xr:uid="{00000000-0005-0000-0000-00005B090000}"/>
    <cellStyle name="Percent 6 2 2 8" xfId="2533" xr:uid="{00000000-0005-0000-0000-00005C090000}"/>
    <cellStyle name="Percent 6 2 3" xfId="282" xr:uid="{00000000-0005-0000-0000-00005D090000}"/>
    <cellStyle name="Percent 6 2 3 2" xfId="584" xr:uid="{00000000-0005-0000-0000-00005E090000}"/>
    <cellStyle name="Percent 6 2 3 2 2" xfId="1646" xr:uid="{00000000-0005-0000-0000-00005F090000}"/>
    <cellStyle name="Percent 6 2 3 3" xfId="963" xr:uid="{00000000-0005-0000-0000-000060090000}"/>
    <cellStyle name="Percent 6 2 3 3 2" xfId="2024" xr:uid="{00000000-0005-0000-0000-000061090000}"/>
    <cellStyle name="Percent 6 2 3 4" xfId="1356" xr:uid="{00000000-0005-0000-0000-000062090000}"/>
    <cellStyle name="Percent 6 2 4" xfId="720" xr:uid="{00000000-0005-0000-0000-000063090000}"/>
    <cellStyle name="Percent 6 2 4 2" xfId="1782" xr:uid="{00000000-0005-0000-0000-000064090000}"/>
    <cellStyle name="Percent 6 2 5" xfId="770" xr:uid="{00000000-0005-0000-0000-000065090000}"/>
    <cellStyle name="Percent 6 2 5 2" xfId="1831" xr:uid="{00000000-0005-0000-0000-000066090000}"/>
    <cellStyle name="Percent 6 2 6" xfId="432" xr:uid="{00000000-0005-0000-0000-000067090000}"/>
    <cellStyle name="Percent 6 2 6 2" xfId="1494" xr:uid="{00000000-0005-0000-0000-000068090000}"/>
    <cellStyle name="Percent 6 2 7" xfId="321" xr:uid="{00000000-0005-0000-0000-000069090000}"/>
    <cellStyle name="Percent 6 2 7 2" xfId="1388" xr:uid="{00000000-0005-0000-0000-00006A090000}"/>
    <cellStyle name="Percent 6 2 8" xfId="1206" xr:uid="{00000000-0005-0000-0000-00006B090000}"/>
    <cellStyle name="Percent 6 2 9" xfId="2252" xr:uid="{00000000-0005-0000-0000-00006C090000}"/>
    <cellStyle name="Percent 6 3" xfId="116" xr:uid="{00000000-0005-0000-0000-00006D090000}"/>
    <cellStyle name="Percent 6 3 2" xfId="189" xr:uid="{00000000-0005-0000-0000-00006E090000}"/>
    <cellStyle name="Percent 6 3 2 2" xfId="866" xr:uid="{00000000-0005-0000-0000-00006F090000}"/>
    <cellStyle name="Percent 6 3 2 2 2" xfId="1927" xr:uid="{00000000-0005-0000-0000-000070090000}"/>
    <cellStyle name="Percent 6 3 2 3" xfId="1060" xr:uid="{00000000-0005-0000-0000-000071090000}"/>
    <cellStyle name="Percent 6 3 2 3 2" xfId="2121" xr:uid="{00000000-0005-0000-0000-000072090000}"/>
    <cellStyle name="Percent 6 3 2 4" xfId="1301" xr:uid="{00000000-0005-0000-0000-000073090000}"/>
    <cellStyle name="Percent 6 3 2 5" xfId="2349" xr:uid="{00000000-0005-0000-0000-000074090000}"/>
    <cellStyle name="Percent 6 3 2 6" xfId="2557" xr:uid="{00000000-0005-0000-0000-000075090000}"/>
    <cellStyle name="Percent 6 3 3" xfId="297" xr:uid="{00000000-0005-0000-0000-000076090000}"/>
    <cellStyle name="Percent 6 3 3 2" xfId="793" xr:uid="{00000000-0005-0000-0000-000077090000}"/>
    <cellStyle name="Percent 6 3 3 2 2" xfId="1854" xr:uid="{00000000-0005-0000-0000-000078090000}"/>
    <cellStyle name="Percent 6 3 3 3" xfId="987" xr:uid="{00000000-0005-0000-0000-000079090000}"/>
    <cellStyle name="Percent 6 3 3 3 2" xfId="2048" xr:uid="{00000000-0005-0000-0000-00007A090000}"/>
    <cellStyle name="Percent 6 3 3 4" xfId="1371" xr:uid="{00000000-0005-0000-0000-00007B090000}"/>
    <cellStyle name="Percent 6 3 4" xfId="412" xr:uid="{00000000-0005-0000-0000-00007C090000}"/>
    <cellStyle name="Percent 6 3 5" xfId="929" xr:uid="{00000000-0005-0000-0000-00007D090000}"/>
    <cellStyle name="Percent 6 3 5 2" xfId="1990" xr:uid="{00000000-0005-0000-0000-00007E090000}"/>
    <cellStyle name="Percent 6 3 6" xfId="1228" xr:uid="{00000000-0005-0000-0000-00007F090000}"/>
    <cellStyle name="Percent 6 3 7" xfId="2276" xr:uid="{00000000-0005-0000-0000-000080090000}"/>
    <cellStyle name="Percent 6 3 8" xfId="2484" xr:uid="{00000000-0005-0000-0000-000081090000}"/>
    <cellStyle name="Percent 6 4" xfId="142" xr:uid="{00000000-0005-0000-0000-000082090000}"/>
    <cellStyle name="Percent 6 4 2" xfId="624" xr:uid="{00000000-0005-0000-0000-000083090000}"/>
    <cellStyle name="Percent 6 4 2 2" xfId="1686" xr:uid="{00000000-0005-0000-0000-000084090000}"/>
    <cellStyle name="Percent 6 4 3" xfId="819" xr:uid="{00000000-0005-0000-0000-000085090000}"/>
    <cellStyle name="Percent 6 4 3 2" xfId="1880" xr:uid="{00000000-0005-0000-0000-000086090000}"/>
    <cellStyle name="Percent 6 4 4" xfId="473" xr:uid="{00000000-0005-0000-0000-000087090000}"/>
    <cellStyle name="Percent 6 4 4 2" xfId="1535" xr:uid="{00000000-0005-0000-0000-000088090000}"/>
    <cellStyle name="Percent 6 4 5" xfId="1013" xr:uid="{00000000-0005-0000-0000-000089090000}"/>
    <cellStyle name="Percent 6 4 5 2" xfId="2074" xr:uid="{00000000-0005-0000-0000-00008A090000}"/>
    <cellStyle name="Percent 6 4 6" xfId="1254" xr:uid="{00000000-0005-0000-0000-00008B090000}"/>
    <cellStyle name="Percent 6 4 7" xfId="2302" xr:uid="{00000000-0005-0000-0000-00008C090000}"/>
    <cellStyle name="Percent 6 4 8" xfId="2510" xr:uid="{00000000-0005-0000-0000-00008D090000}"/>
    <cellStyle name="Percent 6 5" xfId="262" xr:uid="{00000000-0005-0000-0000-00008E090000}"/>
    <cellStyle name="Percent 6 5 2" xfId="549" xr:uid="{00000000-0005-0000-0000-00008F090000}"/>
    <cellStyle name="Percent 6 5 2 2" xfId="1611" xr:uid="{00000000-0005-0000-0000-000090090000}"/>
    <cellStyle name="Percent 6 5 3" xfId="923" xr:uid="{00000000-0005-0000-0000-000091090000}"/>
    <cellStyle name="Percent 6 5 3 2" xfId="1984" xr:uid="{00000000-0005-0000-0000-000092090000}"/>
    <cellStyle name="Percent 6 5 4" xfId="1336" xr:uid="{00000000-0005-0000-0000-000093090000}"/>
    <cellStyle name="Percent 6 5 5" xfId="2437" xr:uid="{00000000-0005-0000-0000-000094090000}"/>
    <cellStyle name="Percent 6 6" xfId="697" xr:uid="{00000000-0005-0000-0000-000095090000}"/>
    <cellStyle name="Percent 6 6 2" xfId="1759" xr:uid="{00000000-0005-0000-0000-000096090000}"/>
    <cellStyle name="Percent 6 7" xfId="392" xr:uid="{00000000-0005-0000-0000-000097090000}"/>
    <cellStyle name="Percent 6 7 2" xfId="1459" xr:uid="{00000000-0005-0000-0000-000098090000}"/>
    <cellStyle name="Percent 6 8" xfId="747" xr:uid="{00000000-0005-0000-0000-000099090000}"/>
    <cellStyle name="Percent 6 8 2" xfId="1808" xr:uid="{00000000-0005-0000-0000-00009A090000}"/>
    <cellStyle name="Percent 6 9" xfId="352" xr:uid="{00000000-0005-0000-0000-00009B090000}"/>
    <cellStyle name="Percent 6 9 2" xfId="1419" xr:uid="{00000000-0005-0000-0000-00009C090000}"/>
    <cellStyle name="Percent 7" xfId="65" xr:uid="{00000000-0005-0000-0000-00009D090000}"/>
    <cellStyle name="Percent 7 10" xfId="1187" xr:uid="{00000000-0005-0000-0000-00009E090000}"/>
    <cellStyle name="Percent 7 11" xfId="2233" xr:uid="{00000000-0005-0000-0000-00009F090000}"/>
    <cellStyle name="Percent 7 12" xfId="2441" xr:uid="{00000000-0005-0000-0000-0000A0090000}"/>
    <cellStyle name="Percent 7 2" xfId="120" xr:uid="{00000000-0005-0000-0000-0000A1090000}"/>
    <cellStyle name="Percent 7 2 2" xfId="193" xr:uid="{00000000-0005-0000-0000-0000A2090000}"/>
    <cellStyle name="Percent 7 2 2 2" xfId="663" xr:uid="{00000000-0005-0000-0000-0000A3090000}"/>
    <cellStyle name="Percent 7 2 2 2 2" xfId="1725" xr:uid="{00000000-0005-0000-0000-0000A4090000}"/>
    <cellStyle name="Percent 7 2 2 3" xfId="870" xr:uid="{00000000-0005-0000-0000-0000A5090000}"/>
    <cellStyle name="Percent 7 2 2 3 2" xfId="1931" xr:uid="{00000000-0005-0000-0000-0000A6090000}"/>
    <cellStyle name="Percent 7 2 2 4" xfId="512" xr:uid="{00000000-0005-0000-0000-0000A7090000}"/>
    <cellStyle name="Percent 7 2 2 4 2" xfId="1574" xr:uid="{00000000-0005-0000-0000-0000A8090000}"/>
    <cellStyle name="Percent 7 2 2 5" xfId="1064" xr:uid="{00000000-0005-0000-0000-0000A9090000}"/>
    <cellStyle name="Percent 7 2 2 5 2" xfId="2125" xr:uid="{00000000-0005-0000-0000-0000AA090000}"/>
    <cellStyle name="Percent 7 2 2 6" xfId="1305" xr:uid="{00000000-0005-0000-0000-0000AB090000}"/>
    <cellStyle name="Percent 7 2 2 7" xfId="2353" xr:uid="{00000000-0005-0000-0000-0000AC090000}"/>
    <cellStyle name="Percent 7 2 2 8" xfId="2561" xr:uid="{00000000-0005-0000-0000-0000AD090000}"/>
    <cellStyle name="Percent 7 2 3" xfId="588" xr:uid="{00000000-0005-0000-0000-0000AE090000}"/>
    <cellStyle name="Percent 7 2 3 2" xfId="1650" xr:uid="{00000000-0005-0000-0000-0000AF090000}"/>
    <cellStyle name="Percent 7 2 4" xfId="797" xr:uid="{00000000-0005-0000-0000-0000B0090000}"/>
    <cellStyle name="Percent 7 2 4 2" xfId="1858" xr:uid="{00000000-0005-0000-0000-0000B1090000}"/>
    <cellStyle name="Percent 7 2 5" xfId="436" xr:uid="{00000000-0005-0000-0000-0000B2090000}"/>
    <cellStyle name="Percent 7 2 5 2" xfId="1498" xr:uid="{00000000-0005-0000-0000-0000B3090000}"/>
    <cellStyle name="Percent 7 2 6" xfId="991" xr:uid="{00000000-0005-0000-0000-0000B4090000}"/>
    <cellStyle name="Percent 7 2 6 2" xfId="2052" xr:uid="{00000000-0005-0000-0000-0000B5090000}"/>
    <cellStyle name="Percent 7 2 7" xfId="1232" xr:uid="{00000000-0005-0000-0000-0000B6090000}"/>
    <cellStyle name="Percent 7 2 8" xfId="2280" xr:uid="{00000000-0005-0000-0000-0000B7090000}"/>
    <cellStyle name="Percent 7 2 9" xfId="2488" xr:uid="{00000000-0005-0000-0000-0000B8090000}"/>
    <cellStyle name="Percent 7 3" xfId="146" xr:uid="{00000000-0005-0000-0000-0000B9090000}"/>
    <cellStyle name="Percent 7 3 2" xfId="628" xr:uid="{00000000-0005-0000-0000-0000BA090000}"/>
    <cellStyle name="Percent 7 3 2 2" xfId="1690" xr:uid="{00000000-0005-0000-0000-0000BB090000}"/>
    <cellStyle name="Percent 7 3 3" xfId="823" xr:uid="{00000000-0005-0000-0000-0000BC090000}"/>
    <cellStyle name="Percent 7 3 3 2" xfId="1884" xr:uid="{00000000-0005-0000-0000-0000BD090000}"/>
    <cellStyle name="Percent 7 3 4" xfId="477" xr:uid="{00000000-0005-0000-0000-0000BE090000}"/>
    <cellStyle name="Percent 7 3 4 2" xfId="1539" xr:uid="{00000000-0005-0000-0000-0000BF090000}"/>
    <cellStyle name="Percent 7 3 5" xfId="1017" xr:uid="{00000000-0005-0000-0000-0000C0090000}"/>
    <cellStyle name="Percent 7 3 5 2" xfId="2078" xr:uid="{00000000-0005-0000-0000-0000C1090000}"/>
    <cellStyle name="Percent 7 3 6" xfId="1258" xr:uid="{00000000-0005-0000-0000-0000C2090000}"/>
    <cellStyle name="Percent 7 3 7" xfId="2306" xr:uid="{00000000-0005-0000-0000-0000C3090000}"/>
    <cellStyle name="Percent 7 3 8" xfId="2514" xr:uid="{00000000-0005-0000-0000-0000C4090000}"/>
    <cellStyle name="Percent 7 4" xfId="266" xr:uid="{00000000-0005-0000-0000-0000C5090000}"/>
    <cellStyle name="Percent 7 4 2" xfId="553" xr:uid="{00000000-0005-0000-0000-0000C6090000}"/>
    <cellStyle name="Percent 7 4 2 2" xfId="1615" xr:uid="{00000000-0005-0000-0000-0000C7090000}"/>
    <cellStyle name="Percent 7 4 3" xfId="884" xr:uid="{00000000-0005-0000-0000-0000C8090000}"/>
    <cellStyle name="Percent 7 4 3 2" xfId="1945" xr:uid="{00000000-0005-0000-0000-0000C9090000}"/>
    <cellStyle name="Percent 7 4 4" xfId="1340" xr:uid="{00000000-0005-0000-0000-0000CA090000}"/>
    <cellStyle name="Percent 7 5" xfId="701" xr:uid="{00000000-0005-0000-0000-0000CB090000}"/>
    <cellStyle name="Percent 7 5 2" xfId="1763" xr:uid="{00000000-0005-0000-0000-0000CC090000}"/>
    <cellStyle name="Percent 7 6" xfId="396" xr:uid="{00000000-0005-0000-0000-0000CD090000}"/>
    <cellStyle name="Percent 7 6 2" xfId="1463" xr:uid="{00000000-0005-0000-0000-0000CE090000}"/>
    <cellStyle name="Percent 7 7" xfId="751" xr:uid="{00000000-0005-0000-0000-0000CF090000}"/>
    <cellStyle name="Percent 7 7 2" xfId="1812" xr:uid="{00000000-0005-0000-0000-0000D0090000}"/>
    <cellStyle name="Percent 7 8" xfId="356" xr:uid="{00000000-0005-0000-0000-0000D1090000}"/>
    <cellStyle name="Percent 7 8 2" xfId="1423" xr:uid="{00000000-0005-0000-0000-0000D2090000}"/>
    <cellStyle name="Percent 7 9" xfId="904" xr:uid="{00000000-0005-0000-0000-0000D3090000}"/>
    <cellStyle name="Percent 7 9 2" xfId="1965" xr:uid="{00000000-0005-0000-0000-0000D4090000}"/>
    <cellStyle name="Percent 8" xfId="95" xr:uid="{00000000-0005-0000-0000-0000D5090000}"/>
    <cellStyle name="Percent 8 10" xfId="2465" xr:uid="{00000000-0005-0000-0000-0000D6090000}"/>
    <cellStyle name="Percent 8 2" xfId="124" xr:uid="{00000000-0005-0000-0000-0000D7090000}"/>
    <cellStyle name="Percent 8 2 2" xfId="197" xr:uid="{00000000-0005-0000-0000-0000D8090000}"/>
    <cellStyle name="Percent 8 2 2 2" xfId="874" xr:uid="{00000000-0005-0000-0000-0000D9090000}"/>
    <cellStyle name="Percent 8 2 2 2 2" xfId="1935" xr:uid="{00000000-0005-0000-0000-0000DA090000}"/>
    <cellStyle name="Percent 8 2 2 3" xfId="640" xr:uid="{00000000-0005-0000-0000-0000DB090000}"/>
    <cellStyle name="Percent 8 2 2 3 2" xfId="1702" xr:uid="{00000000-0005-0000-0000-0000DC090000}"/>
    <cellStyle name="Percent 8 2 2 4" xfId="1068" xr:uid="{00000000-0005-0000-0000-0000DD090000}"/>
    <cellStyle name="Percent 8 2 2 4 2" xfId="2129" xr:uid="{00000000-0005-0000-0000-0000DE090000}"/>
    <cellStyle name="Percent 8 2 2 5" xfId="1309" xr:uid="{00000000-0005-0000-0000-0000DF090000}"/>
    <cellStyle name="Percent 8 2 2 6" xfId="2357" xr:uid="{00000000-0005-0000-0000-0000E0090000}"/>
    <cellStyle name="Percent 8 2 2 7" xfId="2565" xr:uid="{00000000-0005-0000-0000-0000E1090000}"/>
    <cellStyle name="Percent 8 2 3" xfId="801" xr:uid="{00000000-0005-0000-0000-0000E2090000}"/>
    <cellStyle name="Percent 8 2 3 2" xfId="1862" xr:uid="{00000000-0005-0000-0000-0000E3090000}"/>
    <cellStyle name="Percent 8 2 4" xfId="489" xr:uid="{00000000-0005-0000-0000-0000E4090000}"/>
    <cellStyle name="Percent 8 2 4 2" xfId="1551" xr:uid="{00000000-0005-0000-0000-0000E5090000}"/>
    <cellStyle name="Percent 8 2 5" xfId="995" xr:uid="{00000000-0005-0000-0000-0000E6090000}"/>
    <cellStyle name="Percent 8 2 5 2" xfId="2056" xr:uid="{00000000-0005-0000-0000-0000E7090000}"/>
    <cellStyle name="Percent 8 2 6" xfId="1236" xr:uid="{00000000-0005-0000-0000-0000E8090000}"/>
    <cellStyle name="Percent 8 2 7" xfId="2284" xr:uid="{00000000-0005-0000-0000-0000E9090000}"/>
    <cellStyle name="Percent 8 2 8" xfId="2492" xr:uid="{00000000-0005-0000-0000-0000EA090000}"/>
    <cellStyle name="Percent 8 3" xfId="170" xr:uid="{00000000-0005-0000-0000-0000EB090000}"/>
    <cellStyle name="Percent 8 3 2" xfId="847" xr:uid="{00000000-0005-0000-0000-0000EC090000}"/>
    <cellStyle name="Percent 8 3 2 2" xfId="1908" xr:uid="{00000000-0005-0000-0000-0000ED090000}"/>
    <cellStyle name="Percent 8 3 3" xfId="565" xr:uid="{00000000-0005-0000-0000-0000EE090000}"/>
    <cellStyle name="Percent 8 3 3 2" xfId="1627" xr:uid="{00000000-0005-0000-0000-0000EF090000}"/>
    <cellStyle name="Percent 8 3 4" xfId="1041" xr:uid="{00000000-0005-0000-0000-0000F0090000}"/>
    <cellStyle name="Percent 8 3 4 2" xfId="2102" xr:uid="{00000000-0005-0000-0000-0000F1090000}"/>
    <cellStyle name="Percent 8 3 5" xfId="1282" xr:uid="{00000000-0005-0000-0000-0000F2090000}"/>
    <cellStyle name="Percent 8 3 6" xfId="2330" xr:uid="{00000000-0005-0000-0000-0000F3090000}"/>
    <cellStyle name="Percent 8 3 7" xfId="2538" xr:uid="{00000000-0005-0000-0000-0000F4090000}"/>
    <cellStyle name="Percent 8 4" xfId="287" xr:uid="{00000000-0005-0000-0000-0000F5090000}"/>
    <cellStyle name="Percent 8 4 2" xfId="725" xr:uid="{00000000-0005-0000-0000-0000F6090000}"/>
    <cellStyle name="Percent 8 4 2 2" xfId="1787" xr:uid="{00000000-0005-0000-0000-0000F7090000}"/>
    <cellStyle name="Percent 8 4 3" xfId="968" xr:uid="{00000000-0005-0000-0000-0000F8090000}"/>
    <cellStyle name="Percent 8 4 3 2" xfId="2029" xr:uid="{00000000-0005-0000-0000-0000F9090000}"/>
    <cellStyle name="Percent 8 4 4" xfId="1361" xr:uid="{00000000-0005-0000-0000-0000FA090000}"/>
    <cellStyle name="Percent 8 5" xfId="775" xr:uid="{00000000-0005-0000-0000-0000FB090000}"/>
    <cellStyle name="Percent 8 5 2" xfId="1836" xr:uid="{00000000-0005-0000-0000-0000FC090000}"/>
    <cellStyle name="Percent 8 6" xfId="408" xr:uid="{00000000-0005-0000-0000-0000FD090000}"/>
    <cellStyle name="Percent 8 6 2" xfId="1475" xr:uid="{00000000-0005-0000-0000-0000FE090000}"/>
    <cellStyle name="Percent 8 7" xfId="906" xr:uid="{00000000-0005-0000-0000-0000FF090000}"/>
    <cellStyle name="Percent 8 7 2" xfId="1967" xr:uid="{00000000-0005-0000-0000-0000000A0000}"/>
    <cellStyle name="Percent 8 8" xfId="1210" xr:uid="{00000000-0005-0000-0000-0000010A0000}"/>
    <cellStyle name="Percent 8 9" xfId="2257" xr:uid="{00000000-0005-0000-0000-0000020A0000}"/>
    <cellStyle name="Percent 9" xfId="303" xr:uid="{00000000-0005-0000-0000-0000030A0000}"/>
    <cellStyle name="Percent 9 2" xfId="730" xr:uid="{00000000-0005-0000-0000-0000040A0000}"/>
    <cellStyle name="Percent 9 2 2" xfId="1791" xr:uid="{00000000-0005-0000-0000-0000050A0000}"/>
    <cellStyle name="Percent 9 3" xfId="1073" xr:uid="{00000000-0005-0000-0000-0000060A0000}"/>
    <cellStyle name="Percent 9 3 2" xfId="2134" xr:uid="{00000000-0005-0000-0000-0000070A0000}"/>
    <cellStyle name="Percent 9 4" xfId="1377" xr:uid="{00000000-0005-0000-0000-0000080A0000}"/>
    <cellStyle name="STYLE1" xfId="8" xr:uid="{00000000-0005-0000-0000-0000090A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721</v>
      </c>
    </row>
    <row r="3" spans="1:14" x14ac:dyDescent="0.35">
      <c r="A3" s="78">
        <v>0</v>
      </c>
      <c r="B3" t="s">
        <v>722</v>
      </c>
    </row>
    <row r="5" spans="1:14" x14ac:dyDescent="0.35">
      <c r="B5" s="78" t="s">
        <v>446</v>
      </c>
      <c r="C5" t="s">
        <v>723</v>
      </c>
    </row>
    <row r="6" spans="1:14" x14ac:dyDescent="0.35">
      <c r="B6" s="78" t="s">
        <v>447</v>
      </c>
      <c r="C6" t="s">
        <v>724</v>
      </c>
    </row>
    <row r="8" spans="1:14" x14ac:dyDescent="0.35">
      <c r="A8" s="78">
        <v>1</v>
      </c>
      <c r="B8" s="492" t="s">
        <v>725</v>
      </c>
      <c r="C8" s="492"/>
      <c r="D8" s="492"/>
      <c r="E8" s="492"/>
      <c r="F8" s="492"/>
      <c r="G8" s="492"/>
      <c r="H8" s="492"/>
      <c r="I8" s="492"/>
      <c r="J8" s="492"/>
      <c r="K8" s="492"/>
      <c r="L8" s="492"/>
      <c r="M8" s="492"/>
      <c r="N8" s="492"/>
    </row>
    <row r="9" spans="1:14" x14ac:dyDescent="0.35">
      <c r="B9" s="492"/>
      <c r="C9" s="492"/>
      <c r="D9" s="492"/>
      <c r="E9" s="492"/>
      <c r="F9" s="492"/>
      <c r="G9" s="492"/>
      <c r="H9" s="492"/>
      <c r="I9" s="492"/>
      <c r="J9" s="492"/>
      <c r="K9" s="492"/>
      <c r="L9" s="492"/>
      <c r="M9" s="492"/>
      <c r="N9" s="492"/>
    </row>
    <row r="10" spans="1:14" x14ac:dyDescent="0.35">
      <c r="B10" s="393"/>
      <c r="C10" s="393"/>
      <c r="D10" s="393"/>
      <c r="E10" s="393"/>
      <c r="F10" s="393"/>
      <c r="G10" s="393"/>
      <c r="H10" s="393"/>
      <c r="I10" s="393"/>
      <c r="J10" s="393"/>
      <c r="K10" s="393"/>
      <c r="L10" s="393"/>
      <c r="M10" s="393"/>
      <c r="N10" s="393"/>
    </row>
    <row r="11" spans="1:14" x14ac:dyDescent="0.35">
      <c r="A11" s="78">
        <v>2</v>
      </c>
      <c r="B11" t="s">
        <v>726</v>
      </c>
    </row>
    <row r="13" spans="1:14" x14ac:dyDescent="0.35">
      <c r="B13" s="78" t="s">
        <v>446</v>
      </c>
      <c r="C13" t="s">
        <v>727</v>
      </c>
    </row>
    <row r="14" spans="1:14" x14ac:dyDescent="0.35">
      <c r="B14" s="78" t="s">
        <v>447</v>
      </c>
      <c r="C14" t="s">
        <v>728</v>
      </c>
    </row>
    <row r="15" spans="1:14" x14ac:dyDescent="0.35">
      <c r="B15" s="78" t="s">
        <v>448</v>
      </c>
      <c r="C15" t="s">
        <v>729</v>
      </c>
    </row>
    <row r="16" spans="1:14" x14ac:dyDescent="0.35">
      <c r="B16" s="78" t="s">
        <v>730</v>
      </c>
      <c r="C16" s="492" t="s">
        <v>731</v>
      </c>
      <c r="D16" s="492"/>
      <c r="E16" s="492"/>
      <c r="F16" s="492"/>
      <c r="G16" s="492"/>
      <c r="H16" s="492"/>
      <c r="I16" s="492"/>
      <c r="J16" s="492"/>
      <c r="K16" s="492"/>
      <c r="L16" s="492"/>
      <c r="M16" s="492"/>
      <c r="N16" s="492"/>
    </row>
    <row r="17" spans="1:14" x14ac:dyDescent="0.35">
      <c r="B17" s="78"/>
      <c r="C17" s="492"/>
      <c r="D17" s="492"/>
      <c r="E17" s="492"/>
      <c r="F17" s="492"/>
      <c r="G17" s="492"/>
      <c r="H17" s="492"/>
      <c r="I17" s="492"/>
      <c r="J17" s="492"/>
      <c r="K17" s="492"/>
      <c r="L17" s="492"/>
      <c r="M17" s="492"/>
      <c r="N17" s="492"/>
    </row>
    <row r="18" spans="1:14" x14ac:dyDescent="0.35">
      <c r="B18" s="78"/>
      <c r="C18" s="393"/>
      <c r="D18" s="393"/>
      <c r="E18" s="393"/>
      <c r="F18" s="393"/>
      <c r="G18" s="393"/>
      <c r="H18" s="393"/>
      <c r="I18" s="393"/>
      <c r="J18" s="393"/>
      <c r="K18" s="393"/>
      <c r="L18" s="393"/>
      <c r="M18" s="393"/>
      <c r="N18" s="393"/>
    </row>
    <row r="19" spans="1:14" x14ac:dyDescent="0.35">
      <c r="A19" s="78">
        <v>3</v>
      </c>
      <c r="B19" t="s">
        <v>732</v>
      </c>
    </row>
    <row r="20" spans="1:14" x14ac:dyDescent="0.35">
      <c r="B20" s="78"/>
    </row>
    <row r="21" spans="1:14" ht="15" customHeight="1" x14ac:dyDescent="0.35">
      <c r="B21" s="78" t="s">
        <v>446</v>
      </c>
      <c r="C21" s="492" t="s">
        <v>931</v>
      </c>
      <c r="D21" s="492"/>
      <c r="E21" s="492"/>
      <c r="F21" s="492"/>
      <c r="G21" s="492"/>
      <c r="H21" s="492"/>
      <c r="I21" s="492"/>
      <c r="J21" s="492"/>
      <c r="K21" s="492"/>
      <c r="L21" s="492"/>
      <c r="M21" s="492"/>
      <c r="N21" s="492"/>
    </row>
    <row r="22" spans="1:14" ht="15" customHeight="1" x14ac:dyDescent="0.35">
      <c r="B22" s="78"/>
      <c r="C22" s="492"/>
      <c r="D22" s="492"/>
      <c r="E22" s="492"/>
      <c r="F22" s="492"/>
      <c r="G22" s="492"/>
      <c r="H22" s="492"/>
      <c r="I22" s="492"/>
      <c r="J22" s="492"/>
      <c r="K22" s="492"/>
      <c r="L22" s="492"/>
      <c r="M22" s="492"/>
      <c r="N22" s="492"/>
    </row>
    <row r="23" spans="1:14" x14ac:dyDescent="0.35">
      <c r="C23" s="492"/>
      <c r="D23" s="492"/>
      <c r="E23" s="492"/>
      <c r="F23" s="492"/>
      <c r="G23" s="492"/>
      <c r="H23" s="492"/>
      <c r="I23" s="492"/>
      <c r="J23" s="492"/>
      <c r="K23" s="492"/>
      <c r="L23" s="492"/>
      <c r="M23" s="492"/>
      <c r="N23" s="492"/>
    </row>
    <row r="24" spans="1:14" ht="15" customHeight="1" x14ac:dyDescent="0.35">
      <c r="B24" s="78" t="s">
        <v>447</v>
      </c>
      <c r="C24" s="492" t="s">
        <v>903</v>
      </c>
      <c r="D24" s="492"/>
      <c r="E24" s="492"/>
      <c r="F24" s="492"/>
      <c r="G24" s="492"/>
      <c r="H24" s="492"/>
      <c r="I24" s="492"/>
      <c r="J24" s="492"/>
      <c r="K24" s="492"/>
      <c r="L24" s="492"/>
      <c r="M24" s="492"/>
      <c r="N24" s="492"/>
    </row>
    <row r="25" spans="1:14" x14ac:dyDescent="0.35">
      <c r="C25" s="492"/>
      <c r="D25" s="492"/>
      <c r="E25" s="492"/>
      <c r="F25" s="492"/>
      <c r="G25" s="492"/>
      <c r="H25" s="492"/>
      <c r="I25" s="492"/>
      <c r="J25" s="492"/>
      <c r="K25" s="492"/>
      <c r="L25" s="492"/>
      <c r="M25" s="492"/>
      <c r="N25" s="492"/>
    </row>
    <row r="26" spans="1:14" x14ac:dyDescent="0.35">
      <c r="D26" s="393"/>
      <c r="E26" s="393"/>
      <c r="F26" s="393"/>
      <c r="G26" s="393"/>
      <c r="H26" s="393"/>
      <c r="I26" s="393"/>
      <c r="J26" s="393"/>
      <c r="K26" s="393"/>
      <c r="L26" s="393"/>
      <c r="M26" s="393"/>
      <c r="N26" s="393"/>
    </row>
    <row r="27" spans="1:14" x14ac:dyDescent="0.35">
      <c r="A27" s="78">
        <v>4</v>
      </c>
      <c r="B27" t="s">
        <v>733</v>
      </c>
    </row>
    <row r="28" spans="1:14" x14ac:dyDescent="0.35">
      <c r="B28" s="78"/>
    </row>
    <row r="29" spans="1:14" x14ac:dyDescent="0.35">
      <c r="B29" s="78" t="s">
        <v>446</v>
      </c>
      <c r="C29" t="s">
        <v>734</v>
      </c>
    </row>
    <row r="30" spans="1:14" ht="15" customHeight="1" x14ac:dyDescent="0.35">
      <c r="B30" s="78" t="s">
        <v>447</v>
      </c>
      <c r="C30" s="492" t="s">
        <v>735</v>
      </c>
      <c r="D30" s="492"/>
      <c r="E30" s="492"/>
      <c r="F30" s="492"/>
      <c r="G30" s="492"/>
      <c r="H30" s="492"/>
      <c r="I30" s="492"/>
      <c r="J30" s="492"/>
      <c r="K30" s="492"/>
      <c r="L30" s="492"/>
      <c r="M30" s="492"/>
      <c r="N30" s="492"/>
    </row>
    <row r="31" spans="1:14" x14ac:dyDescent="0.35">
      <c r="C31" s="492"/>
      <c r="D31" s="492"/>
      <c r="E31" s="492"/>
      <c r="F31" s="492"/>
      <c r="G31" s="492"/>
      <c r="H31" s="492"/>
      <c r="I31" s="492"/>
      <c r="J31" s="492"/>
      <c r="K31" s="492"/>
      <c r="L31" s="492"/>
      <c r="M31" s="492"/>
      <c r="N31" s="492"/>
    </row>
    <row r="32" spans="1:14" x14ac:dyDescent="0.35">
      <c r="C32" s="492"/>
      <c r="D32" s="492"/>
      <c r="E32" s="492"/>
      <c r="F32" s="492"/>
      <c r="G32" s="492"/>
      <c r="H32" s="492"/>
      <c r="I32" s="492"/>
      <c r="J32" s="492"/>
      <c r="K32" s="492"/>
      <c r="L32" s="492"/>
      <c r="M32" s="492"/>
      <c r="N32" s="492"/>
    </row>
    <row r="33" spans="1:14" x14ac:dyDescent="0.35">
      <c r="D33" s="241"/>
      <c r="E33" s="241"/>
      <c r="F33" s="241"/>
      <c r="G33" s="241"/>
      <c r="H33" s="241"/>
      <c r="I33" s="241"/>
      <c r="J33" s="241"/>
      <c r="K33" s="241"/>
      <c r="L33" s="241"/>
      <c r="M33" s="241"/>
      <c r="N33" s="241"/>
    </row>
    <row r="34" spans="1:14" x14ac:dyDescent="0.35">
      <c r="A34" s="78">
        <v>5</v>
      </c>
      <c r="B34" t="s">
        <v>736</v>
      </c>
    </row>
    <row r="35" spans="1:14" x14ac:dyDescent="0.35">
      <c r="B35" s="78"/>
    </row>
    <row r="36" spans="1:14" x14ac:dyDescent="0.35">
      <c r="B36" s="78" t="s">
        <v>446</v>
      </c>
      <c r="C36" s="492" t="s">
        <v>737</v>
      </c>
      <c r="D36" s="492"/>
      <c r="E36" s="492"/>
      <c r="F36" s="492"/>
      <c r="G36" s="492"/>
      <c r="H36" s="492"/>
      <c r="I36" s="492"/>
      <c r="J36" s="492"/>
      <c r="K36" s="492"/>
      <c r="L36" s="492"/>
      <c r="M36" s="492"/>
      <c r="N36" s="492"/>
    </row>
    <row r="37" spans="1:14" x14ac:dyDescent="0.35">
      <c r="B37" s="78"/>
      <c r="C37" s="492"/>
      <c r="D37" s="492"/>
      <c r="E37" s="492"/>
      <c r="F37" s="492"/>
      <c r="G37" s="492"/>
      <c r="H37" s="492"/>
      <c r="I37" s="492"/>
      <c r="J37" s="492"/>
      <c r="K37" s="492"/>
      <c r="L37" s="492"/>
      <c r="M37" s="492"/>
      <c r="N37" s="492"/>
    </row>
    <row r="38" spans="1:14" x14ac:dyDescent="0.35">
      <c r="B38" s="78"/>
      <c r="C38" s="492"/>
      <c r="D38" s="492"/>
      <c r="E38" s="492"/>
      <c r="F38" s="492"/>
      <c r="G38" s="492"/>
      <c r="H38" s="492"/>
      <c r="I38" s="492"/>
      <c r="J38" s="492"/>
      <c r="K38" s="492"/>
      <c r="L38" s="492"/>
      <c r="M38" s="492"/>
      <c r="N38" s="492"/>
    </row>
    <row r="39" spans="1:14" x14ac:dyDescent="0.35">
      <c r="D39" s="241"/>
      <c r="E39" s="241"/>
      <c r="F39" s="241"/>
      <c r="G39" s="241"/>
      <c r="H39" s="241"/>
      <c r="I39" s="241"/>
      <c r="J39" s="241"/>
      <c r="K39" s="241"/>
      <c r="L39" s="241"/>
      <c r="M39" s="241"/>
      <c r="N39" s="241"/>
    </row>
    <row r="40" spans="1:14" x14ac:dyDescent="0.35">
      <c r="A40" s="78">
        <v>6</v>
      </c>
      <c r="B40" t="s">
        <v>738</v>
      </c>
    </row>
    <row r="41" spans="1:14" x14ac:dyDescent="0.35">
      <c r="B41" s="78"/>
    </row>
    <row r="42" spans="1:14" x14ac:dyDescent="0.35">
      <c r="B42" s="78" t="s">
        <v>446</v>
      </c>
      <c r="C42" t="s">
        <v>739</v>
      </c>
    </row>
    <row r="43" spans="1:14" x14ac:dyDescent="0.35">
      <c r="C43" s="78"/>
      <c r="D43" s="241"/>
      <c r="E43" s="241"/>
      <c r="F43" s="241"/>
      <c r="G43" s="241"/>
      <c r="H43" s="241"/>
      <c r="I43" s="241"/>
      <c r="J43" s="241"/>
      <c r="K43" s="241"/>
      <c r="L43" s="241"/>
      <c r="M43" s="241"/>
      <c r="N43" s="241"/>
    </row>
    <row r="44" spans="1:14" x14ac:dyDescent="0.35">
      <c r="A44" s="78">
        <v>7</v>
      </c>
      <c r="B44" t="s">
        <v>740</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446</v>
      </c>
      <c r="C46" s="492" t="s">
        <v>913</v>
      </c>
      <c r="D46" s="492"/>
      <c r="E46" s="492"/>
      <c r="F46" s="492"/>
      <c r="G46" s="492"/>
      <c r="H46" s="492"/>
      <c r="I46" s="492"/>
      <c r="J46" s="492"/>
      <c r="K46" s="492"/>
      <c r="L46" s="492"/>
      <c r="M46" s="492"/>
      <c r="N46" s="492"/>
    </row>
    <row r="47" spans="1:14" x14ac:dyDescent="0.35">
      <c r="C47" s="492"/>
      <c r="D47" s="492"/>
      <c r="E47" s="492"/>
      <c r="F47" s="492"/>
      <c r="G47" s="492"/>
      <c r="H47" s="492"/>
      <c r="I47" s="492"/>
      <c r="J47" s="492"/>
      <c r="K47" s="492"/>
      <c r="L47" s="492"/>
      <c r="M47" s="492"/>
      <c r="N47" s="492"/>
    </row>
    <row r="48" spans="1:14" x14ac:dyDescent="0.35">
      <c r="C48" s="492"/>
      <c r="D48" s="492"/>
      <c r="E48" s="492"/>
      <c r="F48" s="492"/>
      <c r="G48" s="492"/>
      <c r="H48" s="492"/>
      <c r="I48" s="492"/>
      <c r="J48" s="492"/>
      <c r="K48" s="492"/>
      <c r="L48" s="492"/>
      <c r="M48" s="492"/>
      <c r="N48" s="492"/>
    </row>
    <row r="49" spans="1:14" x14ac:dyDescent="0.35">
      <c r="B49" s="78" t="s">
        <v>447</v>
      </c>
      <c r="C49" s="492" t="s">
        <v>914</v>
      </c>
      <c r="D49" s="492"/>
      <c r="E49" s="492"/>
      <c r="F49" s="492"/>
      <c r="G49" s="492"/>
      <c r="H49" s="492"/>
      <c r="I49" s="492"/>
      <c r="J49" s="492"/>
      <c r="K49" s="492"/>
      <c r="L49" s="492"/>
      <c r="M49" s="492"/>
      <c r="N49" s="492"/>
    </row>
    <row r="50" spans="1:14" x14ac:dyDescent="0.35">
      <c r="B50" s="78"/>
      <c r="C50" s="492"/>
      <c r="D50" s="492"/>
      <c r="E50" s="492"/>
      <c r="F50" s="492"/>
      <c r="G50" s="492"/>
      <c r="H50" s="492"/>
      <c r="I50" s="492"/>
      <c r="J50" s="492"/>
      <c r="K50" s="492"/>
      <c r="L50" s="492"/>
      <c r="M50" s="492"/>
      <c r="N50" s="492"/>
    </row>
    <row r="51" spans="1:14" x14ac:dyDescent="0.35">
      <c r="C51" s="492"/>
      <c r="D51" s="492"/>
      <c r="E51" s="492"/>
      <c r="F51" s="492"/>
      <c r="G51" s="492"/>
      <c r="H51" s="492"/>
      <c r="I51" s="492"/>
      <c r="J51" s="492"/>
      <c r="K51" s="492"/>
      <c r="L51" s="492"/>
      <c r="M51" s="492"/>
      <c r="N51" s="492"/>
    </row>
    <row r="52" spans="1:14" x14ac:dyDescent="0.35">
      <c r="B52" s="78" t="s">
        <v>448</v>
      </c>
      <c r="C52" s="492" t="s">
        <v>741</v>
      </c>
      <c r="D52" s="492"/>
      <c r="E52" s="492"/>
      <c r="F52" s="492"/>
      <c r="G52" s="492"/>
      <c r="H52" s="492"/>
      <c r="I52" s="492"/>
      <c r="J52" s="492"/>
      <c r="K52" s="492"/>
      <c r="L52" s="492"/>
      <c r="M52" s="492"/>
      <c r="N52" s="492"/>
    </row>
    <row r="53" spans="1:14" x14ac:dyDescent="0.35">
      <c r="C53" s="492"/>
      <c r="D53" s="492"/>
      <c r="E53" s="492"/>
      <c r="F53" s="492"/>
      <c r="G53" s="492"/>
      <c r="H53" s="492"/>
      <c r="I53" s="492"/>
      <c r="J53" s="492"/>
      <c r="K53" s="492"/>
      <c r="L53" s="492"/>
      <c r="M53" s="492"/>
      <c r="N53" s="492"/>
    </row>
    <row r="54" spans="1:14" x14ac:dyDescent="0.35">
      <c r="C54" s="78"/>
      <c r="D54" s="241"/>
      <c r="E54" s="241"/>
      <c r="F54" s="241"/>
      <c r="G54" s="241"/>
      <c r="H54" s="241"/>
      <c r="I54" s="241"/>
      <c r="J54" s="241"/>
      <c r="K54" s="241"/>
      <c r="L54" s="241"/>
      <c r="M54" s="241"/>
      <c r="N54" s="241"/>
    </row>
    <row r="55" spans="1:14" x14ac:dyDescent="0.35">
      <c r="A55" s="78">
        <v>8</v>
      </c>
      <c r="B55" t="s">
        <v>742</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446</v>
      </c>
      <c r="C57" s="492" t="s">
        <v>748</v>
      </c>
      <c r="D57" s="492"/>
      <c r="E57" s="492"/>
      <c r="F57" s="492"/>
      <c r="G57" s="492"/>
      <c r="H57" s="492"/>
      <c r="I57" s="492"/>
      <c r="J57" s="492"/>
      <c r="K57" s="492"/>
      <c r="L57" s="492"/>
      <c r="M57" s="492"/>
      <c r="N57" s="492"/>
    </row>
    <row r="58" spans="1:14" x14ac:dyDescent="0.35">
      <c r="B58" s="78"/>
      <c r="C58" s="492"/>
      <c r="D58" s="492"/>
      <c r="E58" s="492"/>
      <c r="F58" s="492"/>
      <c r="G58" s="492"/>
      <c r="H58" s="492"/>
      <c r="I58" s="492"/>
      <c r="J58" s="492"/>
      <c r="K58" s="492"/>
      <c r="L58" s="492"/>
      <c r="M58" s="492"/>
      <c r="N58" s="492"/>
    </row>
    <row r="59" spans="1:14" x14ac:dyDescent="0.35">
      <c r="C59" s="492"/>
      <c r="D59" s="492"/>
      <c r="E59" s="492"/>
      <c r="F59" s="492"/>
      <c r="G59" s="492"/>
      <c r="H59" s="492"/>
      <c r="I59" s="492"/>
      <c r="J59" s="492"/>
      <c r="K59" s="492"/>
      <c r="L59" s="492"/>
      <c r="M59" s="492"/>
      <c r="N59" s="492"/>
    </row>
    <row r="60" spans="1:14" x14ac:dyDescent="0.35">
      <c r="B60" s="78" t="s">
        <v>447</v>
      </c>
      <c r="C60" s="492" t="s">
        <v>743</v>
      </c>
      <c r="D60" s="492"/>
      <c r="E60" s="492"/>
      <c r="F60" s="492"/>
      <c r="G60" s="492"/>
      <c r="H60" s="492"/>
      <c r="I60" s="492"/>
      <c r="J60" s="492"/>
      <c r="K60" s="492"/>
      <c r="L60" s="492"/>
      <c r="M60" s="492"/>
      <c r="N60" s="492"/>
    </row>
    <row r="61" spans="1:14" x14ac:dyDescent="0.35">
      <c r="B61" s="78"/>
      <c r="C61" s="492"/>
      <c r="D61" s="492"/>
      <c r="E61" s="492"/>
      <c r="F61" s="492"/>
      <c r="G61" s="492"/>
      <c r="H61" s="492"/>
      <c r="I61" s="492"/>
      <c r="J61" s="492"/>
      <c r="K61" s="492"/>
      <c r="L61" s="492"/>
      <c r="M61" s="492"/>
      <c r="N61" s="492"/>
    </row>
    <row r="62" spans="1:14" x14ac:dyDescent="0.35">
      <c r="B62" s="78"/>
      <c r="C62" s="492"/>
      <c r="D62" s="492"/>
      <c r="E62" s="492"/>
      <c r="F62" s="492"/>
      <c r="G62" s="492"/>
      <c r="H62" s="492"/>
      <c r="I62" s="492"/>
      <c r="J62" s="492"/>
      <c r="K62" s="492"/>
      <c r="L62" s="492"/>
      <c r="M62" s="492"/>
      <c r="N62" s="492"/>
    </row>
    <row r="63" spans="1:14" x14ac:dyDescent="0.35">
      <c r="C63" s="492"/>
      <c r="D63" s="492"/>
      <c r="E63" s="492"/>
      <c r="F63" s="492"/>
      <c r="G63" s="492"/>
      <c r="H63" s="492"/>
      <c r="I63" s="492"/>
      <c r="J63" s="492"/>
      <c r="K63" s="492"/>
      <c r="L63" s="492"/>
      <c r="M63" s="492"/>
      <c r="N63" s="492"/>
    </row>
    <row r="64" spans="1:14" x14ac:dyDescent="0.35">
      <c r="C64" s="78"/>
      <c r="D64" s="241"/>
      <c r="E64" s="241"/>
      <c r="F64" s="241"/>
      <c r="G64" s="241"/>
      <c r="H64" s="241"/>
      <c r="I64" s="241"/>
      <c r="J64" s="241"/>
      <c r="K64" s="241"/>
      <c r="L64" s="241"/>
      <c r="M64" s="241"/>
      <c r="N64" s="241"/>
    </row>
    <row r="65" spans="1:14" x14ac:dyDescent="0.35">
      <c r="A65" s="78">
        <v>9</v>
      </c>
      <c r="B65" t="s">
        <v>744</v>
      </c>
    </row>
    <row r="67" spans="1:14" x14ac:dyDescent="0.35">
      <c r="A67" s="78">
        <v>10</v>
      </c>
      <c r="B67" s="493" t="s">
        <v>745</v>
      </c>
      <c r="C67" s="493"/>
      <c r="D67" s="493"/>
      <c r="E67" s="493"/>
      <c r="F67" s="493"/>
      <c r="G67" s="493"/>
      <c r="H67" s="493"/>
      <c r="I67" s="493"/>
      <c r="J67" s="493"/>
      <c r="K67" s="493"/>
      <c r="L67" s="493"/>
      <c r="M67" s="493"/>
      <c r="N67" s="493"/>
    </row>
    <row r="68" spans="1:14" x14ac:dyDescent="0.35">
      <c r="B68" s="493"/>
      <c r="C68" s="493"/>
      <c r="D68" s="493"/>
      <c r="E68" s="493"/>
      <c r="F68" s="493"/>
      <c r="G68" s="493"/>
      <c r="H68" s="493"/>
      <c r="I68" s="493"/>
      <c r="J68" s="493"/>
      <c r="K68" s="493"/>
      <c r="L68" s="493"/>
      <c r="M68" s="493"/>
      <c r="N68" s="493"/>
    </row>
    <row r="69" spans="1:14" x14ac:dyDescent="0.35">
      <c r="B69" s="493"/>
      <c r="C69" s="493"/>
      <c r="D69" s="493"/>
      <c r="E69" s="493"/>
      <c r="F69" s="493"/>
      <c r="G69" s="493"/>
      <c r="H69" s="493"/>
      <c r="I69" s="493"/>
      <c r="J69" s="493"/>
      <c r="K69" s="493"/>
      <c r="L69" s="493"/>
      <c r="M69" s="493"/>
      <c r="N69" s="493"/>
    </row>
    <row r="70" spans="1:14" x14ac:dyDescent="0.35">
      <c r="B70" s="493"/>
      <c r="C70" s="493"/>
      <c r="D70" s="493"/>
      <c r="E70" s="493"/>
      <c r="F70" s="493"/>
      <c r="G70" s="493"/>
      <c r="H70" s="493"/>
      <c r="I70" s="493"/>
      <c r="J70" s="493"/>
      <c r="K70" s="493"/>
      <c r="L70" s="493"/>
      <c r="M70" s="493"/>
      <c r="N70" s="493"/>
    </row>
    <row r="71" spans="1:14" x14ac:dyDescent="0.35">
      <c r="B71" s="411"/>
      <c r="C71" s="411"/>
      <c r="D71" s="411"/>
      <c r="E71" s="411"/>
      <c r="F71" s="411"/>
      <c r="G71" s="411"/>
      <c r="H71" s="411"/>
      <c r="I71" s="411"/>
      <c r="J71" s="411"/>
      <c r="K71" s="411"/>
      <c r="L71" s="411"/>
      <c r="M71" s="411"/>
      <c r="N71" s="411"/>
    </row>
    <row r="72" spans="1:14" x14ac:dyDescent="0.35">
      <c r="A72" s="78">
        <v>11</v>
      </c>
      <c r="B72" t="s">
        <v>746</v>
      </c>
    </row>
    <row r="74" spans="1:14" x14ac:dyDescent="0.35">
      <c r="A74" s="78">
        <v>12</v>
      </c>
      <c r="B74" s="492" t="s">
        <v>747</v>
      </c>
      <c r="C74" s="492"/>
      <c r="D74" s="492"/>
      <c r="E74" s="492"/>
      <c r="F74" s="492"/>
      <c r="G74" s="492"/>
      <c r="H74" s="492"/>
      <c r="I74" s="492"/>
      <c r="J74" s="492"/>
      <c r="K74" s="492"/>
      <c r="L74" s="492"/>
      <c r="M74" s="492"/>
      <c r="N74" s="492"/>
    </row>
    <row r="75" spans="1:14" x14ac:dyDescent="0.35">
      <c r="B75" s="492"/>
      <c r="C75" s="492"/>
      <c r="D75" s="492"/>
      <c r="E75" s="492"/>
      <c r="F75" s="492"/>
      <c r="G75" s="492"/>
      <c r="H75" s="492"/>
      <c r="I75" s="492"/>
      <c r="J75" s="492"/>
      <c r="K75" s="492"/>
      <c r="L75" s="492"/>
      <c r="M75" s="492"/>
      <c r="N75" s="492"/>
    </row>
    <row r="76" spans="1:14" x14ac:dyDescent="0.35">
      <c r="B76" s="492"/>
      <c r="C76" s="492"/>
      <c r="D76" s="492"/>
      <c r="E76" s="492"/>
      <c r="F76" s="492"/>
      <c r="G76" s="492"/>
      <c r="H76" s="492"/>
      <c r="I76" s="492"/>
      <c r="J76" s="492"/>
      <c r="K76" s="492"/>
      <c r="L76" s="492"/>
      <c r="M76" s="492"/>
      <c r="N76" s="492"/>
    </row>
    <row r="78" spans="1:14" x14ac:dyDescent="0.35">
      <c r="B78" s="78" t="s">
        <v>446</v>
      </c>
      <c r="D78" s="493" t="s">
        <v>915</v>
      </c>
      <c r="E78" s="493"/>
      <c r="F78" s="493"/>
      <c r="G78" s="493"/>
      <c r="H78" s="493"/>
      <c r="I78" s="493"/>
      <c r="J78" s="493"/>
      <c r="K78" s="493"/>
      <c r="L78" s="493"/>
      <c r="M78" s="493"/>
      <c r="N78" s="493"/>
    </row>
    <row r="79" spans="1:14" x14ac:dyDescent="0.35">
      <c r="D79" s="493"/>
      <c r="E79" s="493"/>
      <c r="F79" s="493"/>
      <c r="G79" s="493"/>
      <c r="H79" s="493"/>
      <c r="I79" s="493"/>
      <c r="J79" s="493"/>
      <c r="K79" s="493"/>
      <c r="L79" s="493"/>
      <c r="M79" s="493"/>
      <c r="N79" s="493"/>
    </row>
    <row r="81" spans="2:14" x14ac:dyDescent="0.35">
      <c r="B81" s="78" t="s">
        <v>447</v>
      </c>
      <c r="D81" s="493" t="s">
        <v>916</v>
      </c>
      <c r="E81" s="493"/>
      <c r="F81" s="493"/>
      <c r="G81" s="493"/>
      <c r="H81" s="493"/>
      <c r="I81" s="493"/>
      <c r="J81" s="493"/>
      <c r="K81" s="493"/>
      <c r="L81" s="493"/>
      <c r="M81" s="493"/>
      <c r="N81" s="493"/>
    </row>
    <row r="82" spans="2:14" x14ac:dyDescent="0.35">
      <c r="B82" s="78"/>
      <c r="D82" s="493"/>
      <c r="E82" s="493"/>
      <c r="F82" s="493"/>
      <c r="G82" s="493"/>
      <c r="H82" s="493"/>
      <c r="I82" s="493"/>
      <c r="J82" s="493"/>
      <c r="K82" s="493"/>
      <c r="L82" s="493"/>
      <c r="M82" s="493"/>
      <c r="N82" s="493"/>
    </row>
    <row r="83" spans="2:14" x14ac:dyDescent="0.35">
      <c r="D83" s="493"/>
      <c r="E83" s="493"/>
      <c r="F83" s="493"/>
      <c r="G83" s="493"/>
      <c r="H83" s="493"/>
      <c r="I83" s="493"/>
      <c r="J83" s="493"/>
      <c r="K83" s="493"/>
      <c r="L83" s="493"/>
      <c r="M83" s="493"/>
      <c r="N83" s="493"/>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770</v>
      </c>
      <c r="B1" s="3"/>
    </row>
    <row r="2" spans="1:27" ht="21" x14ac:dyDescent="0.5">
      <c r="A2" s="2" t="s">
        <v>771</v>
      </c>
      <c r="B2" s="2"/>
    </row>
    <row r="3" spans="1:27" ht="21" x14ac:dyDescent="0.5">
      <c r="A3" s="242" t="s">
        <v>494</v>
      </c>
      <c r="B3" s="2"/>
    </row>
    <row r="4" spans="1:27" ht="21" x14ac:dyDescent="0.5">
      <c r="A4" s="243" t="s">
        <v>496</v>
      </c>
    </row>
    <row r="5" spans="1:27" x14ac:dyDescent="0.35">
      <c r="AA5" s="244" t="s">
        <v>495</v>
      </c>
    </row>
    <row r="6" spans="1:27" x14ac:dyDescent="0.35">
      <c r="A6" s="1" t="s">
        <v>772</v>
      </c>
      <c r="B6" s="1"/>
      <c r="C6" s="245" t="s">
        <v>932</v>
      </c>
      <c r="AA6" s="244" t="s">
        <v>496</v>
      </c>
    </row>
    <row r="7" spans="1:27" x14ac:dyDescent="0.35">
      <c r="A7" s="1" t="s">
        <v>0</v>
      </c>
      <c r="B7" s="1"/>
      <c r="C7" s="35">
        <v>45473</v>
      </c>
    </row>
    <row r="10" spans="1:27" x14ac:dyDescent="0.35">
      <c r="C10" t="s">
        <v>497</v>
      </c>
      <c r="D10" s="246" t="s">
        <v>498</v>
      </c>
      <c r="E10" s="246" t="s">
        <v>499</v>
      </c>
      <c r="F10" s="246" t="s">
        <v>500</v>
      </c>
    </row>
    <row r="11" spans="1:27" x14ac:dyDescent="0.35">
      <c r="A11" s="247" t="s">
        <v>501</v>
      </c>
      <c r="D11" s="78"/>
      <c r="E11" s="78"/>
      <c r="F11" s="78"/>
    </row>
    <row r="12" spans="1:27" x14ac:dyDescent="0.35">
      <c r="A12" t="s">
        <v>502</v>
      </c>
      <c r="D12" s="248">
        <f>'Adjusted Schedule 1'!J96</f>
        <v>61644011.769999996</v>
      </c>
      <c r="E12" s="248">
        <f>'As-Filed Schedule 1'!J95</f>
        <v>61644011.280000001</v>
      </c>
      <c r="F12" s="248">
        <f t="shared" ref="F12:F32" si="0">D12-E12</f>
        <v>0.48999999463558197</v>
      </c>
    </row>
    <row r="13" spans="1:27" x14ac:dyDescent="0.35">
      <c r="A13" t="s">
        <v>503</v>
      </c>
      <c r="D13" s="248">
        <f>'Adjusted Schedule 1A'!H26</f>
        <v>194921.30000000005</v>
      </c>
      <c r="E13" s="248">
        <f>'As-Filed Schedule 1A'!H25</f>
        <v>506503.81000000006</v>
      </c>
      <c r="F13" s="248">
        <f t="shared" si="0"/>
        <v>-311582.51</v>
      </c>
    </row>
    <row r="14" spans="1:27" x14ac:dyDescent="0.35">
      <c r="A14" t="s">
        <v>504</v>
      </c>
      <c r="D14" s="248">
        <f>'Adjusted Schedule 1C'!F26</f>
        <v>0</v>
      </c>
      <c r="E14" s="248">
        <f>'As-Filed Schedule 1C'!F25</f>
        <v>0</v>
      </c>
      <c r="F14" s="248">
        <f t="shared" si="0"/>
        <v>0</v>
      </c>
    </row>
    <row r="15" spans="1:27" x14ac:dyDescent="0.35">
      <c r="A15" t="s">
        <v>505</v>
      </c>
      <c r="D15" s="248">
        <f>'Adjusted Schedule 2A'!F76</f>
        <v>3319067.0820636656</v>
      </c>
      <c r="E15" s="248">
        <f>'As-Filed Schedule 2A'!F75</f>
        <v>3310214.7749982686</v>
      </c>
      <c r="F15" s="248">
        <f t="shared" si="0"/>
        <v>8852.3070653970353</v>
      </c>
    </row>
    <row r="16" spans="1:27" x14ac:dyDescent="0.35">
      <c r="A16" t="s">
        <v>506</v>
      </c>
      <c r="D16" s="248">
        <f>'Adjusted Schedule 2B'!F76</f>
        <v>75716.155022918829</v>
      </c>
      <c r="E16" s="248">
        <f>'As-Filed Schedule 2B'!F75</f>
        <v>75514.211935448198</v>
      </c>
      <c r="F16" s="248">
        <f t="shared" si="0"/>
        <v>201.94308747063042</v>
      </c>
    </row>
    <row r="17" spans="1:6" x14ac:dyDescent="0.35">
      <c r="A17" t="s">
        <v>507</v>
      </c>
      <c r="D17" s="248">
        <f>'Adjusted Schedule 2C'!F76</f>
        <v>16857301.969809271</v>
      </c>
      <c r="E17" s="248">
        <f>'As-Filed Schedule 2C'!F75</f>
        <v>16843687.463330679</v>
      </c>
      <c r="F17" s="248">
        <f t="shared" si="0"/>
        <v>13614.506478592753</v>
      </c>
    </row>
    <row r="18" spans="1:6" x14ac:dyDescent="0.35">
      <c r="A18" t="s">
        <v>508</v>
      </c>
      <c r="D18" s="248">
        <f>'Adjusted Schedule 2D'!$F$76</f>
        <v>1110469.7408768064</v>
      </c>
      <c r="E18" s="248">
        <f>'As-Filed Schedule 2D'!$F$75</f>
        <v>1107507.9992518192</v>
      </c>
      <c r="F18" s="248">
        <f>D18-E18</f>
        <v>2961.7416249872185</v>
      </c>
    </row>
    <row r="19" spans="1:6" hidden="1" x14ac:dyDescent="0.35">
      <c r="A19" t="s">
        <v>912</v>
      </c>
      <c r="D19" s="248">
        <f>'Adjusted Schedule 2E'!$F$76</f>
        <v>0</v>
      </c>
      <c r="E19" s="248">
        <f>'As-Filed Schedule 2E'!$F$75</f>
        <v>0</v>
      </c>
      <c r="F19" s="248">
        <f t="shared" ref="F19:F27" si="1">D19-E19</f>
        <v>0</v>
      </c>
    </row>
    <row r="20" spans="1:6" hidden="1" x14ac:dyDescent="0.35">
      <c r="A20" t="s">
        <v>911</v>
      </c>
      <c r="D20" s="248">
        <f>'Adjusted Schedule 2F'!$F$76</f>
        <v>0</v>
      </c>
      <c r="E20" s="248">
        <f>'As-Filed Schedule 2F'!$F$75</f>
        <v>0</v>
      </c>
      <c r="F20" s="248">
        <f t="shared" si="1"/>
        <v>0</v>
      </c>
    </row>
    <row r="21" spans="1:6" hidden="1" x14ac:dyDescent="0.35">
      <c r="A21" t="s">
        <v>910</v>
      </c>
      <c r="D21" s="248">
        <f>'Adjusted Schedule 2G'!$F$76</f>
        <v>0</v>
      </c>
      <c r="E21" s="248">
        <f>'As-Filed Schedule 2G'!$F$75</f>
        <v>0</v>
      </c>
      <c r="F21" s="248">
        <f t="shared" si="1"/>
        <v>0</v>
      </c>
    </row>
    <row r="22" spans="1:6" hidden="1" x14ac:dyDescent="0.35">
      <c r="A22" t="s">
        <v>909</v>
      </c>
      <c r="D22" s="248">
        <f>'Adjusted Schedule 2H'!$F$76</f>
        <v>0</v>
      </c>
      <c r="E22" s="248">
        <f>'As-Filed Schedule 2H'!$F$75</f>
        <v>0</v>
      </c>
      <c r="F22" s="248">
        <f t="shared" si="1"/>
        <v>0</v>
      </c>
    </row>
    <row r="23" spans="1:6" hidden="1" x14ac:dyDescent="0.35">
      <c r="A23" t="s">
        <v>908</v>
      </c>
      <c r="D23" s="248">
        <f>'Adjusted Schedule 2I'!$F$76</f>
        <v>0</v>
      </c>
      <c r="E23" s="248">
        <f>'As-Filed Schedule 2I'!$F$75</f>
        <v>0</v>
      </c>
      <c r="F23" s="248">
        <f t="shared" si="1"/>
        <v>0</v>
      </c>
    </row>
    <row r="24" spans="1:6" hidden="1" x14ac:dyDescent="0.35">
      <c r="A24" t="s">
        <v>907</v>
      </c>
      <c r="D24" s="248">
        <f>'Adjusted Schedule 2J'!$F$76</f>
        <v>0</v>
      </c>
      <c r="E24" s="248">
        <f>'As-Filed Schedule 2J'!$F$75</f>
        <v>0</v>
      </c>
      <c r="F24" s="248">
        <f t="shared" si="1"/>
        <v>0</v>
      </c>
    </row>
    <row r="25" spans="1:6" hidden="1" x14ac:dyDescent="0.35">
      <c r="A25" t="s">
        <v>906</v>
      </c>
      <c r="D25" s="248">
        <f>'Adjusted Schedule 2K'!$F$76</f>
        <v>0</v>
      </c>
      <c r="E25" s="248">
        <f>'As-Filed Schedule 2K'!$F$75</f>
        <v>0</v>
      </c>
      <c r="F25" s="248">
        <f t="shared" si="1"/>
        <v>0</v>
      </c>
    </row>
    <row r="26" spans="1:6" hidden="1" x14ac:dyDescent="0.35">
      <c r="A26" t="s">
        <v>905</v>
      </c>
      <c r="D26" s="248">
        <f>'Adjusted Schedule 2L'!$F$76</f>
        <v>0</v>
      </c>
      <c r="E26" s="248">
        <f>'As-Filed Schedule 2L'!$F$75</f>
        <v>0</v>
      </c>
      <c r="F26" s="248">
        <f t="shared" si="1"/>
        <v>0</v>
      </c>
    </row>
    <row r="27" spans="1:6" ht="27.75" hidden="1" customHeight="1" x14ac:dyDescent="0.35">
      <c r="A27" s="495" t="s">
        <v>904</v>
      </c>
      <c r="B27" s="495"/>
      <c r="C27" s="495"/>
      <c r="D27" s="248">
        <f>'Adjusted Schedule 2M'!$F$76</f>
        <v>0</v>
      </c>
      <c r="E27" s="248">
        <f>'As-Filed Schedule 2M'!$F$75</f>
        <v>0</v>
      </c>
      <c r="F27" s="248">
        <f t="shared" si="1"/>
        <v>0</v>
      </c>
    </row>
    <row r="28" spans="1:6" x14ac:dyDescent="0.35">
      <c r="A28" s="100" t="s">
        <v>509</v>
      </c>
      <c r="D28" s="13">
        <f>'Adjusted Schedule 3'!K168</f>
        <v>26942</v>
      </c>
      <c r="E28" s="13">
        <f>'As-Filed Schedule 3'!K167</f>
        <v>23407</v>
      </c>
      <c r="F28" s="13">
        <f t="shared" si="0"/>
        <v>3535</v>
      </c>
    </row>
    <row r="29" spans="1:6" x14ac:dyDescent="0.35">
      <c r="A29" s="100" t="s">
        <v>510</v>
      </c>
      <c r="D29" s="248">
        <f>'Adjusted Schedule 3'!M168</f>
        <v>38669679.090196006</v>
      </c>
      <c r="E29" s="248">
        <f>'As-Filed Schedule 3'!M167</f>
        <v>33565050</v>
      </c>
      <c r="F29" s="248">
        <f t="shared" si="0"/>
        <v>5104629.090196006</v>
      </c>
    </row>
    <row r="30" spans="1:6" x14ac:dyDescent="0.35">
      <c r="A30" t="s">
        <v>511</v>
      </c>
      <c r="D30" s="13">
        <f>'Adjusted Schedule 4'!D198</f>
        <v>73641</v>
      </c>
      <c r="E30" s="13">
        <f>'As-Filed Schedule 4'!D197</f>
        <v>73641</v>
      </c>
      <c r="F30" s="13">
        <f t="shared" si="0"/>
        <v>0</v>
      </c>
    </row>
    <row r="31" spans="1:6" x14ac:dyDescent="0.35">
      <c r="A31" t="s">
        <v>512</v>
      </c>
      <c r="D31" s="13">
        <f>'Adjusted Schedule 4'!H198</f>
        <v>121444</v>
      </c>
      <c r="E31" s="13">
        <f>'As-Filed Schedule 4'!H197</f>
        <v>121444</v>
      </c>
      <c r="F31" s="13">
        <f t="shared" si="0"/>
        <v>0</v>
      </c>
    </row>
    <row r="32" spans="1:6" x14ac:dyDescent="0.35">
      <c r="A32" t="s">
        <v>926</v>
      </c>
      <c r="D32" s="455">
        <f>'Adjusted Schedule 4'!K9</f>
        <v>73843</v>
      </c>
      <c r="E32" s="455">
        <f>'As-Filed Schedule 4'!K8</f>
        <v>0</v>
      </c>
      <c r="F32" s="13">
        <f t="shared" si="0"/>
        <v>73843</v>
      </c>
    </row>
    <row r="33" spans="1:6" x14ac:dyDescent="0.35">
      <c r="D33" s="249"/>
      <c r="E33" s="249"/>
      <c r="F33" s="249"/>
    </row>
    <row r="34" spans="1:6" x14ac:dyDescent="0.35">
      <c r="A34" s="247" t="s">
        <v>513</v>
      </c>
      <c r="D34" s="249"/>
      <c r="E34" s="249"/>
      <c r="F34" s="249"/>
    </row>
    <row r="35" spans="1:6" x14ac:dyDescent="0.35">
      <c r="A35" t="s">
        <v>514</v>
      </c>
      <c r="D35" s="248">
        <f>'Adjusted Schedule 1'!F96</f>
        <v>21287302.233702369</v>
      </c>
      <c r="E35" s="248">
        <f>'As-Filed Schedule 1'!F95</f>
        <v>21134360.25</v>
      </c>
      <c r="F35" s="248">
        <f>D35-E35</f>
        <v>152941.98370236903</v>
      </c>
    </row>
    <row r="36" spans="1:6" x14ac:dyDescent="0.35">
      <c r="A36" s="100" t="s">
        <v>515</v>
      </c>
      <c r="D36" s="248">
        <f>'Adjusted Schedule 4'!D10</f>
        <v>0</v>
      </c>
      <c r="E36" s="248">
        <f>'As-Filed Schedule 4'!D9</f>
        <v>0</v>
      </c>
      <c r="F36" s="248">
        <f>D36-E36</f>
        <v>0</v>
      </c>
    </row>
    <row r="37" spans="1:6" x14ac:dyDescent="0.35">
      <c r="A37" t="s">
        <v>516</v>
      </c>
      <c r="D37" s="13">
        <f>'Adjusted Schedule 4'!F198</f>
        <v>151578.33999999997</v>
      </c>
      <c r="E37" s="13">
        <f>'As-Filed Schedule 4'!F8</f>
        <v>151578.33999999997</v>
      </c>
      <c r="F37" s="13">
        <f>D37-E37</f>
        <v>0</v>
      </c>
    </row>
    <row r="38" spans="1:6" x14ac:dyDescent="0.35">
      <c r="A38" t="s">
        <v>517</v>
      </c>
      <c r="D38" s="250">
        <f>'Adjusted Schedule 4'!J198</f>
        <v>125369.76999999995</v>
      </c>
      <c r="E38" s="250">
        <f>'As-Filed Schedule 4'!F9</f>
        <v>125369.76999999995</v>
      </c>
      <c r="F38" s="250">
        <f>D38-E38</f>
        <v>0</v>
      </c>
    </row>
    <row r="39" spans="1:6" s="1" customFormat="1" x14ac:dyDescent="0.35">
      <c r="A39" s="1" t="s">
        <v>518</v>
      </c>
      <c r="D39" s="251">
        <f>'Adjusted Schedule 4'!F13</f>
        <v>76.863865341786862</v>
      </c>
      <c r="E39" s="251">
        <f>'As-Filed Schedule 4'!F12</f>
        <v>76.311624766097907</v>
      </c>
      <c r="F39" s="252">
        <f>D39-E39</f>
        <v>0.55224057568895546</v>
      </c>
    </row>
    <row r="40" spans="1:6" s="1" customFormat="1" x14ac:dyDescent="0.35">
      <c r="D40" s="251"/>
      <c r="E40" s="251"/>
      <c r="F40" s="252"/>
    </row>
    <row r="41" spans="1:6" s="1" customFormat="1" x14ac:dyDescent="0.35">
      <c r="A41" s="247" t="s">
        <v>917</v>
      </c>
      <c r="D41" s="251"/>
      <c r="E41" s="251"/>
      <c r="F41" s="252"/>
    </row>
    <row r="42" spans="1:6" x14ac:dyDescent="0.35">
      <c r="A42" t="s">
        <v>514</v>
      </c>
      <c r="D42" s="248">
        <f>'Adjusted Schedule 1'!F96</f>
        <v>21287302.233702369</v>
      </c>
      <c r="E42" s="248">
        <f>'As-Filed Schedule 1'!F95</f>
        <v>21134360.25</v>
      </c>
      <c r="F42" s="248">
        <f>D42-E42</f>
        <v>152941.98370236903</v>
      </c>
    </row>
    <row r="43" spans="1:6" x14ac:dyDescent="0.35">
      <c r="A43" s="100" t="s">
        <v>918</v>
      </c>
      <c r="D43" s="248">
        <f>'Adjusted Schedule 4'!I10</f>
        <v>0</v>
      </c>
      <c r="E43" s="248">
        <f>'As-Filed Schedule 4'!I9</f>
        <v>0</v>
      </c>
      <c r="F43" s="248">
        <f>D43-E43</f>
        <v>0</v>
      </c>
    </row>
    <row r="44" spans="1:6" x14ac:dyDescent="0.35">
      <c r="A44" t="s">
        <v>919</v>
      </c>
      <c r="D44" s="250">
        <f>'Adjusted Schedule 4'!K9</f>
        <v>73843</v>
      </c>
      <c r="E44" s="250">
        <f>'As-Filed Schedule 4'!K8</f>
        <v>0</v>
      </c>
      <c r="F44" s="250">
        <f>D44-E44</f>
        <v>73843</v>
      </c>
    </row>
    <row r="45" spans="1:6" s="1" customFormat="1" x14ac:dyDescent="0.35">
      <c r="A45" s="1" t="s">
        <v>920</v>
      </c>
      <c r="D45" s="251">
        <f>'Adjusted Schedule 4'!K13</f>
        <v>288.27786294844969</v>
      </c>
      <c r="E45" s="487" t="str">
        <f>IFERROR('As-Filed Schedule 4'!K12,"-     ")</f>
        <v xml:space="preserve">-     </v>
      </c>
      <c r="F45" s="252">
        <f>D45-0</f>
        <v>288.27786294844969</v>
      </c>
    </row>
    <row r="46" spans="1:6" s="1" customFormat="1" x14ac:dyDescent="0.35">
      <c r="D46" s="251"/>
      <c r="E46" s="251"/>
      <c r="F46" s="252"/>
    </row>
    <row r="47" spans="1:6" x14ac:dyDescent="0.35">
      <c r="A47" s="247" t="s">
        <v>519</v>
      </c>
    </row>
    <row r="48" spans="1:6" x14ac:dyDescent="0.35">
      <c r="A48" s="247"/>
    </row>
    <row r="49" spans="1:6" x14ac:dyDescent="0.35">
      <c r="A49" s="254" t="s">
        <v>520</v>
      </c>
      <c r="B49" s="494" t="str">
        <f>'Adjusted Schedule 3'!B18:C18</f>
        <v>Residential Facilities</v>
      </c>
      <c r="C49" s="494"/>
    </row>
    <row r="50" spans="1:6" x14ac:dyDescent="0.35">
      <c r="A50" s="254"/>
      <c r="B50" t="str">
        <f>IF($B$49="N/A","","Census Days")</f>
        <v>Census Days</v>
      </c>
      <c r="D50" s="13">
        <f>'Adjusted Schedule 3'!K18</f>
        <v>12938</v>
      </c>
      <c r="E50" s="13">
        <f>'As-Filed Schedule 3'!K17</f>
        <v>9785</v>
      </c>
      <c r="F50" s="13">
        <f>D50-E50</f>
        <v>3153</v>
      </c>
    </row>
    <row r="51" spans="1:6" x14ac:dyDescent="0.35">
      <c r="A51" s="254"/>
      <c r="B51" t="str">
        <f>IF($B$49="N/A","","Total Expense")</f>
        <v>Total Expense</v>
      </c>
      <c r="D51" s="248">
        <f>'Adjusted Schedule 3'!M18</f>
        <v>6628817.2220329689</v>
      </c>
      <c r="E51" s="248">
        <f>'As-Filed Schedule 3'!M17</f>
        <v>5752445</v>
      </c>
      <c r="F51" s="248">
        <f t="shared" ref="F51:F52" si="2">D51-E51</f>
        <v>876372.22203296889</v>
      </c>
    </row>
    <row r="52" spans="1:6" x14ac:dyDescent="0.35">
      <c r="A52" s="254"/>
      <c r="B52" t="str">
        <f>IF($B$49="N/A","","Room and Board Expense")</f>
        <v>Room and Board Expense</v>
      </c>
      <c r="D52" s="248">
        <f>'Adjusted Schedule 3'!O18</f>
        <v>680170.82298516529</v>
      </c>
      <c r="E52" s="248">
        <f>'As-Filed Schedule 3'!O17</f>
        <v>1156765</v>
      </c>
      <c r="F52" s="248">
        <f t="shared" si="2"/>
        <v>-476594.17701483471</v>
      </c>
    </row>
    <row r="53" spans="1:6" x14ac:dyDescent="0.35">
      <c r="A53" s="254"/>
      <c r="B53" t="str">
        <f>IF($B$49="N/A","","Services Expense")</f>
        <v>Services Expense</v>
      </c>
      <c r="D53" s="255">
        <f>'Adjusted Schedule 3'!Q18</f>
        <v>5948646.3990478031</v>
      </c>
      <c r="E53" s="255">
        <f>'As-Filed Schedule 3'!Q17</f>
        <v>4595680</v>
      </c>
      <c r="F53" s="255">
        <f>IF(E53="","",D53-E53)</f>
        <v>1352966.3990478031</v>
      </c>
    </row>
    <row r="54" spans="1:6" s="1" customFormat="1" x14ac:dyDescent="0.35">
      <c r="A54" s="254"/>
      <c r="B54" s="1" t="str">
        <f>IF($B$49="N/A","","Facility Total Cost Per Day")</f>
        <v>Facility Total Cost Per Day</v>
      </c>
      <c r="D54" s="251">
        <f>'Adjusted Schedule 3'!N18</f>
        <v>512.35254459985845</v>
      </c>
      <c r="E54" s="251">
        <f>'As-Filed Schedule 3'!N17</f>
        <v>587.88400613183444</v>
      </c>
      <c r="F54" s="251">
        <f>IF(E54="","",D54-E54)</f>
        <v>-75.531461531975992</v>
      </c>
    </row>
    <row r="55" spans="1:6" x14ac:dyDescent="0.35">
      <c r="A55" s="254"/>
      <c r="B55" t="str">
        <f>IF($B$49="N/A","","Room and Board Cost Per Day")</f>
        <v>Room and Board Cost Per Day</v>
      </c>
      <c r="D55" s="253">
        <f>'Adjusted Schedule 3'!P18</f>
        <v>52.571558431377746</v>
      </c>
      <c r="E55" s="253">
        <f>'As-Filed Schedule 3'!P17</f>
        <v>118.21819110884006</v>
      </c>
      <c r="F55" s="253">
        <f>IF(E55="","",D55-E55)</f>
        <v>-65.646632677462321</v>
      </c>
    </row>
    <row r="56" spans="1:6" x14ac:dyDescent="0.35">
      <c r="A56" s="254"/>
      <c r="B56" t="str">
        <f>IF($B$49="N/A","","Services Cost Per Day")</f>
        <v>Services Cost Per Day</v>
      </c>
      <c r="D56" s="253">
        <f>'Adjusted Schedule 3'!R18</f>
        <v>459.78098616848069</v>
      </c>
      <c r="E56" s="253">
        <f>'As-Filed Schedule 3'!R17</f>
        <v>469.66581502299437</v>
      </c>
      <c r="F56" s="253">
        <f>IF(E56="","",D56-E56)</f>
        <v>-9.8848288545136711</v>
      </c>
    </row>
    <row r="57" spans="1:6" x14ac:dyDescent="0.35">
      <c r="A57" s="254"/>
    </row>
    <row r="58" spans="1:6" x14ac:dyDescent="0.35">
      <c r="A58" s="254" t="s">
        <v>521</v>
      </c>
      <c r="B58" s="494" t="str">
        <f>'Adjusted Schedule 3'!B23:C23</f>
        <v>Withdrawal Management</v>
      </c>
      <c r="C58" s="494"/>
    </row>
    <row r="59" spans="1:6" x14ac:dyDescent="0.35">
      <c r="A59" s="254"/>
      <c r="B59" t="str">
        <f>IF($B$49="N/A","","Census Days")</f>
        <v>Census Days</v>
      </c>
      <c r="D59" s="13">
        <f>'Adjusted Schedule 3'!K23</f>
        <v>3505</v>
      </c>
      <c r="E59" s="13">
        <f>'As-Filed Schedule 3'!K22</f>
        <v>3124</v>
      </c>
      <c r="F59" s="13">
        <f>D59-E59</f>
        <v>381</v>
      </c>
    </row>
    <row r="60" spans="1:6" x14ac:dyDescent="0.35">
      <c r="A60" s="254"/>
      <c r="B60" t="str">
        <f>IF($B$49="N/A","","Total Expense")</f>
        <v>Total Expense</v>
      </c>
      <c r="D60" s="248">
        <f>'Adjusted Schedule 3'!M23</f>
        <v>3710354.7318541314</v>
      </c>
      <c r="E60" s="248">
        <f>'As-Filed Schedule 3'!M22</f>
        <v>3219822</v>
      </c>
      <c r="F60" s="248">
        <f t="shared" ref="F60:F61" si="3">D60-E60</f>
        <v>490532.73185413145</v>
      </c>
    </row>
    <row r="61" spans="1:6" x14ac:dyDescent="0.35">
      <c r="A61" s="254"/>
      <c r="B61" t="str">
        <f>IF($B$49="N/A","","Room and Board Expense")</f>
        <v>Room and Board Expense</v>
      </c>
      <c r="D61" s="248">
        <f>'Adjusted Schedule 3'!O23</f>
        <v>756267.65443505091</v>
      </c>
      <c r="E61" s="248">
        <f>'As-Filed Schedule 3'!O22</f>
        <v>371438</v>
      </c>
      <c r="F61" s="248">
        <f t="shared" si="3"/>
        <v>384829.65443505091</v>
      </c>
    </row>
    <row r="62" spans="1:6" x14ac:dyDescent="0.35">
      <c r="A62" s="254"/>
      <c r="B62" t="str">
        <f>IF($B$49="N/A","","Services Expense")</f>
        <v>Services Expense</v>
      </c>
      <c r="D62" s="255">
        <f>'Adjusted Schedule 3'!Q23</f>
        <v>2954087.0774190808</v>
      </c>
      <c r="E62" s="255">
        <f>'As-Filed Schedule 3'!Q22</f>
        <v>2848384</v>
      </c>
      <c r="F62" s="255">
        <f>IF(E62="","",D62-E62)</f>
        <v>105703.07741908077</v>
      </c>
    </row>
    <row r="63" spans="1:6" s="1" customFormat="1" x14ac:dyDescent="0.35">
      <c r="A63" s="254"/>
      <c r="B63" s="1" t="str">
        <f>IF($B$49="N/A","","Facility Total Cost Per Day")</f>
        <v>Facility Total Cost Per Day</v>
      </c>
      <c r="D63" s="251">
        <f>'Adjusted Schedule 3'!N23</f>
        <v>1058.5890818414071</v>
      </c>
      <c r="E63" s="251">
        <f>'As-Filed Schedule 3'!N22</f>
        <v>1030.6728553137004</v>
      </c>
      <c r="F63" s="251">
        <f t="shared" ref="F63:F65" si="4">IF(E63="","",D63-E63)</f>
        <v>27.916226527706613</v>
      </c>
    </row>
    <row r="64" spans="1:6" x14ac:dyDescent="0.35">
      <c r="A64" s="254"/>
      <c r="B64" t="str">
        <f>IF($B$49="N/A","","Room and Board Cost Per Day")</f>
        <v>Room and Board Cost Per Day</v>
      </c>
      <c r="D64" s="253">
        <f>'Adjusted Schedule 3'!P23</f>
        <v>215.76823236378058</v>
      </c>
      <c r="E64" s="253">
        <f>'As-Filed Schedule 3'!P22</f>
        <v>118.89820742637644</v>
      </c>
      <c r="F64" s="253">
        <f t="shared" si="4"/>
        <v>96.870024937404139</v>
      </c>
    </row>
    <row r="65" spans="1:6" x14ac:dyDescent="0.35">
      <c r="A65" s="254"/>
      <c r="B65" t="str">
        <f>IF($B$49="N/A","","Services Cost Per Day")</f>
        <v>Services Cost Per Day</v>
      </c>
      <c r="D65" s="253">
        <f>'Adjusted Schedule 3'!R23</f>
        <v>842.82084947762644</v>
      </c>
      <c r="E65" s="253">
        <f>'As-Filed Schedule 3'!R22</f>
        <v>911.77464788732391</v>
      </c>
      <c r="F65" s="253">
        <f t="shared" si="4"/>
        <v>-68.95379840969747</v>
      </c>
    </row>
    <row r="66" spans="1:6" x14ac:dyDescent="0.35">
      <c r="A66" s="254"/>
    </row>
    <row r="67" spans="1:6" x14ac:dyDescent="0.35">
      <c r="A67" s="254" t="s">
        <v>522</v>
      </c>
      <c r="B67" s="494" t="str">
        <f>'Adjusted Schedule 3'!B28:C28</f>
        <v>West Springs Hospital</v>
      </c>
      <c r="C67" s="494"/>
    </row>
    <row r="68" spans="1:6" x14ac:dyDescent="0.35">
      <c r="A68" s="254"/>
      <c r="B68" t="str">
        <f>IF($B$49="N/A","","Census Days")</f>
        <v>Census Days</v>
      </c>
      <c r="D68" s="13">
        <f>'Adjusted Schedule 3'!K28</f>
        <v>10499</v>
      </c>
      <c r="E68" s="13">
        <f>'As-Filed Schedule 3'!K27</f>
        <v>10498</v>
      </c>
      <c r="F68" s="13">
        <f>D68-E68</f>
        <v>1</v>
      </c>
    </row>
    <row r="69" spans="1:6" x14ac:dyDescent="0.35">
      <c r="A69" s="254"/>
      <c r="B69" t="str">
        <f>IF($B$49="N/A","","Total Expense")</f>
        <v>Total Expense</v>
      </c>
      <c r="D69" s="248">
        <f>'Adjusted Schedule 3'!M28</f>
        <v>28330507.136308901</v>
      </c>
      <c r="E69" s="248">
        <f>'As-Filed Schedule 3'!M27</f>
        <v>24592783</v>
      </c>
      <c r="F69" s="248">
        <f t="shared" ref="F69:F70" si="5">D69-E69</f>
        <v>3737724.136308901</v>
      </c>
    </row>
    <row r="70" spans="1:6" x14ac:dyDescent="0.35">
      <c r="A70" s="254"/>
      <c r="B70" t="str">
        <f>IF($B$49="N/A","","Room and Board Expense")</f>
        <v>Room and Board Expense</v>
      </c>
      <c r="D70" s="248">
        <f>'Adjusted Schedule 3'!O28</f>
        <v>3456706</v>
      </c>
      <c r="E70" s="248">
        <f>'As-Filed Schedule 3'!O27</f>
        <v>2056778</v>
      </c>
      <c r="F70" s="248">
        <f t="shared" si="5"/>
        <v>1399928</v>
      </c>
    </row>
    <row r="71" spans="1:6" x14ac:dyDescent="0.35">
      <c r="A71" s="254"/>
      <c r="B71" t="str">
        <f>IF($B$49="N/A","","Services Expense")</f>
        <v>Services Expense</v>
      </c>
      <c r="D71" s="255">
        <f>'Adjusted Schedule 3'!Q28</f>
        <v>24873801.136308901</v>
      </c>
      <c r="E71" s="255">
        <f>'As-Filed Schedule 3'!Q27</f>
        <v>22536005</v>
      </c>
      <c r="F71" s="255">
        <f>IF(E71="","",D71-E71)</f>
        <v>2337796.136308901</v>
      </c>
    </row>
    <row r="72" spans="1:6" s="1" customFormat="1" x14ac:dyDescent="0.35">
      <c r="A72" s="254"/>
      <c r="B72" s="1" t="str">
        <f>IF($B$49="N/A","","Facility Total Cost Per Day")</f>
        <v>Facility Total Cost Per Day</v>
      </c>
      <c r="D72" s="251">
        <f>'Adjusted Schedule 3'!N28</f>
        <v>2698.4005273177349</v>
      </c>
      <c r="E72" s="251">
        <f>'As-Filed Schedule 3'!N27</f>
        <v>2342.6160220994475</v>
      </c>
      <c r="F72" s="251">
        <f t="shared" ref="F72:F74" si="6">IF(E72="","",D72-E72)</f>
        <v>355.78450521828745</v>
      </c>
    </row>
    <row r="73" spans="1:6" x14ac:dyDescent="0.35">
      <c r="A73" s="254"/>
      <c r="B73" t="str">
        <f>IF($B$49="N/A","","Room and Board Cost Per Day")</f>
        <v>Room and Board Cost Per Day</v>
      </c>
      <c r="D73" s="253">
        <f>'Adjusted Schedule 3'!P28</f>
        <v>329.2414515668159</v>
      </c>
      <c r="E73" s="253">
        <f>'As-Filed Schedule 3'!P27</f>
        <v>195.92093732139455</v>
      </c>
      <c r="F73" s="253">
        <f t="shared" si="6"/>
        <v>133.32051424542135</v>
      </c>
    </row>
    <row r="74" spans="1:6" x14ac:dyDescent="0.35">
      <c r="A74" s="254"/>
      <c r="B74" t="str">
        <f>IF($B$49="N/A","","Services Cost Per Day")</f>
        <v>Services Cost Per Day</v>
      </c>
      <c r="D74" s="253">
        <f>'Adjusted Schedule 3'!R28</f>
        <v>2369.1590757509193</v>
      </c>
      <c r="E74" s="253">
        <f>'As-Filed Schedule 3'!R27</f>
        <v>2146.6950847780531</v>
      </c>
      <c r="F74" s="253">
        <f t="shared" si="6"/>
        <v>222.46399097286621</v>
      </c>
    </row>
    <row r="75" spans="1:6" x14ac:dyDescent="0.35">
      <c r="A75" s="254"/>
    </row>
    <row r="76" spans="1:6" hidden="1" x14ac:dyDescent="0.35">
      <c r="A76" s="254" t="s">
        <v>523</v>
      </c>
      <c r="B76" s="494">
        <f>'Adjusted Schedule 3'!B33:C33</f>
        <v>0</v>
      </c>
      <c r="C76" s="494"/>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2"/>
    </row>
    <row r="85" spans="1:6" hidden="1" x14ac:dyDescent="0.35">
      <c r="A85" s="254" t="s">
        <v>524</v>
      </c>
      <c r="B85" s="494">
        <f>'Adjusted Schedule 3'!B38:C38</f>
        <v>0</v>
      </c>
      <c r="C85" s="494"/>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525</v>
      </c>
      <c r="B94" s="494">
        <f>'Adjusted Schedule 3'!B43:C43</f>
        <v>0</v>
      </c>
      <c r="C94" s="494"/>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526</v>
      </c>
      <c r="B103" s="494">
        <f>'Adjusted Schedule 3'!B48:C48</f>
        <v>0</v>
      </c>
      <c r="C103" s="494"/>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527</v>
      </c>
      <c r="B112" s="494">
        <f>'Adjusted Schedule 3'!B53:C53</f>
        <v>0</v>
      </c>
      <c r="C112" s="494"/>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528</v>
      </c>
      <c r="B121" s="494">
        <f>'Adjusted Schedule 3'!B58:C58</f>
        <v>0</v>
      </c>
      <c r="C121" s="494"/>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529</v>
      </c>
      <c r="B130" s="494">
        <f>'Adjusted Schedule 3'!B63:C63</f>
        <v>0</v>
      </c>
      <c r="C130" s="494"/>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530</v>
      </c>
      <c r="B139" s="494">
        <f>'Adjusted Schedule 3'!B68:C68</f>
        <v>0</v>
      </c>
      <c r="C139" s="494"/>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531</v>
      </c>
      <c r="B148" s="494">
        <f>'Adjusted Schedule 3'!B73:C73</f>
        <v>0</v>
      </c>
      <c r="C148" s="494"/>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532</v>
      </c>
      <c r="B157" s="494">
        <f>'Adjusted Schedule 3'!B78:C78</f>
        <v>0</v>
      </c>
      <c r="C157" s="494"/>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533</v>
      </c>
      <c r="B166" s="494">
        <f>'Adjusted Schedule 3'!B83:C83</f>
        <v>0</v>
      </c>
      <c r="C166" s="494"/>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534</v>
      </c>
      <c r="B175" s="494">
        <f>'Adjusted Schedule 3'!B88:C88</f>
        <v>0</v>
      </c>
      <c r="C175" s="494"/>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535</v>
      </c>
      <c r="B184" s="494">
        <f>'Adjusted Schedule 3'!B93:C93</f>
        <v>0</v>
      </c>
      <c r="C184" s="494"/>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536</v>
      </c>
      <c r="B193" s="494">
        <f>'Adjusted Schedule 3'!B98:C98</f>
        <v>0</v>
      </c>
      <c r="C193" s="494"/>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537</v>
      </c>
      <c r="B202" s="494">
        <f>'Adjusted Schedule 3'!B103:C103</f>
        <v>0</v>
      </c>
      <c r="C202" s="494"/>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538</v>
      </c>
      <c r="B211" s="494">
        <f>'Adjusted Schedule 3'!B108:C108</f>
        <v>0</v>
      </c>
      <c r="C211" s="494"/>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539</v>
      </c>
      <c r="B220" s="494">
        <f>'Adjusted Schedule 3'!B113:C113</f>
        <v>0</v>
      </c>
      <c r="C220" s="494"/>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540</v>
      </c>
      <c r="B229" s="494">
        <f>'Adjusted Schedule 3'!B118:C118</f>
        <v>0</v>
      </c>
      <c r="C229" s="494"/>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541</v>
      </c>
      <c r="B238" s="494">
        <f>'Adjusted Schedule 3'!B123:C123</f>
        <v>0</v>
      </c>
      <c r="C238" s="494"/>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542</v>
      </c>
      <c r="B247" s="494">
        <f>'Adjusted Schedule 3'!B128:C128</f>
        <v>0</v>
      </c>
      <c r="C247" s="494"/>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543</v>
      </c>
      <c r="B256" s="494">
        <f>'Adjusted Schedule 3'!B133:C133</f>
        <v>0</v>
      </c>
      <c r="C256" s="494"/>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544</v>
      </c>
      <c r="B265" s="494">
        <f>'Adjusted Schedule 3'!B138:C138</f>
        <v>0</v>
      </c>
      <c r="C265" s="494"/>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545</v>
      </c>
      <c r="B274" s="494">
        <f>'Adjusted Schedule 3'!B143:C143</f>
        <v>0</v>
      </c>
      <c r="C274" s="494"/>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546</v>
      </c>
      <c r="B283" s="494">
        <f>'Adjusted Schedule 3'!B148:C148</f>
        <v>0</v>
      </c>
      <c r="C283" s="494"/>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547</v>
      </c>
      <c r="B292" s="494">
        <f>'Adjusted Schedule 3'!B153:C153</f>
        <v>0</v>
      </c>
      <c r="C292" s="494"/>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548</v>
      </c>
      <c r="B301" s="494">
        <f>'Adjusted Schedule 3'!B158:C158</f>
        <v>0</v>
      </c>
      <c r="C301" s="494"/>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549</v>
      </c>
      <c r="B310" s="494">
        <f>'Adjusted Schedule 3'!B163:C163</f>
        <v>0</v>
      </c>
      <c r="C310" s="494"/>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customProperties>
    <customPr name="OrphanNamesChecke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75"/>
  <sheetViews>
    <sheetView workbookViewId="0"/>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5" width="12.7265625" style="281" customWidth="1"/>
    <col min="6" max="6" width="20.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773</v>
      </c>
      <c r="G1" s="397"/>
      <c r="H1" s="69"/>
      <c r="I1" s="69"/>
      <c r="J1" s="69"/>
    </row>
    <row r="2" spans="1:27" customFormat="1" ht="21" x14ac:dyDescent="0.5">
      <c r="A2" s="2" t="s">
        <v>771</v>
      </c>
      <c r="G2" s="397"/>
      <c r="H2" s="69"/>
      <c r="I2" s="69"/>
      <c r="J2" s="69"/>
      <c r="AA2" s="40" t="s">
        <v>495</v>
      </c>
    </row>
    <row r="3" spans="1:27" customFormat="1" ht="25" customHeight="1" x14ac:dyDescent="0.5">
      <c r="A3" s="243" t="str">
        <f>Results!A4</f>
        <v>Final Adjustments</v>
      </c>
      <c r="G3" s="397"/>
      <c r="H3" s="69"/>
      <c r="I3" s="69"/>
      <c r="J3" s="69"/>
      <c r="AA3" s="40" t="s">
        <v>496</v>
      </c>
    </row>
    <row r="4" spans="1:27" customFormat="1" ht="14.5" x14ac:dyDescent="0.35">
      <c r="F4" s="36"/>
      <c r="G4" s="397"/>
      <c r="H4" s="69"/>
      <c r="I4" s="69"/>
      <c r="J4" s="69"/>
    </row>
    <row r="5" spans="1:27" customFormat="1" ht="14.5" x14ac:dyDescent="0.35">
      <c r="A5" s="1" t="s">
        <v>772</v>
      </c>
      <c r="D5" s="421" t="str">
        <f>Results!$C$6</f>
        <v>Mind Springs Health</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577</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578</v>
      </c>
      <c r="C10" s="289"/>
      <c r="D10" s="289"/>
      <c r="E10" s="289"/>
      <c r="F10" s="289"/>
      <c r="G10" s="401"/>
      <c r="H10" s="289"/>
      <c r="I10" s="289"/>
      <c r="J10" s="289"/>
      <c r="K10" s="289"/>
    </row>
    <row r="11" spans="1:27" ht="13" x14ac:dyDescent="0.25">
      <c r="A11" s="287"/>
      <c r="B11" s="290" t="s">
        <v>579</v>
      </c>
      <c r="C11" s="291" t="s">
        <v>11</v>
      </c>
      <c r="D11" s="292"/>
      <c r="E11" s="290"/>
      <c r="F11" s="290"/>
      <c r="G11" s="402" t="s">
        <v>580</v>
      </c>
      <c r="H11" s="290" t="s">
        <v>581</v>
      </c>
      <c r="I11" s="290" t="s">
        <v>582</v>
      </c>
      <c r="J11" s="290" t="s">
        <v>583</v>
      </c>
      <c r="K11" s="290" t="s">
        <v>584</v>
      </c>
      <c r="M11" s="293"/>
      <c r="N11" s="294"/>
      <c r="O11" s="294"/>
      <c r="P11" s="294"/>
      <c r="Q11" s="294"/>
      <c r="R11" s="294"/>
      <c r="S11" s="294"/>
      <c r="T11" s="294"/>
      <c r="U11" s="294"/>
      <c r="V11" s="294"/>
    </row>
    <row r="12" spans="1:27" ht="13" x14ac:dyDescent="0.25">
      <c r="A12" s="287"/>
      <c r="B12" s="296">
        <v>1</v>
      </c>
      <c r="C12" s="457" t="s">
        <v>934</v>
      </c>
      <c r="D12" s="305"/>
      <c r="E12" s="289"/>
      <c r="F12" s="289"/>
      <c r="G12" s="401">
        <v>-44423</v>
      </c>
      <c r="H12" s="289">
        <v>1</v>
      </c>
      <c r="I12" s="289">
        <v>2</v>
      </c>
      <c r="J12" s="289">
        <v>5</v>
      </c>
      <c r="K12" s="296" t="s">
        <v>935</v>
      </c>
      <c r="M12" s="293"/>
      <c r="N12" s="294"/>
      <c r="O12" s="294"/>
      <c r="P12" s="294"/>
      <c r="Q12" s="294"/>
      <c r="R12" s="294"/>
      <c r="S12" s="294"/>
      <c r="T12" s="294"/>
      <c r="U12" s="294"/>
      <c r="V12" s="294"/>
    </row>
    <row r="13" spans="1:27" ht="13" x14ac:dyDescent="0.25">
      <c r="A13" s="287"/>
      <c r="B13" s="296"/>
      <c r="C13" s="457"/>
      <c r="D13" s="305"/>
      <c r="E13" s="289"/>
      <c r="F13" s="289"/>
      <c r="G13" s="401">
        <v>-27274</v>
      </c>
      <c r="H13" s="289">
        <v>1</v>
      </c>
      <c r="I13" s="289">
        <v>3</v>
      </c>
      <c r="J13" s="289">
        <v>2</v>
      </c>
      <c r="K13" s="296" t="s">
        <v>935</v>
      </c>
      <c r="M13" s="293"/>
      <c r="N13" s="294"/>
      <c r="O13" s="294"/>
      <c r="P13" s="294"/>
      <c r="Q13" s="294"/>
      <c r="R13" s="294"/>
      <c r="S13" s="294"/>
      <c r="T13" s="294"/>
      <c r="U13" s="294"/>
      <c r="V13" s="294"/>
    </row>
    <row r="14" spans="1:27" ht="13" x14ac:dyDescent="0.25">
      <c r="A14" s="287"/>
      <c r="B14" s="296"/>
      <c r="C14" s="457"/>
      <c r="D14" s="305"/>
      <c r="E14" s="289"/>
      <c r="F14" s="289"/>
      <c r="G14" s="401">
        <v>-6773</v>
      </c>
      <c r="H14" s="289">
        <v>1</v>
      </c>
      <c r="I14" s="289">
        <v>4</v>
      </c>
      <c r="J14" s="289">
        <v>5</v>
      </c>
      <c r="K14" s="296" t="s">
        <v>935</v>
      </c>
      <c r="M14" s="293"/>
      <c r="N14" s="294"/>
      <c r="O14" s="294"/>
      <c r="P14" s="294"/>
      <c r="Q14" s="294"/>
      <c r="R14" s="294"/>
      <c r="S14" s="294"/>
      <c r="T14" s="294"/>
      <c r="U14" s="294"/>
      <c r="V14" s="294"/>
    </row>
    <row r="15" spans="1:27" ht="13" x14ac:dyDescent="0.25">
      <c r="A15" s="287"/>
      <c r="B15" s="296"/>
      <c r="C15" s="457"/>
      <c r="D15" s="305"/>
      <c r="E15" s="289"/>
      <c r="F15" s="289"/>
      <c r="G15" s="401">
        <v>27274</v>
      </c>
      <c r="H15" s="289">
        <v>1</v>
      </c>
      <c r="I15" s="289">
        <v>6</v>
      </c>
      <c r="J15" s="289">
        <v>2</v>
      </c>
      <c r="K15" s="296" t="s">
        <v>935</v>
      </c>
      <c r="M15" s="293"/>
      <c r="N15" s="294"/>
      <c r="O15" s="294"/>
      <c r="P15" s="294"/>
      <c r="Q15" s="294"/>
      <c r="R15" s="294"/>
      <c r="S15" s="294"/>
      <c r="T15" s="294"/>
      <c r="U15" s="294"/>
      <c r="V15" s="294"/>
    </row>
    <row r="16" spans="1:27" ht="13" x14ac:dyDescent="0.25">
      <c r="A16" s="287"/>
      <c r="B16" s="296"/>
      <c r="C16" s="457"/>
      <c r="D16" s="305"/>
      <c r="E16" s="289"/>
      <c r="F16" s="289"/>
      <c r="G16" s="401">
        <v>51196</v>
      </c>
      <c r="H16" s="289">
        <v>1</v>
      </c>
      <c r="I16" s="289">
        <v>6</v>
      </c>
      <c r="J16" s="289">
        <v>5</v>
      </c>
      <c r="K16" s="296" t="s">
        <v>935</v>
      </c>
      <c r="M16" s="293"/>
      <c r="N16" s="294"/>
      <c r="O16" s="294"/>
      <c r="P16" s="294"/>
      <c r="Q16" s="294"/>
      <c r="R16" s="294"/>
      <c r="S16" s="294"/>
      <c r="T16" s="294"/>
      <c r="U16" s="294"/>
      <c r="V16" s="294"/>
    </row>
    <row r="17" spans="1:22" ht="13" x14ac:dyDescent="0.25">
      <c r="A17" s="287"/>
      <c r="B17" s="296"/>
      <c r="C17" s="457"/>
      <c r="D17" s="305"/>
      <c r="E17" s="289"/>
      <c r="F17" s="289"/>
      <c r="G17" s="401"/>
      <c r="H17" s="289"/>
      <c r="I17" s="289"/>
      <c r="J17" s="289"/>
      <c r="K17" s="296"/>
      <c r="M17" s="293"/>
      <c r="N17" s="294"/>
      <c r="O17" s="294"/>
      <c r="P17" s="294"/>
      <c r="Q17" s="294"/>
      <c r="R17" s="294"/>
      <c r="S17" s="294"/>
      <c r="T17" s="294"/>
      <c r="U17" s="294"/>
      <c r="V17" s="294"/>
    </row>
    <row r="18" spans="1:22" ht="13" x14ac:dyDescent="0.25">
      <c r="A18" s="287"/>
      <c r="B18" s="296">
        <v>2</v>
      </c>
      <c r="C18" s="457" t="s">
        <v>936</v>
      </c>
      <c r="D18" s="305"/>
      <c r="E18" s="289"/>
      <c r="F18" s="289"/>
      <c r="G18" s="401">
        <v>-13153</v>
      </c>
      <c r="H18" s="289">
        <v>1</v>
      </c>
      <c r="I18" s="289">
        <v>2</v>
      </c>
      <c r="J18" s="289">
        <v>48</v>
      </c>
      <c r="K18" s="296" t="s">
        <v>935</v>
      </c>
      <c r="M18" s="293"/>
      <c r="N18" s="294"/>
      <c r="O18" s="294"/>
      <c r="P18" s="294"/>
      <c r="Q18" s="294"/>
      <c r="R18" s="294"/>
      <c r="S18" s="294"/>
      <c r="T18" s="294"/>
      <c r="U18" s="294"/>
      <c r="V18" s="294"/>
    </row>
    <row r="19" spans="1:22" ht="13" x14ac:dyDescent="0.25">
      <c r="A19" s="287"/>
      <c r="B19" s="296"/>
      <c r="C19" s="457"/>
      <c r="D19" s="305"/>
      <c r="E19" s="289"/>
      <c r="F19" s="289"/>
      <c r="G19" s="401">
        <v>13153</v>
      </c>
      <c r="H19" s="289">
        <v>1</v>
      </c>
      <c r="I19" s="289">
        <v>6</v>
      </c>
      <c r="J19" s="289">
        <v>48</v>
      </c>
      <c r="K19" s="296" t="s">
        <v>935</v>
      </c>
      <c r="M19" s="293"/>
      <c r="N19" s="294"/>
      <c r="O19" s="294"/>
      <c r="P19" s="294"/>
      <c r="Q19" s="294"/>
      <c r="R19" s="294"/>
      <c r="S19" s="294"/>
      <c r="T19" s="294"/>
      <c r="U19" s="294"/>
      <c r="V19" s="294"/>
    </row>
    <row r="20" spans="1:22" ht="13" x14ac:dyDescent="0.25">
      <c r="A20" s="287"/>
      <c r="B20" s="296"/>
      <c r="C20" s="457"/>
      <c r="D20" s="305"/>
      <c r="E20" s="289"/>
      <c r="F20" s="289"/>
      <c r="G20" s="401"/>
      <c r="H20" s="289"/>
      <c r="I20" s="289"/>
      <c r="J20" s="289"/>
      <c r="K20" s="296"/>
      <c r="M20" s="293"/>
      <c r="N20" s="294"/>
      <c r="O20" s="294"/>
      <c r="P20" s="294"/>
      <c r="Q20" s="294"/>
      <c r="R20" s="294"/>
      <c r="S20" s="294"/>
      <c r="T20" s="294"/>
      <c r="U20" s="294"/>
      <c r="V20" s="294"/>
    </row>
    <row r="21" spans="1:22" ht="13" x14ac:dyDescent="0.25">
      <c r="A21" s="287"/>
      <c r="B21" s="296">
        <v>3</v>
      </c>
      <c r="C21" s="457" t="s">
        <v>937</v>
      </c>
      <c r="D21" s="305"/>
      <c r="E21" s="289"/>
      <c r="F21" s="289"/>
      <c r="G21" s="401">
        <v>-978</v>
      </c>
      <c r="H21" s="289">
        <v>1</v>
      </c>
      <c r="I21" s="289">
        <v>4</v>
      </c>
      <c r="J21" s="289">
        <v>48</v>
      </c>
      <c r="K21" s="296" t="s">
        <v>935</v>
      </c>
      <c r="M21" s="293"/>
      <c r="N21" s="294"/>
      <c r="O21" s="294"/>
      <c r="P21" s="294"/>
      <c r="Q21" s="294"/>
      <c r="R21" s="294"/>
      <c r="S21" s="294"/>
      <c r="T21" s="294"/>
      <c r="U21" s="294"/>
      <c r="V21" s="294"/>
    </row>
    <row r="22" spans="1:22" ht="13" x14ac:dyDescent="0.25">
      <c r="A22" s="287"/>
      <c r="B22" s="296"/>
      <c r="C22" s="457"/>
      <c r="D22" s="305"/>
      <c r="E22" s="289"/>
      <c r="F22" s="289"/>
      <c r="G22" s="401">
        <v>978</v>
      </c>
      <c r="H22" s="289">
        <v>1</v>
      </c>
      <c r="I22" s="289">
        <v>6</v>
      </c>
      <c r="J22" s="289">
        <v>44</v>
      </c>
      <c r="K22" s="296" t="s">
        <v>935</v>
      </c>
      <c r="M22" s="293"/>
      <c r="N22" s="294"/>
      <c r="O22" s="294"/>
      <c r="P22" s="294"/>
      <c r="Q22" s="294"/>
      <c r="R22" s="294"/>
      <c r="S22" s="294"/>
      <c r="T22" s="294"/>
      <c r="U22" s="294"/>
      <c r="V22" s="294"/>
    </row>
    <row r="23" spans="1:22" ht="13" x14ac:dyDescent="0.25">
      <c r="A23" s="287"/>
      <c r="B23" s="296"/>
      <c r="C23" s="457"/>
      <c r="D23" s="305"/>
      <c r="E23" s="289"/>
      <c r="F23" s="289"/>
      <c r="G23" s="401"/>
      <c r="H23" s="289"/>
      <c r="I23" s="289"/>
      <c r="J23" s="289"/>
      <c r="K23" s="296"/>
      <c r="M23" s="293"/>
      <c r="N23" s="294"/>
      <c r="O23" s="294"/>
      <c r="P23" s="294"/>
      <c r="Q23" s="294"/>
      <c r="R23" s="294"/>
      <c r="S23" s="294"/>
      <c r="T23" s="294"/>
      <c r="U23" s="294"/>
      <c r="V23" s="294"/>
    </row>
    <row r="24" spans="1:22" ht="13" x14ac:dyDescent="0.25">
      <c r="A24" s="287"/>
      <c r="B24" s="296">
        <v>4</v>
      </c>
      <c r="C24" s="457" t="s">
        <v>938</v>
      </c>
      <c r="D24" s="305"/>
      <c r="E24" s="289"/>
      <c r="F24" s="289"/>
      <c r="G24" s="486">
        <v>6.06</v>
      </c>
      <c r="H24" s="289">
        <v>1</v>
      </c>
      <c r="I24" s="289">
        <v>1</v>
      </c>
      <c r="J24" s="289">
        <v>1</v>
      </c>
      <c r="K24" s="296">
        <v>200.6</v>
      </c>
      <c r="M24" s="293"/>
      <c r="N24" s="294"/>
      <c r="O24" s="294"/>
      <c r="P24" s="294"/>
      <c r="Q24" s="294"/>
      <c r="R24" s="294"/>
      <c r="S24" s="294"/>
      <c r="T24" s="294"/>
      <c r="U24" s="294"/>
      <c r="V24" s="294"/>
    </row>
    <row r="25" spans="1:22" ht="13" x14ac:dyDescent="0.25">
      <c r="A25" s="287"/>
      <c r="B25" s="296"/>
      <c r="C25" s="457"/>
      <c r="D25" s="305"/>
      <c r="E25" s="289"/>
      <c r="F25" s="289"/>
      <c r="G25" s="486">
        <v>98.7</v>
      </c>
      <c r="H25" s="289">
        <v>1</v>
      </c>
      <c r="I25" s="289">
        <v>1</v>
      </c>
      <c r="J25" s="289">
        <v>2</v>
      </c>
      <c r="K25" s="296">
        <v>200.6</v>
      </c>
      <c r="M25" s="293"/>
      <c r="N25" s="294"/>
      <c r="O25" s="294"/>
      <c r="P25" s="294"/>
      <c r="Q25" s="294"/>
      <c r="R25" s="294"/>
      <c r="S25" s="294"/>
      <c r="T25" s="294"/>
      <c r="U25" s="294"/>
      <c r="V25" s="294"/>
    </row>
    <row r="26" spans="1:22" ht="13" x14ac:dyDescent="0.25">
      <c r="A26" s="287"/>
      <c r="B26" s="296"/>
      <c r="C26" s="457"/>
      <c r="D26" s="305"/>
      <c r="E26" s="289"/>
      <c r="F26" s="289"/>
      <c r="G26" s="486">
        <v>221</v>
      </c>
      <c r="H26" s="289">
        <v>1</v>
      </c>
      <c r="I26" s="289">
        <v>1</v>
      </c>
      <c r="J26" s="289">
        <v>3</v>
      </c>
      <c r="K26" s="296">
        <v>200.6</v>
      </c>
      <c r="M26" s="293"/>
      <c r="N26" s="294"/>
      <c r="O26" s="294"/>
      <c r="P26" s="294"/>
      <c r="Q26" s="294"/>
      <c r="R26" s="294"/>
      <c r="S26" s="294"/>
      <c r="T26" s="294"/>
      <c r="U26" s="294"/>
      <c r="V26" s="294"/>
    </row>
    <row r="27" spans="1:22" ht="13" x14ac:dyDescent="0.25">
      <c r="A27" s="287"/>
      <c r="B27" s="296"/>
      <c r="C27" s="457"/>
      <c r="D27" s="305"/>
      <c r="E27" s="289"/>
      <c r="F27" s="289"/>
      <c r="G27" s="486">
        <v>8</v>
      </c>
      <c r="H27" s="289">
        <v>1</v>
      </c>
      <c r="I27" s="289">
        <v>1</v>
      </c>
      <c r="J27" s="289">
        <v>5</v>
      </c>
      <c r="K27" s="296">
        <v>200.6</v>
      </c>
      <c r="M27" s="293"/>
      <c r="N27" s="294"/>
      <c r="O27" s="294"/>
      <c r="P27" s="294"/>
      <c r="Q27" s="294"/>
      <c r="R27" s="294"/>
      <c r="S27" s="294"/>
      <c r="T27" s="294"/>
      <c r="U27" s="294"/>
      <c r="V27" s="294"/>
    </row>
    <row r="28" spans="1:22" ht="13" x14ac:dyDescent="0.25">
      <c r="A28" s="287"/>
      <c r="B28" s="296"/>
      <c r="C28" s="457"/>
      <c r="D28" s="305"/>
      <c r="E28" s="289"/>
      <c r="F28" s="289"/>
      <c r="G28" s="486">
        <v>80</v>
      </c>
      <c r="H28" s="289">
        <v>1</v>
      </c>
      <c r="I28" s="289">
        <v>1</v>
      </c>
      <c r="J28" s="289">
        <v>6</v>
      </c>
      <c r="K28" s="296">
        <v>200.6</v>
      </c>
      <c r="M28" s="293"/>
      <c r="N28" s="294"/>
      <c r="O28" s="294"/>
      <c r="P28" s="294"/>
      <c r="Q28" s="294"/>
      <c r="R28" s="294"/>
      <c r="S28" s="294"/>
      <c r="T28" s="294"/>
      <c r="U28" s="294"/>
      <c r="V28" s="294"/>
    </row>
    <row r="29" spans="1:22" ht="13" x14ac:dyDescent="0.25">
      <c r="A29" s="287"/>
      <c r="B29" s="296"/>
      <c r="C29" s="457"/>
      <c r="D29" s="305"/>
      <c r="E29" s="289"/>
      <c r="F29" s="289"/>
      <c r="G29" s="401"/>
      <c r="H29" s="289"/>
      <c r="I29" s="289"/>
      <c r="J29" s="289"/>
      <c r="K29" s="296"/>
      <c r="M29" s="293"/>
      <c r="N29" s="294"/>
      <c r="O29" s="294"/>
      <c r="P29" s="294"/>
      <c r="Q29" s="294"/>
      <c r="R29" s="294"/>
      <c r="S29" s="294"/>
      <c r="T29" s="294"/>
      <c r="U29" s="294"/>
      <c r="V29" s="294"/>
    </row>
    <row r="30" spans="1:22" ht="13" x14ac:dyDescent="0.25">
      <c r="A30" s="287"/>
      <c r="B30" s="296">
        <v>5</v>
      </c>
      <c r="C30" s="457" t="s">
        <v>939</v>
      </c>
      <c r="D30" s="305"/>
      <c r="E30" s="289"/>
      <c r="F30" s="289"/>
      <c r="G30" s="401">
        <v>9221</v>
      </c>
      <c r="H30" s="289">
        <v>1</v>
      </c>
      <c r="I30" s="289">
        <v>3</v>
      </c>
      <c r="J30" s="289">
        <v>60</v>
      </c>
      <c r="K30" s="296">
        <v>200.6</v>
      </c>
      <c r="M30" s="293"/>
      <c r="N30" s="294"/>
      <c r="O30" s="294"/>
      <c r="P30" s="294"/>
      <c r="Q30" s="294"/>
      <c r="R30" s="294"/>
      <c r="S30" s="294"/>
      <c r="T30" s="294"/>
      <c r="U30" s="294"/>
      <c r="V30" s="294"/>
    </row>
    <row r="31" spans="1:22" ht="13" x14ac:dyDescent="0.25">
      <c r="A31" s="287"/>
      <c r="B31" s="289"/>
      <c r="C31" s="457"/>
      <c r="D31" s="305"/>
      <c r="E31" s="289"/>
      <c r="F31" s="289"/>
      <c r="G31" s="401"/>
      <c r="H31" s="289"/>
      <c r="I31" s="289"/>
      <c r="J31" s="289"/>
      <c r="K31" s="296"/>
      <c r="M31" s="293"/>
      <c r="N31" s="294"/>
      <c r="O31" s="294"/>
      <c r="P31" s="294"/>
      <c r="Q31" s="294"/>
      <c r="R31" s="294"/>
      <c r="S31" s="294"/>
      <c r="T31" s="294"/>
      <c r="U31" s="294"/>
      <c r="V31" s="294"/>
    </row>
    <row r="32" spans="1:22" ht="13" x14ac:dyDescent="0.3">
      <c r="A32" s="295"/>
      <c r="B32" s="296">
        <v>6</v>
      </c>
      <c r="C32" s="457" t="s">
        <v>940</v>
      </c>
      <c r="D32" s="298"/>
      <c r="E32" s="298"/>
      <c r="F32" s="298"/>
      <c r="G32" s="491">
        <v>69265.983702368569</v>
      </c>
      <c r="H32" s="300">
        <v>1</v>
      </c>
      <c r="I32" s="300">
        <v>3</v>
      </c>
      <c r="J32" s="458">
        <v>58</v>
      </c>
      <c r="K32" s="307">
        <v>200.9</v>
      </c>
    </row>
    <row r="33" spans="1:22" ht="13" x14ac:dyDescent="0.3">
      <c r="A33" s="295"/>
      <c r="B33" s="296"/>
      <c r="C33" s="297"/>
      <c r="D33" s="298"/>
      <c r="E33" s="298"/>
      <c r="F33" s="298"/>
      <c r="G33" s="491">
        <v>101979.9422169961</v>
      </c>
      <c r="H33" s="300">
        <v>1</v>
      </c>
      <c r="I33" s="300">
        <v>4</v>
      </c>
      <c r="J33" s="458">
        <v>58</v>
      </c>
      <c r="K33" s="307">
        <v>200.9</v>
      </c>
    </row>
    <row r="34" spans="1:22" ht="13" x14ac:dyDescent="0.3">
      <c r="A34" s="295"/>
      <c r="B34" s="296"/>
      <c r="C34" s="297"/>
      <c r="D34" s="298"/>
      <c r="E34" s="298"/>
      <c r="F34" s="298"/>
      <c r="G34" s="491">
        <v>973.84561705544911</v>
      </c>
      <c r="H34" s="300">
        <v>1</v>
      </c>
      <c r="I34" s="300">
        <v>5</v>
      </c>
      <c r="J34" s="458">
        <v>58</v>
      </c>
      <c r="K34" s="307">
        <v>200.9</v>
      </c>
    </row>
    <row r="35" spans="1:22" ht="13" x14ac:dyDescent="0.3">
      <c r="A35" s="295"/>
      <c r="B35" s="296"/>
      <c r="C35" s="297"/>
      <c r="D35" s="298"/>
      <c r="E35" s="298"/>
      <c r="F35" s="298"/>
      <c r="G35" s="491">
        <v>-29162.771536420594</v>
      </c>
      <c r="H35" s="300">
        <v>1</v>
      </c>
      <c r="I35" s="300">
        <v>6</v>
      </c>
      <c r="J35" s="458">
        <v>58</v>
      </c>
      <c r="K35" s="307">
        <v>200.9</v>
      </c>
    </row>
    <row r="36" spans="1:22" ht="13.5" thickBot="1" x14ac:dyDescent="0.3">
      <c r="A36" s="295"/>
      <c r="B36" s="296"/>
      <c r="C36" s="297"/>
      <c r="D36" s="298"/>
      <c r="E36" s="298"/>
      <c r="F36" s="298"/>
      <c r="G36" s="299"/>
      <c r="H36" s="300"/>
      <c r="I36" s="300"/>
      <c r="J36" s="406"/>
      <c r="K36" s="301"/>
    </row>
    <row r="37" spans="1:22" ht="13.5" thickBot="1" x14ac:dyDescent="0.3">
      <c r="B37" s="283" t="s">
        <v>585</v>
      </c>
      <c r="C37" s="284"/>
      <c r="D37" s="284"/>
      <c r="E37" s="284"/>
      <c r="F37" s="284"/>
      <c r="G37" s="399"/>
      <c r="H37" s="405"/>
      <c r="I37" s="405"/>
      <c r="J37" s="405"/>
      <c r="K37" s="285"/>
    </row>
    <row r="38" spans="1:22" ht="13" x14ac:dyDescent="0.25">
      <c r="B38" s="286"/>
      <c r="C38" s="286"/>
      <c r="D38" s="286"/>
      <c r="E38" s="286"/>
      <c r="F38" s="286"/>
      <c r="G38" s="400"/>
      <c r="H38" s="288"/>
      <c r="I38" s="288"/>
      <c r="J38" s="288"/>
      <c r="K38" s="286"/>
    </row>
    <row r="39" spans="1:22" ht="13" x14ac:dyDescent="0.25">
      <c r="A39" s="287"/>
      <c r="B39" s="288" t="s">
        <v>578</v>
      </c>
      <c r="C39" s="289"/>
      <c r="D39" s="289"/>
      <c r="E39" s="289"/>
      <c r="F39" s="289"/>
      <c r="G39" s="401"/>
      <c r="H39" s="289"/>
      <c r="I39" s="289"/>
      <c r="J39" s="289"/>
      <c r="K39" s="289"/>
    </row>
    <row r="40" spans="1:22" ht="13" x14ac:dyDescent="0.25">
      <c r="A40" s="287"/>
      <c r="B40" s="290" t="s">
        <v>579</v>
      </c>
      <c r="C40" s="291" t="s">
        <v>11</v>
      </c>
      <c r="D40" s="292"/>
      <c r="E40" s="290"/>
      <c r="F40" s="290"/>
      <c r="G40" s="402" t="s">
        <v>580</v>
      </c>
      <c r="H40" s="290" t="s">
        <v>581</v>
      </c>
      <c r="I40" s="290" t="s">
        <v>582</v>
      </c>
      <c r="J40" s="290" t="s">
        <v>583</v>
      </c>
      <c r="K40" s="290" t="s">
        <v>584</v>
      </c>
      <c r="M40" s="293"/>
      <c r="N40" s="294"/>
      <c r="O40" s="294"/>
      <c r="P40" s="294"/>
      <c r="Q40" s="294"/>
      <c r="R40" s="294"/>
      <c r="S40" s="294"/>
      <c r="T40" s="294"/>
      <c r="U40" s="294"/>
      <c r="V40" s="294"/>
    </row>
    <row r="41" spans="1:22" ht="13" x14ac:dyDescent="0.25">
      <c r="A41" s="295"/>
      <c r="B41" s="296" t="s">
        <v>933</v>
      </c>
      <c r="C41" s="297"/>
      <c r="D41" s="298"/>
      <c r="E41" s="298"/>
      <c r="F41" s="298"/>
      <c r="G41" s="302"/>
      <c r="H41" s="300"/>
      <c r="I41" s="300"/>
      <c r="J41" s="300"/>
      <c r="K41" s="301"/>
    </row>
    <row r="42" spans="1:22" ht="13.5" thickBot="1" x14ac:dyDescent="0.3">
      <c r="A42" s="295"/>
      <c r="B42" s="296"/>
      <c r="C42" s="297"/>
      <c r="D42" s="298"/>
      <c r="E42" s="298"/>
      <c r="F42" s="298"/>
      <c r="G42" s="299"/>
      <c r="H42" s="300"/>
      <c r="I42" s="300"/>
      <c r="J42" s="406"/>
      <c r="K42" s="301"/>
    </row>
    <row r="43" spans="1:22" ht="13.5" thickBot="1" x14ac:dyDescent="0.3">
      <c r="B43" s="283" t="s">
        <v>586</v>
      </c>
      <c r="C43" s="284"/>
      <c r="D43" s="284"/>
      <c r="E43" s="284"/>
      <c r="F43" s="284"/>
      <c r="G43" s="399"/>
      <c r="H43" s="405"/>
      <c r="I43" s="405"/>
      <c r="J43" s="405"/>
      <c r="K43" s="285"/>
    </row>
    <row r="44" spans="1:22" ht="13" x14ac:dyDescent="0.25">
      <c r="B44" s="286"/>
      <c r="C44" s="286"/>
      <c r="D44" s="286"/>
      <c r="E44" s="286"/>
      <c r="F44" s="286"/>
      <c r="G44" s="400"/>
      <c r="H44" s="288"/>
      <c r="I44" s="288"/>
      <c r="J44" s="288"/>
      <c r="K44" s="286"/>
    </row>
    <row r="45" spans="1:22" ht="13" x14ac:dyDescent="0.25">
      <c r="A45" s="287"/>
      <c r="B45" s="288" t="s">
        <v>578</v>
      </c>
      <c r="C45" s="289"/>
      <c r="D45" s="289"/>
      <c r="E45" s="289"/>
      <c r="F45" s="289"/>
      <c r="G45" s="401"/>
      <c r="H45" s="289"/>
      <c r="I45" s="289"/>
      <c r="J45" s="289"/>
      <c r="K45" s="289"/>
    </row>
    <row r="46" spans="1:22" ht="13" x14ac:dyDescent="0.25">
      <c r="A46" s="287"/>
      <c r="B46" s="290" t="s">
        <v>579</v>
      </c>
      <c r="C46" s="291" t="s">
        <v>11</v>
      </c>
      <c r="D46" s="292"/>
      <c r="E46" s="290"/>
      <c r="F46" s="290"/>
      <c r="G46" s="402" t="s">
        <v>580</v>
      </c>
      <c r="H46" s="290" t="s">
        <v>581</v>
      </c>
      <c r="I46" s="290" t="s">
        <v>582</v>
      </c>
      <c r="J46" s="290" t="s">
        <v>583</v>
      </c>
      <c r="K46" s="290" t="s">
        <v>584</v>
      </c>
      <c r="M46" s="293"/>
      <c r="N46" s="294"/>
      <c r="O46" s="294"/>
      <c r="P46" s="294"/>
      <c r="Q46" s="294"/>
      <c r="R46" s="294"/>
      <c r="S46" s="294"/>
      <c r="T46" s="294"/>
      <c r="U46" s="294"/>
      <c r="V46" s="294"/>
    </row>
    <row r="47" spans="1:22" ht="13" x14ac:dyDescent="0.25">
      <c r="A47" s="295"/>
      <c r="B47" s="296" t="s">
        <v>933</v>
      </c>
      <c r="C47" s="297"/>
      <c r="D47" s="298"/>
      <c r="E47" s="298"/>
      <c r="F47" s="298"/>
      <c r="G47" s="302"/>
      <c r="H47" s="303"/>
      <c r="I47" s="304"/>
      <c r="J47" s="304"/>
      <c r="K47" s="301"/>
    </row>
    <row r="48" spans="1:22" ht="13.5" thickBot="1" x14ac:dyDescent="0.3">
      <c r="A48" s="295"/>
      <c r="B48" s="296"/>
      <c r="C48" s="297"/>
      <c r="D48" s="298"/>
      <c r="E48" s="298"/>
      <c r="F48" s="298"/>
      <c r="G48" s="299"/>
      <c r="H48" s="300"/>
      <c r="I48" s="300"/>
      <c r="J48" s="406"/>
      <c r="K48" s="301"/>
    </row>
    <row r="49" spans="1:11" ht="13.5" thickBot="1" x14ac:dyDescent="0.3">
      <c r="A49" s="287"/>
      <c r="B49" s="283" t="s">
        <v>587</v>
      </c>
      <c r="C49" s="284"/>
      <c r="D49" s="284"/>
      <c r="E49" s="284"/>
      <c r="F49" s="284"/>
      <c r="G49" s="399"/>
      <c r="H49" s="405"/>
      <c r="I49" s="405"/>
      <c r="J49" s="405"/>
      <c r="K49" s="285"/>
    </row>
    <row r="50" spans="1:11" x14ac:dyDescent="0.25">
      <c r="A50" s="287"/>
      <c r="B50" s="305"/>
      <c r="C50" s="306"/>
      <c r="D50" s="287"/>
      <c r="E50" s="287"/>
      <c r="F50" s="287"/>
      <c r="G50" s="403"/>
      <c r="H50" s="305"/>
      <c r="I50" s="305"/>
      <c r="J50" s="305"/>
      <c r="K50" s="287"/>
    </row>
    <row r="51" spans="1:11" ht="13" x14ac:dyDescent="0.25">
      <c r="A51" s="287"/>
      <c r="B51" s="288" t="s">
        <v>578</v>
      </c>
      <c r="C51" s="306"/>
      <c r="D51" s="287"/>
      <c r="E51" s="287"/>
      <c r="F51" s="287"/>
      <c r="G51" s="403"/>
      <c r="H51" s="305"/>
      <c r="I51" s="305"/>
      <c r="J51" s="305"/>
      <c r="K51" s="287"/>
    </row>
    <row r="52" spans="1:11" ht="13" x14ac:dyDescent="0.25">
      <c r="A52" s="287"/>
      <c r="B52" s="290" t="s">
        <v>579</v>
      </c>
      <c r="C52" s="291" t="s">
        <v>11</v>
      </c>
      <c r="D52" s="292"/>
      <c r="E52" s="290"/>
      <c r="F52" s="290"/>
      <c r="G52" s="402" t="s">
        <v>580</v>
      </c>
      <c r="H52" s="290" t="s">
        <v>581</v>
      </c>
      <c r="I52" s="290" t="s">
        <v>582</v>
      </c>
      <c r="J52" s="290" t="s">
        <v>583</v>
      </c>
      <c r="K52" s="290" t="s">
        <v>584</v>
      </c>
    </row>
    <row r="53" spans="1:11" ht="13" x14ac:dyDescent="0.25">
      <c r="A53" s="287"/>
      <c r="B53" s="459">
        <v>7</v>
      </c>
      <c r="C53" s="460" t="s">
        <v>941</v>
      </c>
      <c r="D53" s="464"/>
      <c r="E53" s="465"/>
      <c r="F53" s="465"/>
      <c r="G53" s="302">
        <v>-13465831</v>
      </c>
      <c r="H53" s="302" t="s">
        <v>942</v>
      </c>
      <c r="I53" s="302">
        <v>2</v>
      </c>
      <c r="J53" s="302">
        <v>11</v>
      </c>
      <c r="K53" s="461">
        <v>200.6</v>
      </c>
    </row>
    <row r="54" spans="1:11" ht="13" x14ac:dyDescent="0.25">
      <c r="A54" s="287"/>
      <c r="B54" s="459"/>
      <c r="C54" s="463"/>
      <c r="D54" s="466"/>
      <c r="E54" s="467"/>
      <c r="F54" s="468"/>
      <c r="G54" s="302">
        <v>17947.21</v>
      </c>
      <c r="H54" s="302" t="s">
        <v>942</v>
      </c>
      <c r="I54" s="302">
        <v>2</v>
      </c>
      <c r="J54" s="302">
        <v>15</v>
      </c>
      <c r="K54" s="461">
        <v>200.6</v>
      </c>
    </row>
    <row r="55" spans="1:11" ht="13" x14ac:dyDescent="0.25">
      <c r="A55" s="287"/>
      <c r="B55" s="462"/>
      <c r="C55" s="463"/>
      <c r="D55" s="466"/>
      <c r="E55" s="467"/>
      <c r="F55" s="468"/>
      <c r="G55" s="302">
        <v>-39991.449999999997</v>
      </c>
      <c r="H55" s="302" t="s">
        <v>942</v>
      </c>
      <c r="I55" s="302">
        <v>2</v>
      </c>
      <c r="J55" s="302">
        <v>16</v>
      </c>
      <c r="K55" s="461">
        <v>200.6</v>
      </c>
    </row>
    <row r="56" spans="1:11" ht="13" x14ac:dyDescent="0.25">
      <c r="A56" s="287"/>
      <c r="B56" s="462"/>
      <c r="C56" s="463"/>
      <c r="D56" s="466"/>
      <c r="E56" s="467"/>
      <c r="F56" s="468"/>
      <c r="G56" s="302">
        <v>2676.06</v>
      </c>
      <c r="H56" s="302" t="s">
        <v>942</v>
      </c>
      <c r="I56" s="302">
        <v>2</v>
      </c>
      <c r="J56" s="302">
        <v>17</v>
      </c>
      <c r="K56" s="461">
        <v>200.6</v>
      </c>
    </row>
    <row r="57" spans="1:11" ht="13" x14ac:dyDescent="0.25">
      <c r="A57" s="287"/>
      <c r="B57" s="462"/>
      <c r="C57" s="463"/>
      <c r="D57" s="466"/>
      <c r="E57" s="467"/>
      <c r="F57" s="468"/>
      <c r="G57" s="302">
        <v>-2.5099999999999998</v>
      </c>
      <c r="H57" s="302" t="s">
        <v>942</v>
      </c>
      <c r="I57" s="302">
        <v>2</v>
      </c>
      <c r="J57" s="302">
        <v>18</v>
      </c>
      <c r="K57" s="461">
        <v>200.6</v>
      </c>
    </row>
    <row r="58" spans="1:11" ht="13" x14ac:dyDescent="0.25">
      <c r="A58" s="287"/>
      <c r="B58" s="462"/>
      <c r="C58" s="463"/>
      <c r="D58" s="466"/>
      <c r="E58" s="467"/>
      <c r="F58" s="468"/>
      <c r="G58" s="302">
        <v>1358.8</v>
      </c>
      <c r="H58" s="302" t="s">
        <v>942</v>
      </c>
      <c r="I58" s="302">
        <v>2</v>
      </c>
      <c r="J58" s="302">
        <v>19</v>
      </c>
      <c r="K58" s="461">
        <v>200.6</v>
      </c>
    </row>
    <row r="59" spans="1:11" ht="13" x14ac:dyDescent="0.25">
      <c r="A59" s="287"/>
      <c r="B59" s="462"/>
      <c r="C59" s="463"/>
      <c r="D59" s="466"/>
      <c r="E59" s="467"/>
      <c r="F59" s="468"/>
      <c r="G59" s="302">
        <v>76383.8</v>
      </c>
      <c r="H59" s="302" t="s">
        <v>942</v>
      </c>
      <c r="I59" s="302">
        <v>2</v>
      </c>
      <c r="J59" s="302">
        <v>20</v>
      </c>
      <c r="K59" s="461">
        <v>200.6</v>
      </c>
    </row>
    <row r="60" spans="1:11" ht="13" x14ac:dyDescent="0.25">
      <c r="A60" s="287"/>
      <c r="B60" s="462"/>
      <c r="C60" s="463"/>
      <c r="D60" s="466"/>
      <c r="E60" s="467"/>
      <c r="F60" s="468"/>
      <c r="G60" s="302">
        <v>66.900000000000006</v>
      </c>
      <c r="H60" s="302" t="s">
        <v>942</v>
      </c>
      <c r="I60" s="302">
        <v>2</v>
      </c>
      <c r="J60" s="302">
        <v>21</v>
      </c>
      <c r="K60" s="461">
        <v>200.6</v>
      </c>
    </row>
    <row r="61" spans="1:11" ht="13" x14ac:dyDescent="0.25">
      <c r="A61" s="287"/>
      <c r="B61" s="462"/>
      <c r="C61" s="463"/>
      <c r="D61" s="466"/>
      <c r="E61" s="467"/>
      <c r="F61" s="468"/>
      <c r="G61" s="302">
        <v>232345.72</v>
      </c>
      <c r="H61" s="302" t="s">
        <v>942</v>
      </c>
      <c r="I61" s="302">
        <v>2</v>
      </c>
      <c r="J61" s="302">
        <v>22</v>
      </c>
      <c r="K61" s="461">
        <v>200.6</v>
      </c>
    </row>
    <row r="62" spans="1:11" ht="13" x14ac:dyDescent="0.25">
      <c r="A62" s="287"/>
      <c r="B62" s="462"/>
      <c r="C62" s="463"/>
      <c r="D62" s="466"/>
      <c r="E62" s="467"/>
      <c r="F62" s="468"/>
      <c r="G62" s="302">
        <v>7083159.25</v>
      </c>
      <c r="H62" s="302" t="s">
        <v>942</v>
      </c>
      <c r="I62" s="302">
        <v>2</v>
      </c>
      <c r="J62" s="302">
        <v>23</v>
      </c>
      <c r="K62" s="461">
        <v>200.6</v>
      </c>
    </row>
    <row r="63" spans="1:11" ht="13" x14ac:dyDescent="0.25">
      <c r="A63" s="287"/>
      <c r="B63" s="462"/>
      <c r="C63" s="463"/>
      <c r="D63" s="466"/>
      <c r="E63" s="467"/>
      <c r="F63" s="468"/>
      <c r="G63" s="302">
        <v>74841.77</v>
      </c>
      <c r="H63" s="302" t="s">
        <v>942</v>
      </c>
      <c r="I63" s="302">
        <v>2</v>
      </c>
      <c r="J63" s="302">
        <v>24</v>
      </c>
      <c r="K63" s="461">
        <v>200.6</v>
      </c>
    </row>
    <row r="64" spans="1:11" ht="13" x14ac:dyDescent="0.25">
      <c r="A64" s="287"/>
      <c r="B64" s="462"/>
      <c r="C64" s="463"/>
      <c r="D64" s="466"/>
      <c r="E64" s="467"/>
      <c r="F64" s="468"/>
      <c r="G64" s="302">
        <v>5491104.3200000003</v>
      </c>
      <c r="H64" s="302" t="s">
        <v>942</v>
      </c>
      <c r="I64" s="302">
        <v>2</v>
      </c>
      <c r="J64" s="302">
        <v>25</v>
      </c>
      <c r="K64" s="461">
        <v>200.6</v>
      </c>
    </row>
    <row r="65" spans="1:11" ht="13" x14ac:dyDescent="0.25">
      <c r="A65" s="287"/>
      <c r="B65" s="462"/>
      <c r="C65" s="463"/>
      <c r="D65" s="466"/>
      <c r="E65" s="467"/>
      <c r="F65" s="468"/>
      <c r="G65" s="302">
        <v>4709.51</v>
      </c>
      <c r="H65" s="302" t="s">
        <v>942</v>
      </c>
      <c r="I65" s="302">
        <v>2</v>
      </c>
      <c r="J65" s="302">
        <v>26</v>
      </c>
      <c r="K65" s="461">
        <v>200.6</v>
      </c>
    </row>
    <row r="66" spans="1:11" ht="13" x14ac:dyDescent="0.25">
      <c r="A66" s="287"/>
      <c r="B66" s="462"/>
      <c r="C66" s="463"/>
      <c r="D66" s="466"/>
      <c r="E66" s="467"/>
      <c r="F66" s="468"/>
      <c r="G66" s="302">
        <v>6279.66</v>
      </c>
      <c r="H66" s="302" t="s">
        <v>942</v>
      </c>
      <c r="I66" s="302">
        <v>2</v>
      </c>
      <c r="J66" s="302">
        <v>27</v>
      </c>
      <c r="K66" s="461">
        <v>200.6</v>
      </c>
    </row>
    <row r="67" spans="1:11" ht="13" x14ac:dyDescent="0.25">
      <c r="A67" s="287"/>
      <c r="B67" s="462"/>
      <c r="C67" s="463"/>
      <c r="D67" s="466"/>
      <c r="E67" s="467"/>
      <c r="F67" s="468"/>
      <c r="G67" s="302">
        <v>514951.67</v>
      </c>
      <c r="H67" s="302" t="s">
        <v>942</v>
      </c>
      <c r="I67" s="302">
        <v>2</v>
      </c>
      <c r="J67" s="302">
        <v>28</v>
      </c>
      <c r="K67" s="461">
        <v>200.6</v>
      </c>
    </row>
    <row r="68" spans="1:11" ht="13" x14ac:dyDescent="0.25">
      <c r="A68" s="287"/>
      <c r="B68" s="462"/>
      <c r="C68" s="463"/>
      <c r="D68" s="466"/>
      <c r="E68" s="467"/>
      <c r="F68" s="468"/>
      <c r="G68" s="302">
        <v>-428</v>
      </c>
      <c r="H68" s="302" t="s">
        <v>942</v>
      </c>
      <c r="I68" s="302">
        <v>5</v>
      </c>
      <c r="J68" s="302">
        <v>11</v>
      </c>
      <c r="K68" s="461">
        <v>200.6</v>
      </c>
    </row>
    <row r="69" spans="1:11" ht="13" x14ac:dyDescent="0.25">
      <c r="A69" s="287"/>
      <c r="B69" s="462"/>
      <c r="C69" s="463"/>
      <c r="D69" s="466"/>
      <c r="E69" s="467"/>
      <c r="F69" s="468"/>
      <c r="G69" s="302">
        <v>-1198.06</v>
      </c>
      <c r="H69" s="302" t="s">
        <v>942</v>
      </c>
      <c r="I69" s="302">
        <v>5</v>
      </c>
      <c r="J69" s="302">
        <v>29</v>
      </c>
      <c r="K69" s="461">
        <v>200.6</v>
      </c>
    </row>
    <row r="70" spans="1:11" ht="13" x14ac:dyDescent="0.25">
      <c r="A70" s="295"/>
      <c r="B70" s="462"/>
      <c r="C70" s="463"/>
      <c r="D70" s="466"/>
      <c r="E70" s="467"/>
      <c r="F70" s="468"/>
      <c r="G70" s="302">
        <v>1625.99</v>
      </c>
      <c r="H70" s="302" t="s">
        <v>942</v>
      </c>
      <c r="I70" s="302">
        <v>5</v>
      </c>
      <c r="J70" s="302">
        <v>30</v>
      </c>
      <c r="K70" s="461">
        <v>200.6</v>
      </c>
    </row>
    <row r="71" spans="1:11" ht="13" x14ac:dyDescent="0.25">
      <c r="A71" s="295"/>
      <c r="B71" s="462"/>
      <c r="C71" s="463"/>
      <c r="D71" s="466"/>
      <c r="E71" s="467"/>
      <c r="F71" s="468"/>
      <c r="G71" s="302"/>
      <c r="H71" s="302"/>
      <c r="I71" s="302"/>
      <c r="J71" s="302"/>
      <c r="K71" s="461"/>
    </row>
    <row r="72" spans="1:11" ht="13" x14ac:dyDescent="0.25">
      <c r="A72" s="295"/>
      <c r="B72" s="462">
        <v>8</v>
      </c>
      <c r="C72" s="463" t="s">
        <v>1003</v>
      </c>
      <c r="D72" s="488"/>
      <c r="E72" s="489"/>
      <c r="F72" s="490"/>
      <c r="G72" s="302">
        <v>-27274</v>
      </c>
      <c r="H72" s="302" t="s">
        <v>942</v>
      </c>
      <c r="I72" s="302">
        <v>2</v>
      </c>
      <c r="J72" s="302">
        <v>23</v>
      </c>
      <c r="K72" s="461">
        <v>200.6</v>
      </c>
    </row>
    <row r="73" spans="1:11" ht="13.5" thickBot="1" x14ac:dyDescent="0.3">
      <c r="A73" s="295"/>
      <c r="B73" s="296"/>
      <c r="C73" s="297"/>
      <c r="D73" s="298"/>
      <c r="E73" s="298"/>
      <c r="F73" s="298"/>
      <c r="G73" s="299"/>
      <c r="H73" s="300"/>
      <c r="I73" s="300"/>
      <c r="J73" s="406"/>
      <c r="K73" s="301"/>
    </row>
    <row r="74" spans="1:11" ht="13.5" thickBot="1" x14ac:dyDescent="0.3">
      <c r="A74" s="287"/>
      <c r="B74" s="283" t="s">
        <v>588</v>
      </c>
      <c r="C74" s="284"/>
      <c r="D74" s="284"/>
      <c r="E74" s="284"/>
      <c r="F74" s="284"/>
      <c r="G74" s="399"/>
      <c r="H74" s="405"/>
      <c r="I74" s="405"/>
      <c r="J74" s="405"/>
      <c r="K74" s="285"/>
    </row>
    <row r="75" spans="1:11" x14ac:dyDescent="0.25">
      <c r="A75" s="287"/>
      <c r="B75" s="305"/>
      <c r="C75" s="306"/>
      <c r="D75" s="287"/>
      <c r="E75" s="287"/>
      <c r="F75" s="287"/>
      <c r="G75" s="403"/>
      <c r="H75" s="305"/>
      <c r="I75" s="305"/>
      <c r="J75" s="305"/>
      <c r="K75" s="287"/>
    </row>
    <row r="76" spans="1:11" ht="13" x14ac:dyDescent="0.25">
      <c r="A76" s="287"/>
      <c r="B76" s="288" t="s">
        <v>578</v>
      </c>
      <c r="C76" s="306"/>
      <c r="D76" s="287"/>
      <c r="E76" s="287"/>
      <c r="F76" s="287"/>
      <c r="G76" s="403"/>
      <c r="H76" s="305"/>
      <c r="I76" s="305"/>
      <c r="J76" s="305"/>
      <c r="K76" s="287"/>
    </row>
    <row r="77" spans="1:11" ht="13" x14ac:dyDescent="0.25">
      <c r="A77" s="287"/>
      <c r="B77" s="290" t="s">
        <v>579</v>
      </c>
      <c r="C77" s="291" t="s">
        <v>11</v>
      </c>
      <c r="D77" s="292"/>
      <c r="E77" s="290"/>
      <c r="F77" s="290"/>
      <c r="G77" s="402" t="s">
        <v>580</v>
      </c>
      <c r="H77" s="290" t="s">
        <v>581</v>
      </c>
      <c r="I77" s="290" t="s">
        <v>582</v>
      </c>
      <c r="J77" s="290" t="s">
        <v>583</v>
      </c>
      <c r="K77" s="290" t="s">
        <v>584</v>
      </c>
    </row>
    <row r="78" spans="1:11" ht="13" x14ac:dyDescent="0.25">
      <c r="A78" s="287"/>
      <c r="B78" s="296">
        <v>9</v>
      </c>
      <c r="C78" s="463" t="s">
        <v>1002</v>
      </c>
      <c r="D78" s="484"/>
      <c r="E78" s="484"/>
      <c r="F78" s="484"/>
      <c r="G78" s="472">
        <v>-7750.9098040000008</v>
      </c>
      <c r="H78" s="472">
        <v>3</v>
      </c>
      <c r="I78" s="472">
        <v>11</v>
      </c>
      <c r="J78" s="472">
        <v>3</v>
      </c>
      <c r="K78" s="459">
        <v>200.5</v>
      </c>
    </row>
    <row r="79" spans="1:11" ht="13" x14ac:dyDescent="0.25">
      <c r="A79" s="287"/>
      <c r="B79" s="289"/>
      <c r="C79" s="483"/>
      <c r="D79" s="305"/>
      <c r="E79" s="289"/>
      <c r="F79" s="289"/>
      <c r="G79" s="401"/>
      <c r="H79" s="289"/>
      <c r="I79" s="289"/>
      <c r="J79" s="289"/>
      <c r="K79" s="289"/>
    </row>
    <row r="80" spans="1:11" ht="13" x14ac:dyDescent="0.25">
      <c r="A80" s="287"/>
      <c r="B80" s="459">
        <v>10</v>
      </c>
      <c r="C80" s="463" t="s">
        <v>1001</v>
      </c>
      <c r="D80" s="484"/>
      <c r="E80" s="484"/>
      <c r="F80" s="484"/>
      <c r="G80" s="472">
        <v>876372.22203296912</v>
      </c>
      <c r="H80" s="472">
        <v>3</v>
      </c>
      <c r="I80" s="472">
        <v>11</v>
      </c>
      <c r="J80" s="472">
        <v>1</v>
      </c>
      <c r="K80" s="459">
        <v>200.5</v>
      </c>
    </row>
    <row r="81" spans="1:11" ht="13" x14ac:dyDescent="0.25">
      <c r="A81" s="287"/>
      <c r="B81" s="485"/>
      <c r="C81" s="484"/>
      <c r="D81" s="484"/>
      <c r="E81" s="484"/>
      <c r="F81" s="484"/>
      <c r="G81" s="472">
        <v>490532.73185413139</v>
      </c>
      <c r="H81" s="472">
        <v>3</v>
      </c>
      <c r="I81" s="472">
        <v>11</v>
      </c>
      <c r="J81" s="472">
        <v>2</v>
      </c>
      <c r="K81" s="459">
        <v>200.5</v>
      </c>
    </row>
    <row r="82" spans="1:11" ht="13" x14ac:dyDescent="0.25">
      <c r="A82" s="287"/>
      <c r="B82" s="485"/>
      <c r="C82" s="484"/>
      <c r="D82" s="484"/>
      <c r="E82" s="484"/>
      <c r="F82" s="484"/>
      <c r="G82" s="472">
        <v>3745475.0461128997</v>
      </c>
      <c r="H82" s="472">
        <v>3</v>
      </c>
      <c r="I82" s="472">
        <v>11</v>
      </c>
      <c r="J82" s="472">
        <v>3</v>
      </c>
      <c r="K82" s="459">
        <v>200.5</v>
      </c>
    </row>
    <row r="83" spans="1:11" ht="13" x14ac:dyDescent="0.25">
      <c r="A83" s="287"/>
      <c r="B83" s="485"/>
      <c r="C83" s="484"/>
      <c r="D83" s="484"/>
      <c r="E83" s="484"/>
      <c r="F83" s="484"/>
      <c r="G83" s="472"/>
      <c r="H83" s="472"/>
      <c r="I83" s="472"/>
      <c r="J83" s="472"/>
      <c r="K83" s="459"/>
    </row>
    <row r="84" spans="1:11" ht="13" x14ac:dyDescent="0.25">
      <c r="A84" s="287"/>
      <c r="B84" s="459">
        <v>11</v>
      </c>
      <c r="C84" s="463" t="s">
        <v>1004</v>
      </c>
      <c r="D84" s="484"/>
      <c r="E84" s="484"/>
      <c r="F84" s="484"/>
      <c r="G84" s="472">
        <v>-476594.17701483471</v>
      </c>
      <c r="H84" s="472">
        <v>3</v>
      </c>
      <c r="I84" s="472">
        <v>13</v>
      </c>
      <c r="J84" s="472">
        <v>1</v>
      </c>
      <c r="K84" s="459">
        <v>200.5</v>
      </c>
    </row>
    <row r="85" spans="1:11" ht="13" x14ac:dyDescent="0.25">
      <c r="A85" s="287"/>
      <c r="B85" s="485"/>
      <c r="C85" s="464"/>
      <c r="D85" s="464"/>
      <c r="E85" s="464"/>
      <c r="F85" s="464"/>
      <c r="G85" s="472">
        <v>384829.65443505091</v>
      </c>
      <c r="H85" s="472">
        <v>3</v>
      </c>
      <c r="I85" s="472">
        <v>13</v>
      </c>
      <c r="J85" s="472">
        <v>2</v>
      </c>
      <c r="K85" s="459">
        <v>200.5</v>
      </c>
    </row>
    <row r="86" spans="1:11" ht="13" x14ac:dyDescent="0.25">
      <c r="A86" s="287"/>
      <c r="B86" s="485"/>
      <c r="C86" s="464"/>
      <c r="D86" s="464"/>
      <c r="E86" s="464"/>
      <c r="F86" s="464"/>
      <c r="G86" s="472">
        <v>1399928</v>
      </c>
      <c r="H86" s="472">
        <v>3</v>
      </c>
      <c r="I86" s="472">
        <v>13</v>
      </c>
      <c r="J86" s="472">
        <v>3</v>
      </c>
      <c r="K86" s="459">
        <v>200.5</v>
      </c>
    </row>
    <row r="87" spans="1:11" ht="13" x14ac:dyDescent="0.25">
      <c r="A87" s="287"/>
      <c r="B87" s="485"/>
      <c r="C87" s="484"/>
      <c r="D87" s="484"/>
      <c r="E87" s="484"/>
      <c r="F87" s="484"/>
      <c r="G87" s="472"/>
      <c r="H87" s="472"/>
      <c r="I87" s="472"/>
      <c r="J87" s="472"/>
      <c r="K87" s="459"/>
    </row>
    <row r="88" spans="1:11" ht="13" x14ac:dyDescent="0.3">
      <c r="A88" s="287"/>
      <c r="B88" s="462">
        <v>12</v>
      </c>
      <c r="C88" s="464" t="s">
        <v>943</v>
      </c>
      <c r="D88" s="470"/>
      <c r="E88" s="470"/>
      <c r="F88" s="470"/>
      <c r="G88" s="472">
        <v>-2074</v>
      </c>
      <c r="H88" s="471">
        <v>3</v>
      </c>
      <c r="I88" s="471">
        <v>9</v>
      </c>
      <c r="J88" s="471" t="s">
        <v>944</v>
      </c>
      <c r="K88" s="461">
        <v>300.2</v>
      </c>
    </row>
    <row r="89" spans="1:11" ht="13" x14ac:dyDescent="0.3">
      <c r="A89" s="295"/>
      <c r="B89" s="471"/>
      <c r="C89" s="464"/>
      <c r="D89" s="470"/>
      <c r="E89" s="470"/>
      <c r="F89" s="470"/>
      <c r="G89" s="472">
        <v>5227</v>
      </c>
      <c r="H89" s="471">
        <v>3</v>
      </c>
      <c r="I89" s="471">
        <v>9</v>
      </c>
      <c r="J89" s="471" t="s">
        <v>945</v>
      </c>
      <c r="K89" s="461">
        <v>300.2</v>
      </c>
    </row>
    <row r="90" spans="1:11" ht="13" x14ac:dyDescent="0.3">
      <c r="A90" s="295"/>
      <c r="B90" s="462"/>
      <c r="C90" s="474"/>
      <c r="D90" s="473"/>
      <c r="E90" s="474"/>
      <c r="F90" s="470"/>
      <c r="G90" s="472">
        <v>381</v>
      </c>
      <c r="H90" s="471">
        <v>3</v>
      </c>
      <c r="I90" s="471">
        <v>9</v>
      </c>
      <c r="J90" s="471" t="s">
        <v>946</v>
      </c>
      <c r="K90" s="461">
        <v>300.2</v>
      </c>
    </row>
    <row r="91" spans="1:11" ht="13" x14ac:dyDescent="0.3">
      <c r="A91" s="295"/>
      <c r="B91" s="464"/>
      <c r="C91" s="470"/>
      <c r="D91" s="470"/>
      <c r="E91" s="470"/>
      <c r="F91" s="470"/>
      <c r="G91" s="475">
        <v>1</v>
      </c>
      <c r="H91" s="476">
        <v>3</v>
      </c>
      <c r="I91" s="476">
        <v>9</v>
      </c>
      <c r="J91" s="476" t="s">
        <v>947</v>
      </c>
      <c r="K91" s="461">
        <v>300.2</v>
      </c>
    </row>
    <row r="92" spans="1:11" ht="13.5" thickBot="1" x14ac:dyDescent="0.3">
      <c r="A92" s="295"/>
      <c r="B92" s="296"/>
      <c r="C92" s="297"/>
      <c r="D92" s="298"/>
      <c r="E92" s="298"/>
      <c r="F92" s="298"/>
      <c r="G92" s="299"/>
      <c r="H92" s="300"/>
      <c r="I92" s="300"/>
      <c r="J92" s="406"/>
      <c r="K92" s="301"/>
    </row>
    <row r="93" spans="1:11" ht="13.5" thickBot="1" x14ac:dyDescent="0.3">
      <c r="A93" s="287"/>
      <c r="B93" s="283" t="s">
        <v>589</v>
      </c>
      <c r="C93" s="284"/>
      <c r="D93" s="284"/>
      <c r="E93" s="284"/>
      <c r="F93" s="284"/>
      <c r="G93" s="399"/>
      <c r="H93" s="405"/>
      <c r="I93" s="405"/>
      <c r="J93" s="405"/>
      <c r="K93" s="285"/>
    </row>
    <row r="94" spans="1:11" x14ac:dyDescent="0.25">
      <c r="A94" s="287"/>
      <c r="B94" s="305"/>
      <c r="C94" s="306"/>
      <c r="D94" s="287"/>
      <c r="E94" s="287"/>
      <c r="F94" s="287"/>
      <c r="G94" s="403"/>
      <c r="H94" s="305"/>
      <c r="I94" s="305"/>
      <c r="J94" s="305"/>
      <c r="K94" s="287"/>
    </row>
    <row r="95" spans="1:11" ht="13" x14ac:dyDescent="0.25">
      <c r="A95" s="287"/>
      <c r="B95" s="288" t="s">
        <v>578</v>
      </c>
      <c r="C95" s="306"/>
      <c r="D95" s="287"/>
      <c r="E95" s="287"/>
      <c r="F95" s="287"/>
      <c r="G95" s="403"/>
      <c r="H95" s="305"/>
      <c r="I95" s="305"/>
      <c r="J95" s="305"/>
      <c r="K95" s="287"/>
    </row>
    <row r="96" spans="1:11" ht="13" x14ac:dyDescent="0.25">
      <c r="A96" s="287"/>
      <c r="B96" s="290" t="s">
        <v>579</v>
      </c>
      <c r="C96" s="291" t="s">
        <v>11</v>
      </c>
      <c r="D96" s="292"/>
      <c r="E96" s="290"/>
      <c r="F96" s="290"/>
      <c r="G96" s="402" t="s">
        <v>580</v>
      </c>
      <c r="H96" s="290" t="s">
        <v>581</v>
      </c>
      <c r="I96" s="290" t="s">
        <v>582</v>
      </c>
      <c r="J96" s="290" t="s">
        <v>583</v>
      </c>
      <c r="K96" s="290" t="s">
        <v>584</v>
      </c>
    </row>
    <row r="97" spans="1:11" ht="13" x14ac:dyDescent="0.3">
      <c r="A97" s="287"/>
      <c r="B97" s="462">
        <v>13</v>
      </c>
      <c r="C97" s="463" t="s">
        <v>948</v>
      </c>
      <c r="D97" s="477"/>
      <c r="E97" s="478"/>
      <c r="F97" s="470"/>
      <c r="G97" s="472">
        <v>73843</v>
      </c>
      <c r="H97" s="472">
        <v>4</v>
      </c>
      <c r="I97" s="472">
        <v>8</v>
      </c>
      <c r="J97" s="472">
        <v>1</v>
      </c>
      <c r="K97" s="461" t="s">
        <v>1005</v>
      </c>
    </row>
    <row r="98" spans="1:11" ht="13" thickBot="1" x14ac:dyDescent="0.3">
      <c r="A98" s="287"/>
      <c r="B98" s="287"/>
      <c r="C98" s="287"/>
      <c r="D98" s="287"/>
      <c r="E98" s="287"/>
      <c r="F98" s="287"/>
      <c r="G98" s="403"/>
      <c r="H98" s="305"/>
      <c r="I98" s="305"/>
      <c r="J98" s="305"/>
      <c r="K98" s="287"/>
    </row>
    <row r="99" spans="1:11" ht="13.5" thickBot="1" x14ac:dyDescent="0.3">
      <c r="A99" s="287"/>
      <c r="B99" s="283" t="s">
        <v>925</v>
      </c>
      <c r="C99" s="284"/>
      <c r="D99" s="284"/>
      <c r="E99" s="284"/>
      <c r="F99" s="284"/>
      <c r="G99" s="284"/>
      <c r="H99" s="284"/>
      <c r="I99" s="284"/>
      <c r="J99" s="284"/>
      <c r="K99" s="285"/>
    </row>
    <row r="100" spans="1:11" x14ac:dyDescent="0.25">
      <c r="A100" s="287"/>
      <c r="B100" s="305"/>
      <c r="C100" s="306"/>
      <c r="D100" s="287"/>
      <c r="E100" s="287"/>
      <c r="F100" s="287"/>
      <c r="G100" s="287"/>
      <c r="H100" s="287"/>
      <c r="I100" s="287"/>
      <c r="J100" s="287"/>
      <c r="K100" s="287"/>
    </row>
    <row r="101" spans="1:11" ht="13" x14ac:dyDescent="0.25">
      <c r="A101" s="287"/>
      <c r="B101" s="288" t="s">
        <v>578</v>
      </c>
      <c r="C101" s="306"/>
      <c r="D101" s="287"/>
      <c r="E101" s="287"/>
      <c r="F101" s="287"/>
      <c r="G101" s="287"/>
      <c r="H101" s="287"/>
      <c r="I101" s="287"/>
      <c r="J101" s="287"/>
      <c r="K101" s="287"/>
    </row>
    <row r="102" spans="1:11" ht="13" x14ac:dyDescent="0.25">
      <c r="A102" s="287"/>
      <c r="B102" s="290" t="s">
        <v>579</v>
      </c>
      <c r="C102" s="291" t="s">
        <v>11</v>
      </c>
      <c r="D102" s="292"/>
      <c r="E102" s="290"/>
      <c r="F102" s="290"/>
      <c r="G102" s="290" t="s">
        <v>580</v>
      </c>
      <c r="H102" s="290" t="s">
        <v>581</v>
      </c>
      <c r="I102" s="290" t="s">
        <v>582</v>
      </c>
      <c r="J102" s="290" t="s">
        <v>583</v>
      </c>
      <c r="K102" s="290" t="s">
        <v>584</v>
      </c>
    </row>
    <row r="103" spans="1:11" x14ac:dyDescent="0.25">
      <c r="A103" s="287"/>
      <c r="B103" s="305" t="s">
        <v>933</v>
      </c>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x14ac:dyDescent="0.25">
      <c r="A109" s="287"/>
      <c r="B109" s="287"/>
      <c r="C109" s="287"/>
      <c r="D109" s="287"/>
      <c r="E109" s="287"/>
      <c r="F109" s="287"/>
      <c r="G109" s="403"/>
      <c r="H109" s="305"/>
      <c r="I109" s="305"/>
      <c r="J109" s="305"/>
      <c r="K109" s="287"/>
    </row>
    <row r="110" spans="1:11" x14ac:dyDescent="0.25">
      <c r="A110" s="287"/>
      <c r="B110" s="287"/>
      <c r="C110" s="287"/>
      <c r="D110" s="287"/>
      <c r="E110" s="287"/>
      <c r="F110" s="287"/>
      <c r="G110" s="403"/>
      <c r="H110" s="305"/>
      <c r="I110" s="305"/>
      <c r="J110" s="305"/>
      <c r="K110" s="287"/>
    </row>
    <row r="111" spans="1:11" x14ac:dyDescent="0.25">
      <c r="A111" s="287"/>
      <c r="B111" s="287"/>
      <c r="C111" s="287"/>
      <c r="D111" s="287"/>
      <c r="E111" s="287"/>
      <c r="F111" s="287"/>
      <c r="G111" s="403"/>
      <c r="H111" s="305"/>
      <c r="I111" s="305"/>
      <c r="J111" s="305"/>
      <c r="K111" s="287"/>
    </row>
    <row r="112" spans="1:11" x14ac:dyDescent="0.25">
      <c r="A112" s="287"/>
      <c r="B112" s="287"/>
      <c r="C112" s="287"/>
      <c r="D112" s="287"/>
      <c r="E112" s="287"/>
      <c r="F112" s="287"/>
      <c r="G112" s="403"/>
      <c r="H112" s="305"/>
      <c r="I112" s="305"/>
      <c r="J112" s="305"/>
      <c r="K112" s="287"/>
    </row>
    <row r="113" spans="1:11" x14ac:dyDescent="0.25">
      <c r="A113" s="287"/>
      <c r="B113" s="287"/>
      <c r="C113" s="287"/>
      <c r="D113" s="287"/>
      <c r="E113" s="287"/>
      <c r="F113" s="287"/>
      <c r="G113" s="403"/>
      <c r="H113" s="305"/>
      <c r="I113" s="305"/>
      <c r="J113" s="305"/>
      <c r="K113" s="287"/>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row r="442" spans="1:11" x14ac:dyDescent="0.25">
      <c r="A442" s="287"/>
      <c r="B442" s="287"/>
      <c r="C442" s="287"/>
      <c r="D442" s="287"/>
      <c r="E442" s="287"/>
      <c r="F442" s="287"/>
      <c r="G442" s="403"/>
      <c r="H442" s="305"/>
      <c r="I442" s="305"/>
      <c r="J442" s="305"/>
      <c r="K442" s="287"/>
    </row>
    <row r="443" spans="1:11" x14ac:dyDescent="0.25">
      <c r="A443" s="287"/>
      <c r="B443" s="287"/>
      <c r="C443" s="287"/>
      <c r="D443" s="287"/>
      <c r="E443" s="287"/>
      <c r="F443" s="287"/>
      <c r="G443" s="403"/>
      <c r="H443" s="305"/>
      <c r="I443" s="305"/>
      <c r="J443" s="305"/>
      <c r="K443" s="287"/>
    </row>
    <row r="444" spans="1:11" x14ac:dyDescent="0.25">
      <c r="A444" s="287"/>
      <c r="B444" s="287"/>
      <c r="C444" s="287"/>
      <c r="D444" s="287"/>
      <c r="E444" s="287"/>
      <c r="F444" s="287"/>
      <c r="G444" s="403"/>
      <c r="H444" s="305"/>
      <c r="I444" s="305"/>
      <c r="J444" s="305"/>
      <c r="K444" s="287"/>
    </row>
    <row r="445" spans="1:11" x14ac:dyDescent="0.25">
      <c r="A445" s="287"/>
      <c r="B445" s="287"/>
      <c r="C445" s="287"/>
      <c r="D445" s="287"/>
      <c r="E445" s="287"/>
      <c r="F445" s="287"/>
      <c r="G445" s="403"/>
      <c r="H445" s="305"/>
      <c r="I445" s="305"/>
      <c r="J445" s="305"/>
      <c r="K445" s="287"/>
    </row>
    <row r="446" spans="1:11" x14ac:dyDescent="0.25">
      <c r="A446" s="287"/>
      <c r="B446" s="287"/>
      <c r="C446" s="287"/>
      <c r="D446" s="287"/>
      <c r="E446" s="287"/>
      <c r="F446" s="287"/>
      <c r="G446" s="403"/>
      <c r="H446" s="305"/>
      <c r="I446" s="305"/>
      <c r="J446" s="305"/>
      <c r="K446" s="287"/>
    </row>
    <row r="447" spans="1:11" x14ac:dyDescent="0.25">
      <c r="A447" s="287"/>
      <c r="B447" s="287"/>
      <c r="C447" s="287"/>
      <c r="D447" s="287"/>
      <c r="E447" s="287"/>
      <c r="F447" s="287"/>
      <c r="G447" s="403"/>
      <c r="H447" s="305"/>
      <c r="I447" s="305"/>
      <c r="J447" s="305"/>
      <c r="K447" s="287"/>
    </row>
    <row r="448" spans="1:11" x14ac:dyDescent="0.25">
      <c r="A448" s="287"/>
      <c r="B448" s="287"/>
      <c r="C448" s="287"/>
      <c r="D448" s="287"/>
      <c r="E448" s="287"/>
      <c r="F448" s="287"/>
      <c r="G448" s="403"/>
      <c r="H448" s="305"/>
      <c r="I448" s="305"/>
      <c r="J448" s="305"/>
      <c r="K448" s="287"/>
    </row>
    <row r="449" spans="1:11" x14ac:dyDescent="0.25">
      <c r="A449" s="287"/>
      <c r="B449" s="287"/>
      <c r="C449" s="287"/>
      <c r="D449" s="287"/>
      <c r="E449" s="287"/>
      <c r="F449" s="287"/>
      <c r="G449" s="403"/>
      <c r="H449" s="305"/>
      <c r="I449" s="305"/>
      <c r="J449" s="305"/>
      <c r="K449" s="287"/>
    </row>
    <row r="450" spans="1:11" x14ac:dyDescent="0.25">
      <c r="A450" s="287"/>
      <c r="B450" s="287"/>
      <c r="C450" s="287"/>
      <c r="D450" s="287"/>
      <c r="E450" s="287"/>
      <c r="F450" s="287"/>
      <c r="G450" s="403"/>
      <c r="H450" s="305"/>
      <c r="I450" s="305"/>
      <c r="J450" s="305"/>
      <c r="K450" s="287"/>
    </row>
    <row r="451" spans="1:11" x14ac:dyDescent="0.25">
      <c r="A451" s="287"/>
      <c r="B451" s="287"/>
      <c r="C451" s="287"/>
      <c r="D451" s="287"/>
      <c r="E451" s="287"/>
      <c r="F451" s="287"/>
      <c r="G451" s="403"/>
      <c r="H451" s="305"/>
      <c r="I451" s="305"/>
      <c r="J451" s="305"/>
      <c r="K451" s="287"/>
    </row>
    <row r="452" spans="1:11" x14ac:dyDescent="0.25">
      <c r="A452" s="287"/>
      <c r="B452" s="287"/>
      <c r="C452" s="287"/>
      <c r="D452" s="287"/>
      <c r="E452" s="287"/>
      <c r="F452" s="287"/>
      <c r="G452" s="403"/>
      <c r="H452" s="305"/>
      <c r="I452" s="305"/>
      <c r="J452" s="305"/>
      <c r="K452" s="287"/>
    </row>
    <row r="453" spans="1:11" x14ac:dyDescent="0.25">
      <c r="A453" s="287"/>
      <c r="B453" s="287"/>
      <c r="C453" s="287"/>
      <c r="D453" s="287"/>
      <c r="E453" s="287"/>
      <c r="F453" s="287"/>
      <c r="G453" s="403"/>
      <c r="H453" s="305"/>
      <c r="I453" s="305"/>
      <c r="J453" s="305"/>
      <c r="K453" s="287"/>
    </row>
    <row r="454" spans="1:11" x14ac:dyDescent="0.25">
      <c r="A454" s="287"/>
      <c r="B454" s="287"/>
      <c r="C454" s="287"/>
      <c r="D454" s="287"/>
      <c r="E454" s="287"/>
      <c r="F454" s="287"/>
      <c r="G454" s="403"/>
      <c r="H454" s="305"/>
      <c r="I454" s="305"/>
      <c r="J454" s="305"/>
      <c r="K454" s="287"/>
    </row>
    <row r="455" spans="1:11" x14ac:dyDescent="0.25">
      <c r="A455" s="287"/>
      <c r="B455" s="287"/>
      <c r="C455" s="287"/>
      <c r="D455" s="287"/>
      <c r="E455" s="287"/>
      <c r="F455" s="287"/>
      <c r="G455" s="403"/>
      <c r="H455" s="305"/>
      <c r="I455" s="305"/>
      <c r="J455" s="305"/>
      <c r="K455" s="287"/>
    </row>
    <row r="456" spans="1:11" x14ac:dyDescent="0.25">
      <c r="A456" s="287"/>
      <c r="B456" s="287"/>
      <c r="C456" s="287"/>
      <c r="D456" s="287"/>
      <c r="E456" s="287"/>
      <c r="F456" s="287"/>
      <c r="G456" s="403"/>
      <c r="H456" s="305"/>
      <c r="I456" s="305"/>
      <c r="J456" s="305"/>
      <c r="K456" s="287"/>
    </row>
    <row r="457" spans="1:11" x14ac:dyDescent="0.25">
      <c r="A457" s="287"/>
      <c r="B457" s="287"/>
      <c r="C457" s="287"/>
      <c r="D457" s="287"/>
      <c r="E457" s="287"/>
      <c r="F457" s="287"/>
      <c r="G457" s="403"/>
      <c r="H457" s="305"/>
      <c r="I457" s="305"/>
      <c r="J457" s="305"/>
      <c r="K457" s="287"/>
    </row>
    <row r="458" spans="1:11" x14ac:dyDescent="0.25">
      <c r="A458" s="287"/>
      <c r="B458" s="287"/>
      <c r="C458" s="287"/>
      <c r="D458" s="287"/>
      <c r="E458" s="287"/>
      <c r="F458" s="287"/>
      <c r="G458" s="403"/>
      <c r="H458" s="305"/>
      <c r="I458" s="305"/>
      <c r="J458" s="305"/>
      <c r="K458" s="287"/>
    </row>
    <row r="459" spans="1:11" x14ac:dyDescent="0.25">
      <c r="A459" s="287"/>
      <c r="B459" s="287"/>
      <c r="C459" s="287"/>
      <c r="D459" s="287"/>
      <c r="E459" s="287"/>
      <c r="F459" s="287"/>
      <c r="G459" s="403"/>
      <c r="H459" s="305"/>
      <c r="I459" s="305"/>
      <c r="J459" s="305"/>
      <c r="K459" s="287"/>
    </row>
    <row r="460" spans="1:11" x14ac:dyDescent="0.25">
      <c r="A460" s="287"/>
      <c r="B460" s="287"/>
      <c r="C460" s="287"/>
      <c r="D460" s="287"/>
      <c r="E460" s="287"/>
      <c r="F460" s="287"/>
      <c r="G460" s="403"/>
      <c r="H460" s="305"/>
      <c r="I460" s="305"/>
      <c r="J460" s="305"/>
      <c r="K460" s="287"/>
    </row>
    <row r="461" spans="1:11" x14ac:dyDescent="0.25">
      <c r="A461" s="287"/>
      <c r="B461" s="287"/>
      <c r="C461" s="287"/>
      <c r="D461" s="287"/>
      <c r="E461" s="287"/>
      <c r="F461" s="287"/>
      <c r="G461" s="403"/>
      <c r="H461" s="305"/>
      <c r="I461" s="305"/>
      <c r="J461" s="305"/>
      <c r="K461" s="287"/>
    </row>
    <row r="462" spans="1:11" x14ac:dyDescent="0.25">
      <c r="A462" s="287"/>
      <c r="B462" s="287"/>
      <c r="C462" s="287"/>
      <c r="D462" s="287"/>
      <c r="E462" s="287"/>
      <c r="F462" s="287"/>
      <c r="G462" s="403"/>
      <c r="H462" s="305"/>
      <c r="I462" s="305"/>
      <c r="J462" s="305"/>
      <c r="K462" s="287"/>
    </row>
    <row r="463" spans="1:11" x14ac:dyDescent="0.25">
      <c r="A463" s="287"/>
      <c r="B463" s="287"/>
      <c r="C463" s="287"/>
      <c r="D463" s="287"/>
      <c r="E463" s="287"/>
      <c r="F463" s="287"/>
      <c r="G463" s="403"/>
      <c r="H463" s="305"/>
      <c r="I463" s="305"/>
      <c r="J463" s="305"/>
      <c r="K463" s="287"/>
    </row>
    <row r="464" spans="1:11" x14ac:dyDescent="0.25">
      <c r="A464" s="287"/>
      <c r="B464" s="287"/>
      <c r="C464" s="287"/>
      <c r="D464" s="287"/>
      <c r="E464" s="287"/>
      <c r="F464" s="287"/>
      <c r="G464" s="403"/>
      <c r="H464" s="305"/>
      <c r="I464" s="305"/>
      <c r="J464" s="305"/>
      <c r="K464" s="287"/>
    </row>
    <row r="465" spans="1:11" x14ac:dyDescent="0.25">
      <c r="A465" s="287"/>
      <c r="B465" s="287"/>
      <c r="C465" s="287"/>
      <c r="D465" s="287"/>
      <c r="E465" s="287"/>
      <c r="F465" s="287"/>
      <c r="G465" s="403"/>
      <c r="H465" s="305"/>
      <c r="I465" s="305"/>
      <c r="J465" s="305"/>
      <c r="K465" s="287"/>
    </row>
    <row r="466" spans="1:11" x14ac:dyDescent="0.25">
      <c r="A466" s="287"/>
      <c r="B466" s="287"/>
      <c r="C466" s="287"/>
      <c r="D466" s="287"/>
      <c r="E466" s="287"/>
      <c r="F466" s="287"/>
      <c r="G466" s="403"/>
      <c r="H466" s="305"/>
      <c r="I466" s="305"/>
      <c r="J466" s="305"/>
      <c r="K466" s="287"/>
    </row>
    <row r="467" spans="1:11" x14ac:dyDescent="0.25">
      <c r="A467" s="287"/>
      <c r="B467" s="287"/>
      <c r="C467" s="287"/>
      <c r="D467" s="287"/>
      <c r="E467" s="287"/>
      <c r="F467" s="287"/>
      <c r="G467" s="403"/>
      <c r="H467" s="305"/>
      <c r="I467" s="305"/>
      <c r="J467" s="305"/>
      <c r="K467" s="287"/>
    </row>
    <row r="468" spans="1:11" x14ac:dyDescent="0.25">
      <c r="A468" s="287"/>
      <c r="B468" s="287"/>
      <c r="C468" s="287"/>
      <c r="D468" s="287"/>
      <c r="E468" s="287"/>
      <c r="F468" s="287"/>
      <c r="G468" s="403"/>
      <c r="H468" s="305"/>
      <c r="I468" s="305"/>
      <c r="J468" s="305"/>
      <c r="K468" s="287"/>
    </row>
    <row r="469" spans="1:11" x14ac:dyDescent="0.25">
      <c r="A469" s="287"/>
      <c r="B469" s="287"/>
      <c r="C469" s="287"/>
      <c r="D469" s="287"/>
      <c r="E469" s="287"/>
      <c r="F469" s="287"/>
      <c r="G469" s="403"/>
      <c r="H469" s="305"/>
      <c r="I469" s="305"/>
      <c r="J469" s="305"/>
      <c r="K469" s="287"/>
    </row>
    <row r="470" spans="1:11" x14ac:dyDescent="0.25">
      <c r="A470" s="287"/>
      <c r="B470" s="287"/>
      <c r="C470" s="287"/>
      <c r="D470" s="287"/>
      <c r="E470" s="287"/>
      <c r="F470" s="287"/>
      <c r="G470" s="403"/>
      <c r="H470" s="305"/>
      <c r="I470" s="305"/>
      <c r="J470" s="305"/>
      <c r="K470" s="287"/>
    </row>
    <row r="471" spans="1:11" x14ac:dyDescent="0.25">
      <c r="A471" s="287"/>
      <c r="B471" s="287"/>
      <c r="C471" s="287"/>
      <c r="D471" s="287"/>
      <c r="E471" s="287"/>
      <c r="F471" s="287"/>
      <c r="G471" s="403"/>
      <c r="H471" s="305"/>
      <c r="I471" s="305"/>
      <c r="J471" s="305"/>
      <c r="K471" s="287"/>
    </row>
    <row r="472" spans="1:11" x14ac:dyDescent="0.25">
      <c r="A472" s="287"/>
      <c r="B472" s="287"/>
      <c r="C472" s="287"/>
      <c r="D472" s="287"/>
      <c r="E472" s="287"/>
      <c r="F472" s="287"/>
      <c r="G472" s="403"/>
      <c r="H472" s="305"/>
      <c r="I472" s="305"/>
      <c r="J472" s="305"/>
      <c r="K472" s="287"/>
    </row>
    <row r="473" spans="1:11" x14ac:dyDescent="0.25">
      <c r="A473" s="287"/>
      <c r="B473" s="287"/>
      <c r="C473" s="287"/>
      <c r="D473" s="287"/>
      <c r="E473" s="287"/>
      <c r="F473" s="287"/>
      <c r="G473" s="403"/>
      <c r="H473" s="305"/>
      <c r="I473" s="305"/>
      <c r="J473" s="305"/>
      <c r="K473" s="287"/>
    </row>
    <row r="474" spans="1:11" x14ac:dyDescent="0.25">
      <c r="A474" s="287"/>
      <c r="B474" s="287"/>
      <c r="C474" s="287"/>
      <c r="D474" s="287"/>
      <c r="E474" s="287"/>
      <c r="F474" s="287"/>
      <c r="G474" s="403"/>
      <c r="H474" s="305"/>
      <c r="I474" s="305"/>
      <c r="J474" s="305"/>
      <c r="K474" s="287"/>
    </row>
    <row r="475" spans="1:11" x14ac:dyDescent="0.25">
      <c r="A475" s="287"/>
      <c r="B475" s="287"/>
      <c r="C475" s="287"/>
      <c r="D475" s="287"/>
      <c r="E475" s="287"/>
      <c r="F475" s="287"/>
      <c r="G475" s="403"/>
      <c r="H475" s="305"/>
      <c r="I475" s="305"/>
      <c r="J475" s="305"/>
      <c r="K475"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customProperties>
    <customPr name="OrphanNamesChecke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668</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772</v>
      </c>
      <c r="C6" s="421" t="str">
        <f>Results!$C$6</f>
        <v>Mind Springs Health</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10" t="s">
        <v>1</v>
      </c>
      <c r="C10" s="510"/>
      <c r="D10" s="151" t="s">
        <v>669</v>
      </c>
      <c r="E10" s="151" t="s">
        <v>670</v>
      </c>
      <c r="F10" s="151" t="s">
        <v>671</v>
      </c>
      <c r="G10" s="151" t="s">
        <v>778</v>
      </c>
      <c r="H10" s="151" t="s">
        <v>672</v>
      </c>
      <c r="I10" s="151" t="s">
        <v>673</v>
      </c>
      <c r="J10" s="151" t="s">
        <v>674</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506" t="s">
        <v>279</v>
      </c>
      <c r="B12" s="507"/>
      <c r="C12" s="507"/>
      <c r="D12" s="507"/>
      <c r="E12" s="507"/>
      <c r="F12" s="507"/>
      <c r="G12" s="507"/>
      <c r="H12" s="507"/>
      <c r="I12" s="507"/>
      <c r="J12" s="508"/>
      <c r="M12" s="128"/>
      <c r="N12" s="128"/>
      <c r="O12" s="128"/>
      <c r="P12" s="128"/>
      <c r="Q12" s="128"/>
      <c r="R12" s="128"/>
      <c r="S12" s="128"/>
    </row>
    <row r="13" spans="1:19" s="22" customFormat="1" x14ac:dyDescent="0.35">
      <c r="A13" s="155">
        <v>1</v>
      </c>
      <c r="B13" s="497" t="s">
        <v>457</v>
      </c>
      <c r="C13" s="499"/>
      <c r="D13" s="156">
        <f>'Schedule 1 Adjustments'!F13</f>
        <v>6.06</v>
      </c>
      <c r="E13" s="157">
        <f>'Schedule 1 Adjustments'!I13</f>
        <v>0</v>
      </c>
      <c r="F13" s="157">
        <f>'Schedule 1 Adjustments'!L13</f>
        <v>1769687.29</v>
      </c>
      <c r="G13" s="157">
        <f>'Schedule 1 Adjustments'!O13</f>
        <v>586445.81999999995</v>
      </c>
      <c r="H13" s="157">
        <f>'Schedule 1 Adjustments'!R13</f>
        <v>0</v>
      </c>
      <c r="I13" s="157">
        <f>'Schedule 1 Adjustments'!U13</f>
        <v>0</v>
      </c>
      <c r="J13" s="158">
        <f t="shared" ref="J13:J16" si="0">SUM(E13:I13)</f>
        <v>2356133.11</v>
      </c>
      <c r="M13" s="140"/>
    </row>
    <row r="14" spans="1:19" s="22" customFormat="1" x14ac:dyDescent="0.35">
      <c r="A14" s="155">
        <v>2</v>
      </c>
      <c r="B14" s="497" t="s">
        <v>290</v>
      </c>
      <c r="C14" s="499"/>
      <c r="D14" s="156">
        <f>'Schedule 1 Adjustments'!F14</f>
        <v>98.7</v>
      </c>
      <c r="E14" s="157">
        <f>'Schedule 1 Adjustments'!I14</f>
        <v>24782.02</v>
      </c>
      <c r="F14" s="157">
        <f>'Schedule 1 Adjustments'!L14</f>
        <v>4299277.92</v>
      </c>
      <c r="G14" s="157">
        <f>'Schedule 1 Adjustments'!O14</f>
        <v>6625405.0999999996</v>
      </c>
      <c r="H14" s="157">
        <f>'Schedule 1 Adjustments'!R14</f>
        <v>89942.21</v>
      </c>
      <c r="I14" s="157">
        <f>'Schedule 1 Adjustments'!U14</f>
        <v>27274</v>
      </c>
      <c r="J14" s="158">
        <f t="shared" si="0"/>
        <v>11066681.25</v>
      </c>
      <c r="M14" s="140"/>
    </row>
    <row r="15" spans="1:19" s="22" customFormat="1" x14ac:dyDescent="0.35">
      <c r="A15" s="155">
        <v>3</v>
      </c>
      <c r="B15" s="497" t="s">
        <v>300</v>
      </c>
      <c r="C15" s="499"/>
      <c r="D15" s="156">
        <f>'Schedule 1 Adjustments'!F15</f>
        <v>221</v>
      </c>
      <c r="E15" s="157">
        <f>'Schedule 1 Adjustments'!I15</f>
        <v>894396.05</v>
      </c>
      <c r="F15" s="157">
        <f>'Schedule 1 Adjustments'!L15</f>
        <v>3977844.59</v>
      </c>
      <c r="G15" s="157">
        <f>'Schedule 1 Adjustments'!O15</f>
        <v>8922247.2400000002</v>
      </c>
      <c r="H15" s="157">
        <f>'Schedule 1 Adjustments'!R15</f>
        <v>37448.589999999997</v>
      </c>
      <c r="I15" s="157">
        <f>'Schedule 1 Adjustments'!U15</f>
        <v>0</v>
      </c>
      <c r="J15" s="158">
        <f t="shared" si="0"/>
        <v>13831936.469999999</v>
      </c>
      <c r="M15" s="140"/>
    </row>
    <row r="16" spans="1:19" s="22" customFormat="1" x14ac:dyDescent="0.35">
      <c r="A16" s="155">
        <v>4</v>
      </c>
      <c r="B16" s="503" t="s">
        <v>289</v>
      </c>
      <c r="C16" s="505"/>
      <c r="D16" s="159">
        <f t="shared" ref="D16:I16" si="1">SUM(D13:D15)</f>
        <v>325.76</v>
      </c>
      <c r="E16" s="160">
        <f t="shared" si="1"/>
        <v>919178.07000000007</v>
      </c>
      <c r="F16" s="160">
        <f t="shared" si="1"/>
        <v>10046809.800000001</v>
      </c>
      <c r="G16" s="160">
        <f t="shared" si="1"/>
        <v>16134098.16</v>
      </c>
      <c r="H16" s="160">
        <f t="shared" si="1"/>
        <v>127390.8</v>
      </c>
      <c r="I16" s="160">
        <f t="shared" si="1"/>
        <v>27274</v>
      </c>
      <c r="J16" s="160">
        <f t="shared" si="0"/>
        <v>27254750.830000002</v>
      </c>
      <c r="M16" s="140"/>
    </row>
    <row r="17" spans="1:13" s="22" customFormat="1" x14ac:dyDescent="0.35">
      <c r="A17" s="161"/>
      <c r="B17" s="162"/>
      <c r="C17" s="162"/>
      <c r="D17" s="163"/>
      <c r="E17" s="164"/>
      <c r="F17" s="164"/>
      <c r="G17" s="164"/>
      <c r="H17" s="164"/>
      <c r="I17" s="164"/>
      <c r="J17" s="164"/>
      <c r="M17" s="140"/>
    </row>
    <row r="18" spans="1:13" s="22" customFormat="1" x14ac:dyDescent="0.35">
      <c r="A18" s="506" t="s">
        <v>280</v>
      </c>
      <c r="B18" s="507"/>
      <c r="C18" s="507"/>
      <c r="D18" s="507"/>
      <c r="E18" s="507"/>
      <c r="F18" s="507"/>
      <c r="G18" s="507"/>
      <c r="H18" s="507"/>
      <c r="I18" s="507"/>
      <c r="J18" s="508"/>
      <c r="M18" s="140"/>
    </row>
    <row r="19" spans="1:13" s="22" customFormat="1" x14ac:dyDescent="0.35">
      <c r="A19" s="155">
        <v>5</v>
      </c>
      <c r="B19" s="497" t="s">
        <v>220</v>
      </c>
      <c r="C19" s="499"/>
      <c r="D19" s="156">
        <f>'Schedule 1 Adjustments'!F19</f>
        <v>8</v>
      </c>
      <c r="E19" s="157">
        <f>'Schedule 1 Adjustments'!I19</f>
        <v>1249235.8999999999</v>
      </c>
      <c r="F19" s="157">
        <f>'Schedule 1 Adjustments'!L19</f>
        <v>560065.57999999996</v>
      </c>
      <c r="G19" s="157">
        <f>'Schedule 1 Adjustments'!O19</f>
        <v>25030.18</v>
      </c>
      <c r="H19" s="157">
        <f>'Schedule 1 Adjustments'!R19</f>
        <v>0</v>
      </c>
      <c r="I19" s="157">
        <f>'Schedule 1 Adjustments'!U19</f>
        <v>199007.49</v>
      </c>
      <c r="J19" s="158">
        <f>SUM(E19:I19)</f>
        <v>2033339.15</v>
      </c>
      <c r="M19" s="140"/>
    </row>
    <row r="20" spans="1:13" s="22" customFormat="1" x14ac:dyDescent="0.35">
      <c r="A20" s="155">
        <v>6</v>
      </c>
      <c r="B20" s="497" t="s">
        <v>292</v>
      </c>
      <c r="C20" s="499"/>
      <c r="D20" s="156">
        <f>'Schedule 1 Adjustments'!F20</f>
        <v>80</v>
      </c>
      <c r="E20" s="157">
        <f>'Schedule 1 Adjustments'!I20</f>
        <v>2643123.04</v>
      </c>
      <c r="F20" s="157">
        <f>'Schedule 1 Adjustments'!L20</f>
        <v>1605554.09</v>
      </c>
      <c r="G20" s="157">
        <f>'Schedule 1 Adjustments'!O20</f>
        <v>1120352.46</v>
      </c>
      <c r="H20" s="157">
        <f>'Schedule 1 Adjustments'!R20</f>
        <v>10988.09</v>
      </c>
      <c r="I20" s="157">
        <f>'Schedule 1 Adjustments'!U20</f>
        <v>129745.53</v>
      </c>
      <c r="J20" s="158">
        <f>SUM(E20:I20)</f>
        <v>5509763.21</v>
      </c>
      <c r="M20" s="140"/>
    </row>
    <row r="21" spans="1:13" s="22" customFormat="1" x14ac:dyDescent="0.35">
      <c r="A21" s="155">
        <v>7</v>
      </c>
      <c r="B21" s="503" t="s">
        <v>219</v>
      </c>
      <c r="C21" s="505"/>
      <c r="D21" s="159">
        <f t="shared" ref="D21:I21" si="2">SUM(D19:D20)</f>
        <v>88</v>
      </c>
      <c r="E21" s="160">
        <f t="shared" si="2"/>
        <v>3892358.94</v>
      </c>
      <c r="F21" s="160">
        <f t="shared" si="2"/>
        <v>2165619.67</v>
      </c>
      <c r="G21" s="160">
        <f t="shared" si="2"/>
        <v>1145382.6399999999</v>
      </c>
      <c r="H21" s="160">
        <f t="shared" si="2"/>
        <v>10988.09</v>
      </c>
      <c r="I21" s="160">
        <f t="shared" si="2"/>
        <v>328753.02</v>
      </c>
      <c r="J21" s="160">
        <f>SUM(E21:I21)</f>
        <v>7543102.3599999994</v>
      </c>
      <c r="M21" s="140"/>
    </row>
    <row r="22" spans="1:13" s="22" customFormat="1" x14ac:dyDescent="0.35">
      <c r="A22" s="161"/>
      <c r="B22" s="162"/>
      <c r="C22" s="162"/>
      <c r="D22" s="163"/>
      <c r="E22" s="164"/>
      <c r="F22" s="164"/>
      <c r="G22" s="164"/>
      <c r="H22" s="164"/>
      <c r="I22" s="164"/>
      <c r="J22" s="164"/>
      <c r="M22" s="140"/>
    </row>
    <row r="23" spans="1:13" s="22" customFormat="1" x14ac:dyDescent="0.35">
      <c r="A23" s="506" t="s">
        <v>274</v>
      </c>
      <c r="B23" s="507"/>
      <c r="C23" s="507"/>
      <c r="D23" s="507"/>
      <c r="E23" s="507"/>
      <c r="F23" s="507"/>
      <c r="G23" s="507"/>
      <c r="H23" s="507"/>
      <c r="I23" s="507"/>
      <c r="J23" s="508"/>
      <c r="M23" s="140"/>
    </row>
    <row r="24" spans="1:13" s="22" customFormat="1" x14ac:dyDescent="0.35">
      <c r="A24" s="155">
        <v>8</v>
      </c>
      <c r="B24" s="497" t="s">
        <v>275</v>
      </c>
      <c r="C24" s="498"/>
      <c r="D24" s="499"/>
      <c r="E24" s="165">
        <f>'Schedule 1 Adjustments'!I24</f>
        <v>-93866.590000000026</v>
      </c>
      <c r="F24" s="165">
        <f>'Schedule 1 Adjustments'!L24</f>
        <v>-101054.71000000002</v>
      </c>
      <c r="G24" s="165">
        <f>'Schedule 1 Adjustments'!O24</f>
        <v>0</v>
      </c>
      <c r="H24" s="165">
        <f>'Schedule 1 Adjustments'!R24</f>
        <v>0</v>
      </c>
      <c r="I24" s="165">
        <f>-SUM(E24:H24)</f>
        <v>194921.30000000005</v>
      </c>
      <c r="J24" s="158">
        <f>SUM(E24:I24)</f>
        <v>0</v>
      </c>
      <c r="M24" s="140"/>
    </row>
    <row r="25" spans="1:13" s="22" customFormat="1" x14ac:dyDescent="0.35">
      <c r="A25" s="155">
        <v>9</v>
      </c>
      <c r="B25" s="503" t="s">
        <v>221</v>
      </c>
      <c r="C25" s="504"/>
      <c r="D25" s="505"/>
      <c r="E25" s="160">
        <f>SUM(E24:E24)</f>
        <v>-93866.590000000026</v>
      </c>
      <c r="F25" s="160">
        <f>SUM(F24:F24)</f>
        <v>-101054.71000000002</v>
      </c>
      <c r="G25" s="160">
        <f>SUM(G24:G24)</f>
        <v>0</v>
      </c>
      <c r="H25" s="160">
        <f>SUM(H24:H24)</f>
        <v>0</v>
      </c>
      <c r="I25" s="160">
        <f>SUM(I24:I24)</f>
        <v>194921.30000000005</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506" t="s">
        <v>234</v>
      </c>
      <c r="B27" s="507"/>
      <c r="C27" s="507"/>
      <c r="D27" s="507"/>
      <c r="E27" s="507"/>
      <c r="F27" s="507"/>
      <c r="G27" s="507"/>
      <c r="H27" s="507"/>
      <c r="I27" s="507"/>
      <c r="J27" s="508"/>
      <c r="M27" s="140"/>
    </row>
    <row r="28" spans="1:13" s="22" customFormat="1" x14ac:dyDescent="0.35">
      <c r="A28" s="155">
        <v>10</v>
      </c>
      <c r="B28" s="497" t="s">
        <v>223</v>
      </c>
      <c r="C28" s="498"/>
      <c r="D28" s="499"/>
      <c r="E28" s="157">
        <f>'Schedule 1 Adjustments'!I28</f>
        <v>291365</v>
      </c>
      <c r="F28" s="157">
        <f>'Schedule 1 Adjustments'!L28</f>
        <v>77301.259999999995</v>
      </c>
      <c r="G28" s="157">
        <f>'Schedule 1 Adjustments'!O28</f>
        <v>348801.05</v>
      </c>
      <c r="H28" s="157">
        <f>'Schedule 1 Adjustments'!R28</f>
        <v>5000.9799999999996</v>
      </c>
      <c r="I28" s="157">
        <f>'Schedule 1 Adjustments'!U28</f>
        <v>0</v>
      </c>
      <c r="J28" s="158">
        <f>SUM(E28:I28)</f>
        <v>722468.29</v>
      </c>
      <c r="M28" s="140"/>
    </row>
    <row r="29" spans="1:13" s="22" customFormat="1" x14ac:dyDescent="0.35">
      <c r="A29" s="155">
        <v>11</v>
      </c>
      <c r="B29" s="173" t="s">
        <v>222</v>
      </c>
      <c r="C29" s="167"/>
      <c r="D29" s="168"/>
      <c r="E29" s="157">
        <f>'Schedule 1 Adjustments'!I29</f>
        <v>1071651.99</v>
      </c>
      <c r="F29" s="157">
        <f>'Schedule 1 Adjustments'!L29</f>
        <v>2305566.19</v>
      </c>
      <c r="G29" s="157">
        <f>'Schedule 1 Adjustments'!O29</f>
        <v>4129950.34</v>
      </c>
      <c r="H29" s="157">
        <f>'Schedule 1 Adjustments'!R29</f>
        <v>51116.58</v>
      </c>
      <c r="I29" s="157">
        <f>'Schedule 1 Adjustments'!U29</f>
        <v>30870.98</v>
      </c>
      <c r="J29" s="158">
        <f>SUM(E29:I29)</f>
        <v>7589156.0800000001</v>
      </c>
      <c r="K29" s="128"/>
      <c r="M29" s="140"/>
    </row>
    <row r="30" spans="1:13" s="22" customFormat="1" x14ac:dyDescent="0.35">
      <c r="A30" s="155">
        <v>12</v>
      </c>
      <c r="B30" s="497" t="s">
        <v>299</v>
      </c>
      <c r="C30" s="498"/>
      <c r="D30" s="499"/>
      <c r="E30" s="157">
        <f>'Schedule 1 Adjustments'!I30</f>
        <v>5000</v>
      </c>
      <c r="F30" s="157">
        <f>'Schedule 1 Adjustments'!L30</f>
        <v>5183.3500000000004</v>
      </c>
      <c r="G30" s="157">
        <f>'Schedule 1 Adjustments'!O30</f>
        <v>8258</v>
      </c>
      <c r="H30" s="157">
        <f>'Schedule 1 Adjustments'!R30</f>
        <v>6011.11</v>
      </c>
      <c r="I30" s="157">
        <f>'Schedule 1 Adjustments'!U30</f>
        <v>0</v>
      </c>
      <c r="J30" s="158">
        <f t="shared" ref="J30" si="3">SUM(E30:I30)</f>
        <v>24452.46</v>
      </c>
      <c r="M30" s="140"/>
    </row>
    <row r="31" spans="1:13" s="22" customFormat="1" x14ac:dyDescent="0.35">
      <c r="A31" s="155">
        <v>13</v>
      </c>
      <c r="B31" s="503" t="s">
        <v>224</v>
      </c>
      <c r="C31" s="504"/>
      <c r="D31" s="505"/>
      <c r="E31" s="160">
        <f>SUM(E28:E30)</f>
        <v>1368016.99</v>
      </c>
      <c r="F31" s="160">
        <f>SUM(F28:F30)</f>
        <v>2388050.7999999998</v>
      </c>
      <c r="G31" s="160">
        <f>SUM(G28:G30)</f>
        <v>4487009.3899999997</v>
      </c>
      <c r="H31" s="160">
        <f>SUM(H28:H30)</f>
        <v>62128.67</v>
      </c>
      <c r="I31" s="160">
        <f>SUM(I28:I30)</f>
        <v>30870.98</v>
      </c>
      <c r="J31" s="160">
        <f>SUM(E31:I31)</f>
        <v>8336076.8300000001</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503" t="s">
        <v>227</v>
      </c>
      <c r="C33" s="504"/>
      <c r="D33" s="505"/>
      <c r="E33" s="160">
        <f>E31+E25+E21+E16</f>
        <v>6085687.4100000001</v>
      </c>
      <c r="F33" s="160">
        <f>F31+F25+F21+F16</f>
        <v>14499425.560000001</v>
      </c>
      <c r="G33" s="160">
        <f>G31+G25+G21+G16</f>
        <v>21766490.189999998</v>
      </c>
      <c r="H33" s="160">
        <f>H31+H25+H21+H16</f>
        <v>200507.56</v>
      </c>
      <c r="I33" s="160">
        <f>I31+I25+I21+I16</f>
        <v>581819.30000000005</v>
      </c>
      <c r="J33" s="160">
        <f t="shared" ref="J33" si="4">SUM(E33:I33)</f>
        <v>43133930.019999996</v>
      </c>
      <c r="M33" s="140"/>
    </row>
    <row r="34" spans="1:13" s="22" customFormat="1" x14ac:dyDescent="0.35">
      <c r="A34" s="161"/>
      <c r="B34" s="162"/>
      <c r="C34" s="162"/>
      <c r="D34" s="163"/>
      <c r="E34" s="164"/>
      <c r="F34" s="164"/>
      <c r="G34" s="164"/>
      <c r="H34" s="164"/>
      <c r="I34" s="164"/>
      <c r="J34" s="164"/>
      <c r="M34" s="140"/>
    </row>
    <row r="35" spans="1:13" s="22" customFormat="1" x14ac:dyDescent="0.35">
      <c r="A35" s="506" t="s">
        <v>233</v>
      </c>
      <c r="B35" s="507"/>
      <c r="C35" s="507"/>
      <c r="D35" s="507"/>
      <c r="E35" s="507"/>
      <c r="F35" s="507"/>
      <c r="G35" s="507"/>
      <c r="H35" s="507"/>
      <c r="I35" s="507"/>
      <c r="J35" s="508"/>
      <c r="M35" s="140"/>
    </row>
    <row r="36" spans="1:13" s="22" customFormat="1" x14ac:dyDescent="0.35">
      <c r="A36" s="155">
        <v>15</v>
      </c>
      <c r="B36" s="497" t="s">
        <v>291</v>
      </c>
      <c r="C36" s="498"/>
      <c r="D36" s="499"/>
      <c r="E36" s="157">
        <f>'Schedule 1 Adjustments'!I36</f>
        <v>0</v>
      </c>
      <c r="F36" s="157">
        <f>'Schedule 1 Adjustments'!L36</f>
        <v>128854.1</v>
      </c>
      <c r="G36" s="157">
        <f>'Schedule 1 Adjustments'!O36</f>
        <v>2568280.8199999998</v>
      </c>
      <c r="H36" s="157">
        <f>'Schedule 1 Adjustments'!R36</f>
        <v>2925</v>
      </c>
      <c r="I36" s="157">
        <f>'Schedule 1 Adjustments'!U36</f>
        <v>0</v>
      </c>
      <c r="J36" s="158">
        <f>SUM(E36:I36)</f>
        <v>2700059.92</v>
      </c>
      <c r="M36" s="140"/>
    </row>
    <row r="37" spans="1:13" s="22" customFormat="1" x14ac:dyDescent="0.35">
      <c r="A37" s="155">
        <v>16</v>
      </c>
      <c r="B37" s="497" t="s">
        <v>226</v>
      </c>
      <c r="C37" s="498"/>
      <c r="D37" s="499"/>
      <c r="E37" s="157">
        <f>'Schedule 1 Adjustments'!I37</f>
        <v>158511</v>
      </c>
      <c r="F37" s="157">
        <f>'Schedule 1 Adjustments'!L37</f>
        <v>1135</v>
      </c>
      <c r="G37" s="157">
        <f>'Schedule 1 Adjustments'!O37</f>
        <v>0</v>
      </c>
      <c r="H37" s="157">
        <f>'Schedule 1 Adjustments'!R37</f>
        <v>0</v>
      </c>
      <c r="I37" s="157">
        <f>'Schedule 1 Adjustments'!U37</f>
        <v>0</v>
      </c>
      <c r="J37" s="158">
        <f>SUM(E37:I37)</f>
        <v>159646</v>
      </c>
    </row>
    <row r="38" spans="1:13" s="22" customFormat="1" x14ac:dyDescent="0.35">
      <c r="A38" s="155">
        <v>17</v>
      </c>
      <c r="B38" s="173" t="s">
        <v>458</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503" t="s">
        <v>225</v>
      </c>
      <c r="C39" s="504"/>
      <c r="D39" s="505"/>
      <c r="E39" s="160">
        <f>SUM(E36:E38)</f>
        <v>158511</v>
      </c>
      <c r="F39" s="160">
        <f t="shared" ref="F39:I39" si="5">SUM(F36:F38)</f>
        <v>129989.1</v>
      </c>
      <c r="G39" s="160">
        <f t="shared" si="5"/>
        <v>2568280.8199999998</v>
      </c>
      <c r="H39" s="160">
        <f t="shared" si="5"/>
        <v>2925</v>
      </c>
      <c r="I39" s="160">
        <f t="shared" si="5"/>
        <v>0</v>
      </c>
      <c r="J39" s="160">
        <f>SUM(E39:I39)</f>
        <v>2859705.92</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503" t="s">
        <v>228</v>
      </c>
      <c r="C41" s="504"/>
      <c r="D41" s="505"/>
      <c r="E41" s="160">
        <f>E39+E33</f>
        <v>6244198.4100000001</v>
      </c>
      <c r="F41" s="160">
        <f>F39+F33</f>
        <v>14629414.66</v>
      </c>
      <c r="G41" s="160">
        <f>G39+G33</f>
        <v>24334771.009999998</v>
      </c>
      <c r="H41" s="160">
        <f>H39+H33</f>
        <v>203432.56</v>
      </c>
      <c r="I41" s="160">
        <f>I39+I33</f>
        <v>581819.30000000005</v>
      </c>
      <c r="J41" s="160">
        <f>SUM(E41:I41)</f>
        <v>45993635.939999998</v>
      </c>
      <c r="M41" s="140"/>
    </row>
    <row r="42" spans="1:13" s="22" customFormat="1" x14ac:dyDescent="0.35">
      <c r="A42" s="161"/>
      <c r="B42" s="162"/>
      <c r="C42" s="162"/>
      <c r="D42" s="163"/>
      <c r="E42" s="164"/>
      <c r="F42" s="164"/>
      <c r="G42" s="164"/>
      <c r="H42" s="164"/>
      <c r="I42" s="164"/>
      <c r="J42" s="164"/>
      <c r="M42" s="140"/>
    </row>
    <row r="43" spans="1:13" s="22" customFormat="1" x14ac:dyDescent="0.35">
      <c r="A43" s="506" t="s">
        <v>486</v>
      </c>
      <c r="B43" s="507"/>
      <c r="C43" s="507"/>
      <c r="D43" s="507"/>
      <c r="E43" s="507"/>
      <c r="F43" s="507"/>
      <c r="G43" s="507"/>
      <c r="H43" s="507"/>
      <c r="I43" s="507"/>
      <c r="J43" s="508"/>
      <c r="M43" s="140"/>
    </row>
    <row r="44" spans="1:13" s="22" customFormat="1" x14ac:dyDescent="0.35">
      <c r="A44" s="155">
        <v>20</v>
      </c>
      <c r="B44" s="497" t="s">
        <v>282</v>
      </c>
      <c r="C44" s="498"/>
      <c r="D44" s="499"/>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497" t="s">
        <v>229</v>
      </c>
      <c r="C45" s="498"/>
      <c r="D45" s="499"/>
      <c r="E45" s="157">
        <f>'Schedule 1 Adjustments'!I45</f>
        <v>0</v>
      </c>
      <c r="F45" s="157">
        <f>'Schedule 1 Adjustments'!L45</f>
        <v>46736.43</v>
      </c>
      <c r="G45" s="157">
        <f>'Schedule 1 Adjustments'!O45</f>
        <v>50856.27</v>
      </c>
      <c r="H45" s="157">
        <f>'Schedule 1 Adjustments'!R45</f>
        <v>0</v>
      </c>
      <c r="I45" s="157">
        <f>'Schedule 1 Adjustments'!U45</f>
        <v>0</v>
      </c>
      <c r="J45" s="158">
        <f t="shared" ref="J45:J50" si="6">SUM(E45:I45)</f>
        <v>97592.7</v>
      </c>
      <c r="M45" s="140"/>
    </row>
    <row r="46" spans="1:13" s="22" customFormat="1" x14ac:dyDescent="0.35">
      <c r="A46" s="155">
        <v>22</v>
      </c>
      <c r="B46" s="497" t="s">
        <v>287</v>
      </c>
      <c r="C46" s="498"/>
      <c r="D46" s="499"/>
      <c r="E46" s="157">
        <f>'Schedule 1 Adjustments'!I46</f>
        <v>0</v>
      </c>
      <c r="F46" s="157">
        <f>'Schedule 1 Adjustments'!L46</f>
        <v>14537.73</v>
      </c>
      <c r="G46" s="157">
        <f>'Schedule 1 Adjustments'!O46</f>
        <v>1491492.56</v>
      </c>
      <c r="H46" s="157">
        <f>'Schedule 1 Adjustments'!R46</f>
        <v>0</v>
      </c>
      <c r="I46" s="157">
        <f>'Schedule 1 Adjustments'!U46</f>
        <v>0</v>
      </c>
      <c r="J46" s="158">
        <f t="shared" si="6"/>
        <v>1506030.29</v>
      </c>
      <c r="M46" s="140"/>
    </row>
    <row r="47" spans="1:13" s="22" customFormat="1" x14ac:dyDescent="0.35">
      <c r="A47" s="155">
        <v>23</v>
      </c>
      <c r="B47" s="497" t="s">
        <v>283</v>
      </c>
      <c r="C47" s="498"/>
      <c r="D47" s="499"/>
      <c r="E47" s="157">
        <f>'Schedule 1 Adjustments'!I47</f>
        <v>0</v>
      </c>
      <c r="F47" s="157">
        <f>'Schedule 1 Adjustments'!L47</f>
        <v>0</v>
      </c>
      <c r="G47" s="157">
        <f>'Schedule 1 Adjustments'!O47</f>
        <v>0</v>
      </c>
      <c r="H47" s="157">
        <f>'Schedule 1 Adjustments'!R47</f>
        <v>0</v>
      </c>
      <c r="I47" s="157">
        <f>'Schedule 1 Adjustments'!U47</f>
        <v>0</v>
      </c>
      <c r="J47" s="158">
        <f t="shared" si="6"/>
        <v>0</v>
      </c>
      <c r="M47" s="140"/>
    </row>
    <row r="48" spans="1:13" s="22" customFormat="1" x14ac:dyDescent="0.35">
      <c r="A48" s="155">
        <v>24</v>
      </c>
      <c r="B48" s="497" t="s">
        <v>313</v>
      </c>
      <c r="C48" s="498"/>
      <c r="D48" s="499"/>
      <c r="E48" s="157">
        <f>'Schedule 1 Adjustments'!I48</f>
        <v>0</v>
      </c>
      <c r="F48" s="157">
        <f>'Schedule 1 Adjustments'!L48</f>
        <v>14.96</v>
      </c>
      <c r="G48" s="157">
        <f>'Schedule 1 Adjustments'!O48</f>
        <v>642735.18000000005</v>
      </c>
      <c r="H48" s="157">
        <f>'Schedule 1 Adjustments'!R48</f>
        <v>0</v>
      </c>
      <c r="I48" s="157">
        <f>'Schedule 1 Adjustments'!U48</f>
        <v>0</v>
      </c>
      <c r="J48" s="158">
        <f t="shared" si="6"/>
        <v>642750.14</v>
      </c>
      <c r="M48" s="140"/>
    </row>
    <row r="49" spans="1:13" s="22" customFormat="1" x14ac:dyDescent="0.35">
      <c r="A49" s="155">
        <v>25</v>
      </c>
      <c r="B49" s="497" t="s">
        <v>774</v>
      </c>
      <c r="C49" s="498"/>
      <c r="D49" s="499"/>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97" t="s">
        <v>451</v>
      </c>
      <c r="C50" s="498"/>
      <c r="D50" s="499"/>
      <c r="E50" s="157">
        <f>'Schedule 1 Adjustments'!I50</f>
        <v>-473687</v>
      </c>
      <c r="F50" s="157">
        <f>'Schedule 1 Adjustments'!L50</f>
        <v>489982.2</v>
      </c>
      <c r="G50" s="157">
        <f>'Schedule 1 Adjustments'!O50</f>
        <v>1271357.83</v>
      </c>
      <c r="H50" s="157">
        <f>'Schedule 1 Adjustments'!R50</f>
        <v>67058.67</v>
      </c>
      <c r="I50" s="157">
        <f>'Schedule 1 Adjustments'!U50</f>
        <v>0</v>
      </c>
      <c r="J50" s="158">
        <f t="shared" si="6"/>
        <v>1354711.7</v>
      </c>
      <c r="M50" s="140"/>
    </row>
    <row r="51" spans="1:13" s="22" customFormat="1" x14ac:dyDescent="0.35">
      <c r="A51" s="155">
        <v>27</v>
      </c>
      <c r="B51" s="503" t="s">
        <v>237</v>
      </c>
      <c r="C51" s="504"/>
      <c r="D51" s="505"/>
      <c r="E51" s="160">
        <f>SUM(E44:E50)</f>
        <v>-473687</v>
      </c>
      <c r="F51" s="160">
        <f>SUM(F44:F50)</f>
        <v>551271.32000000007</v>
      </c>
      <c r="G51" s="160">
        <f>SUM(G44:G50)</f>
        <v>3456441.8400000003</v>
      </c>
      <c r="H51" s="160">
        <f>SUM(H44:H50)</f>
        <v>67058.67</v>
      </c>
      <c r="I51" s="160">
        <f>SUM(I44:I50)</f>
        <v>0</v>
      </c>
      <c r="J51" s="160">
        <f>SUM(E51:I51)</f>
        <v>3601084.83</v>
      </c>
      <c r="M51" s="140"/>
    </row>
    <row r="52" spans="1:13" s="22" customFormat="1" x14ac:dyDescent="0.35">
      <c r="A52" s="161"/>
      <c r="B52" s="509"/>
      <c r="C52" s="509"/>
      <c r="D52" s="509"/>
      <c r="E52" s="509"/>
      <c r="F52" s="509"/>
      <c r="G52" s="509"/>
      <c r="H52" s="164"/>
      <c r="I52" s="164"/>
      <c r="J52" s="164"/>
      <c r="M52" s="140"/>
    </row>
    <row r="53" spans="1:13" s="22" customFormat="1" x14ac:dyDescent="0.35">
      <c r="A53" s="506" t="s">
        <v>232</v>
      </c>
      <c r="B53" s="507"/>
      <c r="C53" s="507"/>
      <c r="D53" s="507"/>
      <c r="E53" s="507"/>
      <c r="F53" s="507"/>
      <c r="G53" s="507"/>
      <c r="H53" s="507"/>
      <c r="I53" s="507"/>
      <c r="J53" s="508"/>
      <c r="M53" s="140"/>
    </row>
    <row r="54" spans="1:13" s="22" customFormat="1" x14ac:dyDescent="0.35">
      <c r="A54" s="155">
        <v>28</v>
      </c>
      <c r="B54" s="497" t="s">
        <v>281</v>
      </c>
      <c r="C54" s="498"/>
      <c r="D54" s="499"/>
      <c r="E54" s="157">
        <f>'Schedule 1 Adjustments'!I54</f>
        <v>0</v>
      </c>
      <c r="F54" s="157">
        <f>'Schedule 1 Adjustments'!L54</f>
        <v>0</v>
      </c>
      <c r="G54" s="157">
        <f>'Schedule 1 Adjustments'!O54</f>
        <v>0</v>
      </c>
      <c r="H54" s="157">
        <f>'Schedule 1 Adjustments'!R54</f>
        <v>0</v>
      </c>
      <c r="I54" s="157">
        <f>'Schedule 1 Adjustments'!U54</f>
        <v>0</v>
      </c>
      <c r="J54" s="158">
        <f>SUM(E54:I54)</f>
        <v>0</v>
      </c>
      <c r="M54" s="140"/>
    </row>
    <row r="55" spans="1:13" s="22" customFormat="1" x14ac:dyDescent="0.35">
      <c r="A55" s="155">
        <v>29</v>
      </c>
      <c r="B55" s="497" t="s">
        <v>293</v>
      </c>
      <c r="C55" s="498"/>
      <c r="D55" s="499"/>
      <c r="E55" s="157">
        <f>'Schedule 1 Adjustments'!I55</f>
        <v>-125078</v>
      </c>
      <c r="F55" s="157">
        <f>'Schedule 1 Adjustments'!L55</f>
        <v>61662.89</v>
      </c>
      <c r="G55" s="157">
        <f>'Schedule 1 Adjustments'!O55</f>
        <v>62620.86</v>
      </c>
      <c r="H55" s="157">
        <f>'Schedule 1 Adjustments'!R55</f>
        <v>793.88</v>
      </c>
      <c r="I55" s="157">
        <f>'Schedule 1 Adjustments'!U55</f>
        <v>0</v>
      </c>
      <c r="J55" s="158">
        <f>SUM(E55:I55)</f>
        <v>-0.37000000000000455</v>
      </c>
      <c r="M55" s="140"/>
    </row>
    <row r="56" spans="1:13" s="22" customFormat="1" x14ac:dyDescent="0.35">
      <c r="A56" s="155">
        <v>30</v>
      </c>
      <c r="B56" s="497" t="s">
        <v>294</v>
      </c>
      <c r="C56" s="498"/>
      <c r="D56" s="499"/>
      <c r="E56" s="157">
        <f>'Schedule 1 Adjustments'!I56</f>
        <v>66581</v>
      </c>
      <c r="F56" s="157">
        <f>'Schedule 1 Adjustments'!L56</f>
        <v>196094.61</v>
      </c>
      <c r="G56" s="157">
        <f>'Schedule 1 Adjustments'!O56</f>
        <v>51000.130000000005</v>
      </c>
      <c r="H56" s="157">
        <f>'Schedule 1 Adjustments'!R56</f>
        <v>0</v>
      </c>
      <c r="I56" s="157">
        <f>'Schedule 1 Adjustments'!U56</f>
        <v>0</v>
      </c>
      <c r="J56" s="158">
        <f t="shared" ref="J56:J58" si="8">SUM(E56:I56)</f>
        <v>313675.74</v>
      </c>
      <c r="M56" s="140"/>
    </row>
    <row r="57" spans="1:13" s="22" customFormat="1" x14ac:dyDescent="0.35">
      <c r="A57" s="155">
        <v>31</v>
      </c>
      <c r="B57" s="497" t="s">
        <v>295</v>
      </c>
      <c r="C57" s="498"/>
      <c r="D57" s="499"/>
      <c r="E57" s="157">
        <f>'Schedule 1 Adjustments'!I57</f>
        <v>251116</v>
      </c>
      <c r="F57" s="157">
        <f>'Schedule 1 Adjustments'!L57</f>
        <v>170460.89</v>
      </c>
      <c r="G57" s="157">
        <f>'Schedule 1 Adjustments'!O57</f>
        <v>158303.35</v>
      </c>
      <c r="H57" s="157">
        <f>'Schedule 1 Adjustments'!R57</f>
        <v>1837.27</v>
      </c>
      <c r="I57" s="157">
        <f>'Schedule 1 Adjustments'!U57</f>
        <v>6725</v>
      </c>
      <c r="J57" s="158">
        <f t="shared" si="8"/>
        <v>588442.51</v>
      </c>
      <c r="M57" s="140"/>
    </row>
    <row r="58" spans="1:13" s="22" customFormat="1" x14ac:dyDescent="0.35">
      <c r="A58" s="155">
        <v>32</v>
      </c>
      <c r="B58" s="503" t="s">
        <v>230</v>
      </c>
      <c r="C58" s="504"/>
      <c r="D58" s="505"/>
      <c r="E58" s="160">
        <f>SUM(E54:E57)</f>
        <v>192619</v>
      </c>
      <c r="F58" s="160">
        <f>SUM(F54:F57)</f>
        <v>428218.39</v>
      </c>
      <c r="G58" s="160">
        <f>SUM(G54:G57)</f>
        <v>271924.34000000003</v>
      </c>
      <c r="H58" s="160">
        <f>SUM(H54:H57)</f>
        <v>2631.15</v>
      </c>
      <c r="I58" s="160">
        <f>SUM(I54:I57)</f>
        <v>6725</v>
      </c>
      <c r="J58" s="160">
        <f t="shared" si="8"/>
        <v>902117.88</v>
      </c>
      <c r="M58" s="140"/>
    </row>
    <row r="59" spans="1:13" s="22" customFormat="1" x14ac:dyDescent="0.35">
      <c r="A59" s="161"/>
      <c r="B59" s="162"/>
      <c r="C59" s="162"/>
      <c r="D59" s="163"/>
      <c r="E59" s="164"/>
      <c r="F59" s="164"/>
      <c r="G59" s="164"/>
      <c r="H59" s="164"/>
      <c r="I59" s="164"/>
      <c r="J59" s="164"/>
      <c r="M59" s="140"/>
    </row>
    <row r="60" spans="1:13" s="22" customFormat="1" x14ac:dyDescent="0.35">
      <c r="A60" s="506" t="s">
        <v>231</v>
      </c>
      <c r="B60" s="507"/>
      <c r="C60" s="507"/>
      <c r="D60" s="507"/>
      <c r="E60" s="507"/>
      <c r="F60" s="507"/>
      <c r="G60" s="507"/>
      <c r="H60" s="507"/>
      <c r="I60" s="507"/>
      <c r="J60" s="508"/>
      <c r="M60" s="140"/>
    </row>
    <row r="61" spans="1:13" s="22" customFormat="1" x14ac:dyDescent="0.35">
      <c r="A61" s="155">
        <v>33</v>
      </c>
      <c r="B61" s="497" t="s">
        <v>296</v>
      </c>
      <c r="C61" s="498"/>
      <c r="D61" s="499"/>
      <c r="E61" s="157">
        <f>'Schedule 1 Adjustments'!I61</f>
        <v>292264</v>
      </c>
      <c r="F61" s="157">
        <f>'Schedule 1 Adjustments'!L61</f>
        <v>663929</v>
      </c>
      <c r="G61" s="157">
        <f>'Schedule 1 Adjustments'!O61</f>
        <v>3131106</v>
      </c>
      <c r="H61" s="157">
        <f>'Schedule 1 Adjustments'!R61</f>
        <v>12670</v>
      </c>
      <c r="I61" s="157">
        <f>'Schedule 1 Adjustments'!U61</f>
        <v>340080</v>
      </c>
      <c r="J61" s="158">
        <f>SUM(E61:I61)</f>
        <v>4440049</v>
      </c>
      <c r="M61" s="140"/>
    </row>
    <row r="62" spans="1:13" s="22" customFormat="1" x14ac:dyDescent="0.35">
      <c r="A62" s="155">
        <v>34</v>
      </c>
      <c r="B62" s="497" t="s">
        <v>297</v>
      </c>
      <c r="C62" s="498"/>
      <c r="D62" s="499"/>
      <c r="E62" s="157">
        <f>'Schedule 1 Adjustments'!I62</f>
        <v>394289</v>
      </c>
      <c r="F62" s="157">
        <f>'Schedule 1 Adjustments'!L62</f>
        <v>67927.199999999997</v>
      </c>
      <c r="G62" s="157">
        <f>'Schedule 1 Adjustments'!O62</f>
        <v>158494.91</v>
      </c>
      <c r="H62" s="157">
        <f>'Schedule 1 Adjustments'!R62</f>
        <v>0</v>
      </c>
      <c r="I62" s="157">
        <f>'Schedule 1 Adjustments'!U62</f>
        <v>611</v>
      </c>
      <c r="J62" s="158">
        <f t="shared" ref="J62:J68" si="9">SUM(E62:I62)</f>
        <v>621322.11</v>
      </c>
      <c r="M62" s="140"/>
    </row>
    <row r="63" spans="1:13" s="22" customFormat="1" x14ac:dyDescent="0.35">
      <c r="A63" s="155">
        <v>35</v>
      </c>
      <c r="B63" s="497" t="s">
        <v>301</v>
      </c>
      <c r="C63" s="498"/>
      <c r="D63" s="499"/>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497" t="s">
        <v>314</v>
      </c>
      <c r="C64" s="498"/>
      <c r="D64" s="499"/>
      <c r="E64" s="157">
        <f>'Schedule 1 Adjustments'!I64</f>
        <v>2083</v>
      </c>
      <c r="F64" s="157">
        <f>'Schedule 1 Adjustments'!L64</f>
        <v>10321.049999999999</v>
      </c>
      <c r="G64" s="157">
        <f>'Schedule 1 Adjustments'!O64</f>
        <v>-194.42</v>
      </c>
      <c r="H64" s="157">
        <f>'Schedule 1 Adjustments'!R64</f>
        <v>0</v>
      </c>
      <c r="I64" s="157">
        <f>'Schedule 1 Adjustments'!U64</f>
        <v>0</v>
      </c>
      <c r="J64" s="158">
        <f t="shared" si="9"/>
        <v>12209.63</v>
      </c>
      <c r="M64" s="140"/>
    </row>
    <row r="65" spans="1:13" s="22" customFormat="1" x14ac:dyDescent="0.35">
      <c r="A65" s="155">
        <v>37</v>
      </c>
      <c r="B65" s="497" t="s">
        <v>315</v>
      </c>
      <c r="C65" s="498"/>
      <c r="D65" s="499"/>
      <c r="E65" s="157">
        <f>'Schedule 1 Adjustments'!I65</f>
        <v>0</v>
      </c>
      <c r="F65" s="157">
        <f>'Schedule 1 Adjustments'!L65</f>
        <v>4819</v>
      </c>
      <c r="G65" s="157">
        <f>'Schedule 1 Adjustments'!O65</f>
        <v>5693.93</v>
      </c>
      <c r="H65" s="157">
        <f>'Schedule 1 Adjustments'!R65</f>
        <v>0</v>
      </c>
      <c r="I65" s="157">
        <f>'Schedule 1 Adjustments'!U65</f>
        <v>0</v>
      </c>
      <c r="J65" s="158">
        <f t="shared" si="9"/>
        <v>10512.93</v>
      </c>
      <c r="M65" s="140"/>
    </row>
    <row r="66" spans="1:13" s="22" customFormat="1" x14ac:dyDescent="0.35">
      <c r="A66" s="155">
        <v>38</v>
      </c>
      <c r="B66" s="497" t="s">
        <v>316</v>
      </c>
      <c r="C66" s="498"/>
      <c r="D66" s="499"/>
      <c r="E66" s="157">
        <f>'Schedule 1 Adjustments'!I66</f>
        <v>28</v>
      </c>
      <c r="F66" s="157">
        <f>'Schedule 1 Adjustments'!L66</f>
        <v>155.43</v>
      </c>
      <c r="G66" s="157">
        <f>'Schedule 1 Adjustments'!O66</f>
        <v>0</v>
      </c>
      <c r="H66" s="157">
        <f>'Schedule 1 Adjustments'!R66</f>
        <v>0</v>
      </c>
      <c r="I66" s="157">
        <f>'Schedule 1 Adjustments'!U66</f>
        <v>0</v>
      </c>
      <c r="J66" s="158">
        <f t="shared" si="9"/>
        <v>183.43</v>
      </c>
      <c r="M66" s="140"/>
    </row>
    <row r="67" spans="1:13" s="22" customFormat="1" x14ac:dyDescent="0.35">
      <c r="A67" s="155">
        <v>39</v>
      </c>
      <c r="B67" s="497" t="s">
        <v>298</v>
      </c>
      <c r="C67" s="498"/>
      <c r="D67" s="499"/>
      <c r="E67" s="157">
        <f>'Schedule 1 Adjustments'!I67</f>
        <v>1657</v>
      </c>
      <c r="F67" s="157">
        <f>'Schedule 1 Adjustments'!L67</f>
        <v>21829.119999999999</v>
      </c>
      <c r="G67" s="157">
        <f>'Schedule 1 Adjustments'!O67</f>
        <v>106551.8</v>
      </c>
      <c r="H67" s="157">
        <f>'Schedule 1 Adjustments'!R67</f>
        <v>0</v>
      </c>
      <c r="I67" s="157">
        <f>'Schedule 1 Adjustments'!U67</f>
        <v>0</v>
      </c>
      <c r="J67" s="158">
        <f t="shared" si="9"/>
        <v>130037.92</v>
      </c>
      <c r="M67" s="140"/>
    </row>
    <row r="68" spans="1:13" s="22" customFormat="1" x14ac:dyDescent="0.35">
      <c r="A68" s="155">
        <v>40</v>
      </c>
      <c r="B68" s="503" t="s">
        <v>236</v>
      </c>
      <c r="C68" s="504"/>
      <c r="D68" s="505"/>
      <c r="E68" s="160">
        <f>SUM(E61:E67)</f>
        <v>690321</v>
      </c>
      <c r="F68" s="160">
        <f>SUM(F61:F67)</f>
        <v>768980.8</v>
      </c>
      <c r="G68" s="160">
        <f>SUM(G61:G67)</f>
        <v>3401652.22</v>
      </c>
      <c r="H68" s="160">
        <f>SUM(H61:H67)</f>
        <v>12670</v>
      </c>
      <c r="I68" s="160">
        <f>SUM(I61:I67)</f>
        <v>340691</v>
      </c>
      <c r="J68" s="160">
        <f t="shared" si="9"/>
        <v>5214315.0200000005</v>
      </c>
      <c r="M68" s="140"/>
    </row>
    <row r="69" spans="1:13" s="22" customFormat="1" x14ac:dyDescent="0.35">
      <c r="A69" s="161"/>
      <c r="B69" s="162"/>
      <c r="C69" s="162"/>
      <c r="D69" s="163"/>
      <c r="E69" s="164"/>
      <c r="F69" s="164"/>
      <c r="G69" s="164"/>
      <c r="H69" s="164"/>
      <c r="I69" s="164"/>
      <c r="J69" s="164"/>
      <c r="M69" s="140"/>
    </row>
    <row r="70" spans="1:13" s="22" customFormat="1" x14ac:dyDescent="0.35">
      <c r="A70" s="506" t="s">
        <v>235</v>
      </c>
      <c r="B70" s="507"/>
      <c r="C70" s="507"/>
      <c r="D70" s="507"/>
      <c r="E70" s="507"/>
      <c r="F70" s="507"/>
      <c r="G70" s="507"/>
      <c r="H70" s="507"/>
      <c r="I70" s="507"/>
      <c r="J70" s="508"/>
      <c r="M70" s="140"/>
    </row>
    <row r="71" spans="1:13" s="22" customFormat="1" x14ac:dyDescent="0.35">
      <c r="A71" s="155">
        <v>41</v>
      </c>
      <c r="B71" s="497" t="s">
        <v>238</v>
      </c>
      <c r="C71" s="498"/>
      <c r="D71" s="499"/>
      <c r="E71" s="157">
        <f>'Schedule 1 Adjustments'!I71</f>
        <v>152</v>
      </c>
      <c r="F71" s="157">
        <f>'Schedule 1 Adjustments'!L71</f>
        <v>2352</v>
      </c>
      <c r="G71" s="157">
        <f>'Schedule 1 Adjustments'!O71</f>
        <v>0</v>
      </c>
      <c r="H71" s="157">
        <f>'Schedule 1 Adjustments'!R71</f>
        <v>0</v>
      </c>
      <c r="I71" s="157">
        <f>'Schedule 1 Adjustments'!U71</f>
        <v>0</v>
      </c>
      <c r="J71" s="158">
        <f t="shared" ref="J71:J74" si="10">SUM(E71:I71)</f>
        <v>2504</v>
      </c>
      <c r="M71" s="140"/>
    </row>
    <row r="72" spans="1:13" s="22" customFormat="1" x14ac:dyDescent="0.35">
      <c r="A72" s="155">
        <v>42</v>
      </c>
      <c r="B72" s="497" t="s">
        <v>288</v>
      </c>
      <c r="C72" s="498"/>
      <c r="D72" s="499"/>
      <c r="E72" s="157">
        <f>'Schedule 1 Adjustments'!I72</f>
        <v>108154</v>
      </c>
      <c r="F72" s="157">
        <f>'Schedule 1 Adjustments'!L72</f>
        <v>91268.73</v>
      </c>
      <c r="G72" s="157">
        <f>'Schedule 1 Adjustments'!O72</f>
        <v>21505.58</v>
      </c>
      <c r="H72" s="157">
        <f>'Schedule 1 Adjustments'!R72</f>
        <v>1354.98</v>
      </c>
      <c r="I72" s="157">
        <f>'Schedule 1 Adjustments'!U72</f>
        <v>10543</v>
      </c>
      <c r="J72" s="158">
        <f t="shared" si="10"/>
        <v>232826.29</v>
      </c>
      <c r="M72" s="140"/>
    </row>
    <row r="73" spans="1:13" s="22" customFormat="1" x14ac:dyDescent="0.35">
      <c r="A73" s="155">
        <v>43</v>
      </c>
      <c r="B73" s="497" t="s">
        <v>239</v>
      </c>
      <c r="C73" s="498"/>
      <c r="D73" s="499"/>
      <c r="E73" s="157">
        <f>'Schedule 1 Adjustments'!I73</f>
        <v>690723</v>
      </c>
      <c r="F73" s="157">
        <f>'Schedule 1 Adjustments'!L73</f>
        <v>0</v>
      </c>
      <c r="G73" s="157">
        <f>'Schedule 1 Adjustments'!O73</f>
        <v>231916</v>
      </c>
      <c r="H73" s="157">
        <f>'Schedule 1 Adjustments'!R73</f>
        <v>0</v>
      </c>
      <c r="I73" s="157">
        <f>'Schedule 1 Adjustments'!U73</f>
        <v>0</v>
      </c>
      <c r="J73" s="158">
        <f t="shared" si="10"/>
        <v>922639</v>
      </c>
      <c r="M73" s="140"/>
    </row>
    <row r="74" spans="1:13" s="22" customFormat="1" x14ac:dyDescent="0.35">
      <c r="A74" s="155">
        <v>44</v>
      </c>
      <c r="B74" s="497" t="s">
        <v>307</v>
      </c>
      <c r="C74" s="498"/>
      <c r="D74" s="499"/>
      <c r="E74" s="157">
        <f>'Schedule 1 Adjustments'!I74</f>
        <v>11721</v>
      </c>
      <c r="F74" s="157">
        <f>'Schedule 1 Adjustments'!L74</f>
        <v>42641.55</v>
      </c>
      <c r="G74" s="157">
        <f>'Schedule 1 Adjustments'!O74</f>
        <v>0</v>
      </c>
      <c r="H74" s="157">
        <f>'Schedule 1 Adjustments'!R74</f>
        <v>0</v>
      </c>
      <c r="I74" s="157">
        <f>'Schedule 1 Adjustments'!U74</f>
        <v>1869</v>
      </c>
      <c r="J74" s="158">
        <f t="shared" si="10"/>
        <v>56231.55</v>
      </c>
      <c r="M74" s="140"/>
    </row>
    <row r="75" spans="1:13" s="22" customFormat="1" x14ac:dyDescent="0.35">
      <c r="A75" s="155">
        <v>45</v>
      </c>
      <c r="B75" s="497" t="s">
        <v>285</v>
      </c>
      <c r="C75" s="498"/>
      <c r="D75" s="499"/>
      <c r="E75" s="157">
        <f>'Schedule 1 Adjustments'!I75</f>
        <v>0</v>
      </c>
      <c r="F75" s="157">
        <f>'Schedule 1 Adjustments'!L75</f>
        <v>0</v>
      </c>
      <c r="G75" s="157">
        <f>'Schedule 1 Adjustments'!O75</f>
        <v>0</v>
      </c>
      <c r="H75" s="157">
        <f>'Schedule 1 Adjustments'!R75</f>
        <v>0</v>
      </c>
      <c r="I75" s="157">
        <f>'Schedule 1 Adjustments'!U75</f>
        <v>0</v>
      </c>
      <c r="J75" s="158">
        <f>SUM(E75:I75)</f>
        <v>0</v>
      </c>
      <c r="M75" s="140"/>
    </row>
    <row r="76" spans="1:13" s="22" customFormat="1" x14ac:dyDescent="0.35">
      <c r="A76" s="155">
        <v>46</v>
      </c>
      <c r="B76" s="497" t="s">
        <v>286</v>
      </c>
      <c r="C76" s="498"/>
      <c r="D76" s="499"/>
      <c r="E76" s="157">
        <f>'Schedule 1 Adjustments'!I76</f>
        <v>972323</v>
      </c>
      <c r="F76" s="157">
        <f>'Schedule 1 Adjustments'!L76</f>
        <v>129334.28</v>
      </c>
      <c r="G76" s="157">
        <f>'Schedule 1 Adjustments'!O76</f>
        <v>220100</v>
      </c>
      <c r="H76" s="157">
        <f>'Schedule 1 Adjustments'!R76</f>
        <v>0</v>
      </c>
      <c r="I76" s="157">
        <f>'Schedule 1 Adjustments'!U76</f>
        <v>0</v>
      </c>
      <c r="J76" s="158">
        <f t="shared" ref="J76:J79" si="11">SUM(E76:I76)</f>
        <v>1321757.28</v>
      </c>
      <c r="M76" s="140"/>
    </row>
    <row r="77" spans="1:13" s="22" customFormat="1" x14ac:dyDescent="0.35">
      <c r="A77" s="155">
        <v>47</v>
      </c>
      <c r="B77" s="497" t="s">
        <v>317</v>
      </c>
      <c r="C77" s="498"/>
      <c r="D77" s="499"/>
      <c r="E77" s="157">
        <f>'Schedule 1 Adjustments'!I77</f>
        <v>101907</v>
      </c>
      <c r="F77" s="157">
        <f>'Schedule 1 Adjustments'!L77</f>
        <v>141757.04999999999</v>
      </c>
      <c r="G77" s="157">
        <f>'Schedule 1 Adjustments'!O77</f>
        <v>156441.63</v>
      </c>
      <c r="H77" s="157">
        <f>'Schedule 1 Adjustments'!R77</f>
        <v>1352.97</v>
      </c>
      <c r="I77" s="157">
        <f>'Schedule 1 Adjustments'!U77</f>
        <v>0</v>
      </c>
      <c r="J77" s="158">
        <f t="shared" si="11"/>
        <v>401458.64999999997</v>
      </c>
      <c r="M77" s="140"/>
    </row>
    <row r="78" spans="1:13" s="22" customFormat="1" x14ac:dyDescent="0.35">
      <c r="A78" s="155">
        <v>48</v>
      </c>
      <c r="B78" s="497" t="s">
        <v>284</v>
      </c>
      <c r="C78" s="498"/>
      <c r="D78" s="499"/>
      <c r="E78" s="157">
        <f>'Schedule 1 Adjustments'!I78</f>
        <v>-388698</v>
      </c>
      <c r="F78" s="157">
        <f>'Schedule 1 Adjustments'!L78</f>
        <v>1687745.47</v>
      </c>
      <c r="G78" s="157">
        <f>'Schedule 1 Adjustments'!O78</f>
        <v>1462547.29</v>
      </c>
      <c r="H78" s="157">
        <f>'Schedule 1 Adjustments'!R78</f>
        <v>28457.84</v>
      </c>
      <c r="I78" s="157">
        <f>'Schedule 1 Adjustments'!U78</f>
        <v>24148</v>
      </c>
      <c r="J78" s="158">
        <f t="shared" si="11"/>
        <v>2814200.5999999996</v>
      </c>
      <c r="M78" s="140"/>
    </row>
    <row r="79" spans="1:13" s="22" customFormat="1" x14ac:dyDescent="0.35">
      <c r="A79" s="155">
        <v>49</v>
      </c>
      <c r="B79" s="503" t="s">
        <v>278</v>
      </c>
      <c r="C79" s="504"/>
      <c r="D79" s="505"/>
      <c r="E79" s="160">
        <f>SUM(E71:E78)</f>
        <v>1496282</v>
      </c>
      <c r="F79" s="160">
        <f t="shared" ref="F79:I79" si="12">SUM(F71:F78)</f>
        <v>2095099.08</v>
      </c>
      <c r="G79" s="160">
        <f t="shared" si="12"/>
        <v>2092510.5</v>
      </c>
      <c r="H79" s="160">
        <f t="shared" si="12"/>
        <v>31165.79</v>
      </c>
      <c r="I79" s="160">
        <f t="shared" si="12"/>
        <v>36560</v>
      </c>
      <c r="J79" s="160">
        <f t="shared" si="11"/>
        <v>5751617.3700000001</v>
      </c>
      <c r="M79" s="140"/>
    </row>
    <row r="80" spans="1:13" s="22" customFormat="1" x14ac:dyDescent="0.35">
      <c r="A80" s="161"/>
      <c r="B80" s="162"/>
      <c r="C80" s="162"/>
      <c r="D80" s="163"/>
      <c r="E80" s="164"/>
      <c r="F80" s="164"/>
      <c r="G80" s="164"/>
      <c r="H80" s="164"/>
      <c r="I80" s="164"/>
      <c r="J80" s="164"/>
      <c r="M80" s="140"/>
    </row>
    <row r="81" spans="1:13" s="22" customFormat="1" x14ac:dyDescent="0.35">
      <c r="A81" s="506" t="s">
        <v>302</v>
      </c>
      <c r="B81" s="507"/>
      <c r="C81" s="507"/>
      <c r="D81" s="507"/>
      <c r="E81" s="507"/>
      <c r="F81" s="507"/>
      <c r="G81" s="507"/>
      <c r="H81" s="507"/>
      <c r="I81" s="507"/>
      <c r="J81" s="508"/>
      <c r="M81" s="140"/>
    </row>
    <row r="82" spans="1:13" s="22" customFormat="1" x14ac:dyDescent="0.35">
      <c r="A82" s="155">
        <v>50</v>
      </c>
      <c r="B82" s="497" t="s">
        <v>303</v>
      </c>
      <c r="C82" s="498"/>
      <c r="D82" s="499"/>
      <c r="E82" s="98"/>
      <c r="F82" s="98"/>
      <c r="G82" s="98"/>
      <c r="H82" s="98"/>
      <c r="I82" s="157">
        <f>'Schedule 1 Adjustments'!U82</f>
        <v>0</v>
      </c>
      <c r="J82" s="158">
        <f>I82</f>
        <v>0</v>
      </c>
      <c r="M82" s="140"/>
    </row>
    <row r="83" spans="1:13" s="22" customFormat="1" x14ac:dyDescent="0.35">
      <c r="A83" s="155">
        <v>51</v>
      </c>
      <c r="B83" s="497" t="s">
        <v>308</v>
      </c>
      <c r="C83" s="498"/>
      <c r="D83" s="499"/>
      <c r="E83" s="98"/>
      <c r="F83" s="98"/>
      <c r="G83" s="98"/>
      <c r="H83" s="98"/>
      <c r="I83" s="157">
        <f>'Schedule 1 Adjustments'!U83</f>
        <v>2500</v>
      </c>
      <c r="J83" s="158">
        <f>I83</f>
        <v>2500</v>
      </c>
      <c r="M83" s="140"/>
    </row>
    <row r="84" spans="1:13" s="22" customFormat="1" x14ac:dyDescent="0.35">
      <c r="A84" s="155">
        <v>52</v>
      </c>
      <c r="B84" s="497" t="s">
        <v>309</v>
      </c>
      <c r="C84" s="498"/>
      <c r="D84" s="499"/>
      <c r="E84" s="98"/>
      <c r="F84" s="98"/>
      <c r="G84" s="98"/>
      <c r="H84" s="98"/>
      <c r="I84" s="157">
        <f>'Schedule 1 Adjustments'!U84</f>
        <v>85566.42</v>
      </c>
      <c r="J84" s="158">
        <f t="shared" ref="J84:J85" si="13">I84</f>
        <v>85566.42</v>
      </c>
      <c r="M84" s="140"/>
    </row>
    <row r="85" spans="1:13" s="22" customFormat="1" x14ac:dyDescent="0.35">
      <c r="A85" s="155">
        <v>53</v>
      </c>
      <c r="B85" s="497" t="s">
        <v>304</v>
      </c>
      <c r="C85" s="498"/>
      <c r="D85" s="499"/>
      <c r="E85" s="98"/>
      <c r="F85" s="98"/>
      <c r="G85" s="98"/>
      <c r="H85" s="98"/>
      <c r="I85" s="157">
        <f>'Schedule 1 Adjustments'!U85</f>
        <v>93173.72</v>
      </c>
      <c r="J85" s="158">
        <f t="shared" si="13"/>
        <v>93173.72</v>
      </c>
      <c r="M85" s="140"/>
    </row>
    <row r="86" spans="1:13" s="22" customFormat="1" x14ac:dyDescent="0.35">
      <c r="A86" s="155">
        <v>54</v>
      </c>
      <c r="B86" s="503" t="s">
        <v>305</v>
      </c>
      <c r="C86" s="504"/>
      <c r="D86" s="505"/>
      <c r="E86" s="160">
        <v>0</v>
      </c>
      <c r="F86" s="160">
        <v>0</v>
      </c>
      <c r="G86" s="160">
        <v>0</v>
      </c>
      <c r="H86" s="160">
        <v>0</v>
      </c>
      <c r="I86" s="160">
        <f>SUM(I82:I85)</f>
        <v>181240.14</v>
      </c>
      <c r="J86" s="160">
        <f t="shared" ref="J86" si="14">SUM(E86:I86)</f>
        <v>181240.14</v>
      </c>
      <c r="M86" s="140"/>
    </row>
    <row r="87" spans="1:13" s="22" customFormat="1" x14ac:dyDescent="0.35">
      <c r="A87" s="161"/>
      <c r="B87" s="162"/>
      <c r="C87" s="162"/>
      <c r="D87" s="163"/>
      <c r="E87" s="164"/>
      <c r="F87" s="164"/>
      <c r="G87" s="164"/>
      <c r="H87" s="164"/>
      <c r="I87" s="164"/>
      <c r="J87" s="164"/>
      <c r="M87" s="140"/>
    </row>
    <row r="88" spans="1:13" s="22" customFormat="1" x14ac:dyDescent="0.35">
      <c r="A88" s="506" t="s">
        <v>272</v>
      </c>
      <c r="B88" s="507"/>
      <c r="C88" s="507"/>
      <c r="D88" s="507"/>
      <c r="E88" s="507"/>
      <c r="F88" s="507"/>
      <c r="G88" s="507"/>
      <c r="H88" s="507"/>
      <c r="I88" s="507"/>
      <c r="J88" s="508"/>
      <c r="M88" s="140"/>
    </row>
    <row r="89" spans="1:13" s="22" customFormat="1" x14ac:dyDescent="0.35">
      <c r="A89" s="155">
        <v>55</v>
      </c>
      <c r="B89" s="497" t="s">
        <v>273</v>
      </c>
      <c r="C89" s="498"/>
      <c r="D89" s="499"/>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503" t="s">
        <v>269</v>
      </c>
      <c r="C90" s="504"/>
      <c r="D90" s="505"/>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503" t="s">
        <v>240</v>
      </c>
      <c r="C92" s="504"/>
      <c r="D92" s="505"/>
      <c r="E92" s="160">
        <f>E79+E68+E58+E51+E41+E90+E86</f>
        <v>8149733.4100000001</v>
      </c>
      <c r="F92" s="160">
        <f>F79+F68+F58+F51+F41+F90+F86</f>
        <v>18472984.25</v>
      </c>
      <c r="G92" s="160">
        <f>G79+G68+G58+G51+G41+G90+G86</f>
        <v>33557299.909999996</v>
      </c>
      <c r="H92" s="160">
        <f>H79+H68+H58+H51+H41+H90+H86</f>
        <v>316958.17</v>
      </c>
      <c r="I92" s="160">
        <f>I79+I68+I58+I51+I41+I90+I86</f>
        <v>1147035.44</v>
      </c>
      <c r="J92" s="160">
        <f t="shared" ref="J92:J96" si="16">SUM(E92:I92)</f>
        <v>61644011.179999992</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97" t="s">
        <v>2</v>
      </c>
      <c r="C94" s="498"/>
      <c r="D94" s="499"/>
      <c r="E94" s="158">
        <f>E92*-1</f>
        <v>-8149733.4100000001</v>
      </c>
      <c r="F94" s="157">
        <f>'Schedule 1 Adjustments'!L94</f>
        <v>2814317.9837023686</v>
      </c>
      <c r="G94" s="157">
        <f>'Schedule 1 Adjustments'!O94</f>
        <v>5112379.9422169961</v>
      </c>
      <c r="H94" s="157">
        <f>'Schedule 1 Adjustments'!R94</f>
        <v>48287.845617055449</v>
      </c>
      <c r="I94" s="157">
        <f>'Schedule 1 Adjustments'!U94</f>
        <v>174748.22846357941</v>
      </c>
      <c r="J94" s="160">
        <f t="shared" si="16"/>
        <v>0.58999999985098839</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00" t="s">
        <v>241</v>
      </c>
      <c r="C96" s="501"/>
      <c r="D96" s="502"/>
      <c r="E96" s="169">
        <f>E94+E92</f>
        <v>0</v>
      </c>
      <c r="F96" s="169">
        <f t="shared" ref="F96:I96" si="17">F94+F92</f>
        <v>21287302.233702369</v>
      </c>
      <c r="G96" s="169">
        <f t="shared" si="17"/>
        <v>38669679.852216989</v>
      </c>
      <c r="H96" s="169">
        <f t="shared" si="17"/>
        <v>365246.01561705541</v>
      </c>
      <c r="I96" s="169">
        <f t="shared" si="17"/>
        <v>1321783.6684635794</v>
      </c>
      <c r="J96" s="169">
        <f t="shared" si="16"/>
        <v>61644011.769999996</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96" t="s">
        <v>4</v>
      </c>
      <c r="C98" s="496"/>
      <c r="D98" s="170"/>
      <c r="E98" s="170"/>
      <c r="F98" s="150">
        <f>'Schedule 1 Adjustments'!L98</f>
        <v>9221</v>
      </c>
      <c r="G98" s="170"/>
      <c r="H98" s="170"/>
      <c r="I98" s="170"/>
      <c r="J98" s="170"/>
      <c r="M98" s="140"/>
    </row>
    <row r="99" spans="1:13" s="22" customFormat="1" x14ac:dyDescent="0.35">
      <c r="A99" s="155">
        <v>61</v>
      </c>
      <c r="B99" s="496" t="s">
        <v>5</v>
      </c>
      <c r="C99" s="496"/>
      <c r="D99" s="170"/>
      <c r="E99" s="170"/>
      <c r="F99" s="158">
        <f>IFERROR(F96/F98,"")</f>
        <v>2308.5676427396561</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96" t="s">
        <v>306</v>
      </c>
      <c r="C101" s="496"/>
      <c r="D101" s="170"/>
      <c r="E101" s="170"/>
      <c r="F101" s="170"/>
      <c r="G101" s="170"/>
      <c r="H101" s="170"/>
      <c r="I101" s="170"/>
      <c r="J101" s="157">
        <f>'Schedule 1 Adjustments'!X101</f>
        <v>61644011</v>
      </c>
      <c r="M101" s="140"/>
    </row>
    <row r="102" spans="1:13" s="22" customFormat="1" x14ac:dyDescent="0.35">
      <c r="A102" s="155">
        <v>63</v>
      </c>
      <c r="B102" s="496" t="s">
        <v>10</v>
      </c>
      <c r="C102" s="496"/>
      <c r="D102" s="170"/>
      <c r="E102" s="170"/>
      <c r="F102" s="170"/>
      <c r="G102" s="170"/>
      <c r="H102" s="170"/>
      <c r="I102" s="170"/>
      <c r="J102" s="158">
        <f>ROUND(J96-J101,0)</f>
        <v>1</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96" t="s">
        <v>201</v>
      </c>
      <c r="C104" s="496"/>
      <c r="D104" s="100"/>
      <c r="E104" s="172">
        <f>IFERROR(E92/SUM(F92:I92),"")</f>
        <v>0.15234776035373326</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customProperties>
    <customPr name="OrphanNamesChecke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12" t="s">
        <v>675</v>
      </c>
      <c r="B3" s="512"/>
      <c r="C3" s="512"/>
      <c r="D3" s="512"/>
      <c r="E3" s="512"/>
      <c r="F3" s="512"/>
      <c r="G3" s="512"/>
      <c r="H3" s="512"/>
      <c r="I3" s="512"/>
      <c r="J3" s="512"/>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772</v>
      </c>
      <c r="C6" s="421" t="str">
        <f>Results!$C$6</f>
        <v>Mind Springs Health</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263</v>
      </c>
      <c r="D9" s="117">
        <f>'Schedule 1A Adjustments'!E8</f>
        <v>332850</v>
      </c>
      <c r="F9" s="78"/>
      <c r="G9" s="48"/>
      <c r="H9" s="48"/>
      <c r="J9" s="40"/>
      <c r="K9" s="40"/>
      <c r="L9" s="40"/>
    </row>
    <row r="10" spans="1:12" ht="6.75" customHeight="1" x14ac:dyDescent="0.35">
      <c r="H10" s="48"/>
      <c r="J10" s="40"/>
      <c r="K10" s="40"/>
      <c r="L10" s="40"/>
    </row>
    <row r="11" spans="1:12" x14ac:dyDescent="0.35">
      <c r="A11" s="1" t="s">
        <v>264</v>
      </c>
      <c r="D11" s="77" t="s">
        <v>265</v>
      </c>
      <c r="E11" s="78"/>
      <c r="F11" s="78"/>
      <c r="H11" s="48"/>
      <c r="J11" s="40"/>
      <c r="K11" s="40"/>
      <c r="L11" s="40"/>
    </row>
    <row r="12" spans="1:12" x14ac:dyDescent="0.35">
      <c r="A12" s="1"/>
      <c r="D12" s="78"/>
      <c r="E12" s="78"/>
      <c r="F12" s="78"/>
      <c r="H12" s="48"/>
      <c r="J12" s="131"/>
    </row>
    <row r="13" spans="1:12" x14ac:dyDescent="0.35">
      <c r="A13" s="1" t="s">
        <v>266</v>
      </c>
      <c r="D13" s="48"/>
      <c r="E13" s="48"/>
      <c r="F13" s="48"/>
      <c r="J13" s="131"/>
    </row>
    <row r="14" spans="1:12" ht="15" customHeight="1" x14ac:dyDescent="0.35">
      <c r="A14" s="513" t="s">
        <v>487</v>
      </c>
      <c r="B14" s="513"/>
      <c r="C14" s="513"/>
      <c r="D14" s="513"/>
      <c r="E14" s="513"/>
      <c r="F14" s="513"/>
      <c r="G14" s="513"/>
      <c r="H14" s="513"/>
      <c r="I14" s="79"/>
      <c r="J14" s="62"/>
    </row>
    <row r="15" spans="1:12" ht="15" customHeight="1" x14ac:dyDescent="0.35">
      <c r="A15" s="513"/>
      <c r="B15" s="513"/>
      <c r="C15" s="513"/>
      <c r="D15" s="513"/>
      <c r="E15" s="513"/>
      <c r="F15" s="513"/>
      <c r="G15" s="513"/>
      <c r="H15" s="513"/>
      <c r="I15" s="79"/>
      <c r="J15" s="62"/>
    </row>
    <row r="16" spans="1:12" ht="15" customHeight="1" x14ac:dyDescent="0.35">
      <c r="A16" s="513"/>
      <c r="B16" s="513"/>
      <c r="C16" s="513"/>
      <c r="D16" s="513"/>
      <c r="E16" s="513"/>
      <c r="F16" s="513"/>
      <c r="G16" s="513"/>
      <c r="H16" s="513"/>
      <c r="I16" s="79"/>
      <c r="J16" s="62"/>
    </row>
    <row r="17" spans="1:9" x14ac:dyDescent="0.35">
      <c r="A17" s="513"/>
      <c r="B17" s="513"/>
      <c r="C17" s="513"/>
      <c r="D17" s="513"/>
      <c r="E17" s="513"/>
      <c r="F17" s="513"/>
      <c r="G17" s="513"/>
      <c r="H17" s="513"/>
      <c r="I17" s="62"/>
    </row>
    <row r="18" spans="1:9" x14ac:dyDescent="0.35">
      <c r="A18" s="174"/>
      <c r="B18" s="174"/>
      <c r="C18" s="174"/>
      <c r="D18" s="174"/>
      <c r="E18" s="174"/>
      <c r="F18" s="174"/>
      <c r="G18" s="174"/>
      <c r="H18" s="174"/>
      <c r="I18" s="127"/>
    </row>
    <row r="19" spans="1:9" x14ac:dyDescent="0.35">
      <c r="A19" s="174"/>
      <c r="B19" s="514">
        <v>1</v>
      </c>
      <c r="C19" s="515"/>
      <c r="D19" s="175">
        <v>2</v>
      </c>
      <c r="E19" s="175">
        <v>3</v>
      </c>
      <c r="F19" s="175">
        <v>4</v>
      </c>
      <c r="G19" s="175">
        <v>5</v>
      </c>
      <c r="H19" s="175">
        <v>6</v>
      </c>
      <c r="I19" s="127"/>
    </row>
    <row r="20" spans="1:9" s="4" customFormat="1" ht="58" x14ac:dyDescent="0.35">
      <c r="A20" s="176"/>
      <c r="B20" s="516" t="s">
        <v>598</v>
      </c>
      <c r="C20" s="516"/>
      <c r="D20" s="151" t="s">
        <v>718</v>
      </c>
      <c r="E20" s="151" t="s">
        <v>719</v>
      </c>
      <c r="F20" s="151" t="s">
        <v>720</v>
      </c>
      <c r="G20" s="151" t="s">
        <v>676</v>
      </c>
      <c r="H20" s="151" t="s">
        <v>677</v>
      </c>
      <c r="I20" s="36"/>
    </row>
    <row r="21" spans="1:9" x14ac:dyDescent="0.35">
      <c r="A21" s="177">
        <v>1</v>
      </c>
      <c r="B21" s="511" t="str">
        <f>'Schedule 1A Adjustments'!B20:C20</f>
        <v>Chief Medical Officer</v>
      </c>
      <c r="C21" s="511"/>
      <c r="D21" s="178">
        <f>'Schedule 1A Adjustments'!D20</f>
        <v>3</v>
      </c>
      <c r="E21" s="179">
        <f>'Schedule 1A Adjustments'!E20</f>
        <v>12</v>
      </c>
      <c r="F21" s="179">
        <f>'Schedule 1A Adjustments'!F20</f>
        <v>1</v>
      </c>
      <c r="G21" s="180">
        <f>'Schedule 1A Adjustments'!I20</f>
        <v>433904.71</v>
      </c>
      <c r="H21" s="181">
        <f>IF(G21-$D$9&gt;0,G21-$D$9,0)</f>
        <v>101054.71000000002</v>
      </c>
      <c r="I21" s="36"/>
    </row>
    <row r="22" spans="1:9" x14ac:dyDescent="0.35">
      <c r="A22" s="177">
        <f>A21+1</f>
        <v>2</v>
      </c>
      <c r="B22" s="511" t="str">
        <f>'Schedule 1A Adjustments'!B21:C21</f>
        <v>Chief Operating Officer</v>
      </c>
      <c r="C22" s="511"/>
      <c r="D22" s="178">
        <f>'Schedule 1A Adjustments'!D21</f>
        <v>2</v>
      </c>
      <c r="E22" s="179">
        <f>'Schedule 1A Adjustments'!E21</f>
        <v>12</v>
      </c>
      <c r="F22" s="179">
        <f>'Schedule 1A Adjustments'!F21</f>
        <v>1</v>
      </c>
      <c r="G22" s="180">
        <f>'Schedule 1A Adjustments'!I21</f>
        <v>311582.51</v>
      </c>
      <c r="H22" s="181">
        <f>IF(G22-$D$9&gt;0,G22-$D$9,0)</f>
        <v>0</v>
      </c>
      <c r="I22" s="48"/>
    </row>
    <row r="23" spans="1:9" x14ac:dyDescent="0.35">
      <c r="A23" s="177">
        <f t="shared" ref="A23:A31" si="0">A22+1</f>
        <v>3</v>
      </c>
      <c r="B23" s="511" t="str">
        <f>'Schedule 1A Adjustments'!B22:C22</f>
        <v>CEO</v>
      </c>
      <c r="C23" s="511"/>
      <c r="D23" s="178">
        <f>'Schedule 1A Adjustments'!D22</f>
        <v>2</v>
      </c>
      <c r="E23" s="179">
        <f>'Schedule 1A Adjustments'!E22</f>
        <v>12</v>
      </c>
      <c r="F23" s="179">
        <f>'Schedule 1A Adjustments'!F22</f>
        <v>1</v>
      </c>
      <c r="G23" s="180">
        <f>'Schedule 1A Adjustments'!I22</f>
        <v>426716.59</v>
      </c>
      <c r="H23" s="181">
        <f>IF(G23-$D$9&gt;0,G23-$D$9,0)</f>
        <v>93866.590000000026</v>
      </c>
      <c r="I23" s="48"/>
    </row>
    <row r="24" spans="1:9" x14ac:dyDescent="0.35">
      <c r="A24" s="177">
        <f t="shared" si="0"/>
        <v>4</v>
      </c>
      <c r="B24" s="511" t="str">
        <f>'Schedule 1A Adjustments'!B23:C23</f>
        <v/>
      </c>
      <c r="C24" s="511"/>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511" t="str">
        <f>'Schedule 1A Adjustments'!B24:C24</f>
        <v/>
      </c>
      <c r="C25" s="511"/>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8" t="s">
        <v>597</v>
      </c>
      <c r="C26" s="100"/>
      <c r="D26" s="100"/>
      <c r="E26" s="100"/>
      <c r="F26" s="100"/>
      <c r="G26" s="100"/>
      <c r="H26" s="183">
        <f>SUM(H21:H25)</f>
        <v>194921.30000000005</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183</v>
      </c>
      <c r="H28" s="185">
        <f>SUMIF($D$21:$D$25,2,$H$21:$H$25)</f>
        <v>93866.590000000026</v>
      </c>
    </row>
    <row r="29" spans="1:9" x14ac:dyDescent="0.35">
      <c r="A29" s="182">
        <v>8</v>
      </c>
      <c r="B29" s="100"/>
      <c r="C29" s="100"/>
      <c r="D29" s="100"/>
      <c r="E29" s="100"/>
      <c r="F29" s="100"/>
      <c r="G29" s="184" t="s">
        <v>181</v>
      </c>
      <c r="H29" s="185">
        <f>SUMIF($D$21:$D$25,3,$H$21:$H$25)</f>
        <v>101054.71000000002</v>
      </c>
    </row>
    <row r="30" spans="1:9" x14ac:dyDescent="0.35">
      <c r="A30" s="182">
        <v>9</v>
      </c>
      <c r="B30" s="100"/>
      <c r="C30" s="100"/>
      <c r="D30" s="100"/>
      <c r="E30" s="100"/>
      <c r="F30" s="100"/>
      <c r="G30" s="184" t="s">
        <v>182</v>
      </c>
      <c r="H30" s="185">
        <f>SUMIF($D$21:$D$25,4,$H$21:$H$25)</f>
        <v>0</v>
      </c>
    </row>
    <row r="31" spans="1:9" x14ac:dyDescent="0.35">
      <c r="A31" s="182">
        <f t="shared" si="0"/>
        <v>10</v>
      </c>
      <c r="B31" s="100"/>
      <c r="C31" s="100"/>
      <c r="D31" s="100"/>
      <c r="E31" s="100"/>
      <c r="F31" s="100"/>
      <c r="G31" s="184" t="s">
        <v>184</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268</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678</v>
      </c>
    </row>
    <row r="4" spans="1:4" ht="25" customHeight="1" x14ac:dyDescent="0.5">
      <c r="A4" s="243" t="str">
        <f>Results!A4</f>
        <v>Final Adjustments</v>
      </c>
    </row>
    <row r="6" spans="1:4" x14ac:dyDescent="0.35">
      <c r="A6" s="1" t="s">
        <v>772</v>
      </c>
      <c r="C6" s="421" t="str">
        <f>Results!$C$6</f>
        <v>Mind Springs Health</v>
      </c>
    </row>
    <row r="7" spans="1:4" x14ac:dyDescent="0.35">
      <c r="A7" s="1" t="s">
        <v>0</v>
      </c>
      <c r="C7" s="35">
        <f>Results!$C$7</f>
        <v>45473</v>
      </c>
      <c r="D7" s="56"/>
    </row>
    <row r="9" spans="1:4" ht="15" customHeight="1" x14ac:dyDescent="0.35">
      <c r="A9" t="s">
        <v>248</v>
      </c>
    </row>
    <row r="10" spans="1:4" ht="15" customHeight="1" x14ac:dyDescent="0.35"/>
    <row r="11" spans="1:4" ht="15" customHeight="1" x14ac:dyDescent="0.35">
      <c r="A11" t="s">
        <v>243</v>
      </c>
      <c r="B11" s="518" t="str">
        <f>'As-Filed Schedule 1B'!B10</f>
        <v>Total costs combined per column and allocated based upon costs</v>
      </c>
      <c r="C11" s="518"/>
      <c r="D11" s="518"/>
    </row>
    <row r="12" spans="1:4" ht="15" customHeight="1" x14ac:dyDescent="0.35">
      <c r="B12" s="518"/>
      <c r="C12" s="518"/>
      <c r="D12" s="518"/>
    </row>
    <row r="13" spans="1:4" x14ac:dyDescent="0.35">
      <c r="B13" s="518"/>
      <c r="C13" s="518"/>
      <c r="D13" s="518"/>
    </row>
    <row r="14" spans="1:4" x14ac:dyDescent="0.35">
      <c r="B14" s="518"/>
      <c r="C14" s="518"/>
      <c r="D14" s="518"/>
    </row>
    <row r="16" spans="1:4" ht="15" customHeight="1" x14ac:dyDescent="0.35">
      <c r="A16" t="s">
        <v>244</v>
      </c>
      <c r="B16" s="517">
        <f>'As-Filed Schedule 1B'!B15</f>
        <v>0</v>
      </c>
      <c r="C16" s="517"/>
      <c r="D16" s="517"/>
    </row>
    <row r="17" spans="1:4" ht="15" customHeight="1" x14ac:dyDescent="0.35">
      <c r="B17" s="517"/>
      <c r="C17" s="517"/>
      <c r="D17" s="517"/>
    </row>
    <row r="18" spans="1:4" x14ac:dyDescent="0.35">
      <c r="B18" s="517"/>
      <c r="C18" s="517"/>
      <c r="D18" s="517"/>
    </row>
    <row r="19" spans="1:4" x14ac:dyDescent="0.35">
      <c r="B19" s="517"/>
      <c r="C19" s="517"/>
      <c r="D19" s="517"/>
    </row>
    <row r="21" spans="1:4" ht="15" customHeight="1" x14ac:dyDescent="0.35">
      <c r="A21" t="s">
        <v>245</v>
      </c>
      <c r="B21" s="517">
        <f>'As-Filed Schedule 1B'!B20</f>
        <v>0</v>
      </c>
      <c r="C21" s="517"/>
      <c r="D21" s="517"/>
    </row>
    <row r="22" spans="1:4" ht="15" customHeight="1" x14ac:dyDescent="0.35">
      <c r="B22" s="517"/>
      <c r="C22" s="517"/>
      <c r="D22" s="517"/>
    </row>
    <row r="23" spans="1:4" x14ac:dyDescent="0.35">
      <c r="B23" s="517"/>
      <c r="C23" s="517"/>
      <c r="D23" s="517"/>
    </row>
    <row r="24" spans="1:4" x14ac:dyDescent="0.35">
      <c r="B24" s="517"/>
      <c r="C24" s="517"/>
      <c r="D24" s="517"/>
    </row>
    <row r="26" spans="1:4" ht="15" customHeight="1" x14ac:dyDescent="0.35">
      <c r="A26" t="s">
        <v>246</v>
      </c>
      <c r="B26" s="517">
        <f>'As-Filed Schedule 1B'!B25</f>
        <v>0</v>
      </c>
      <c r="C26" s="517"/>
      <c r="D26" s="517"/>
    </row>
    <row r="27" spans="1:4" ht="15" customHeight="1" x14ac:dyDescent="0.35">
      <c r="B27" s="517"/>
      <c r="C27" s="517"/>
      <c r="D27" s="517"/>
    </row>
    <row r="28" spans="1:4" x14ac:dyDescent="0.35">
      <c r="B28" s="517"/>
      <c r="C28" s="517"/>
      <c r="D28" s="517"/>
    </row>
    <row r="29" spans="1:4" x14ac:dyDescent="0.35">
      <c r="B29" s="517"/>
      <c r="C29" s="517"/>
      <c r="D29" s="517"/>
    </row>
    <row r="31" spans="1:4" ht="15" customHeight="1" x14ac:dyDescent="0.35">
      <c r="A31" t="s">
        <v>247</v>
      </c>
      <c r="B31" s="517">
        <f>'As-Filed Schedule 1B'!B30</f>
        <v>0</v>
      </c>
      <c r="C31" s="517"/>
      <c r="D31" s="517"/>
    </row>
    <row r="32" spans="1:4" ht="15" customHeight="1" x14ac:dyDescent="0.35">
      <c r="B32" s="517"/>
      <c r="C32" s="517"/>
      <c r="D32" s="517"/>
    </row>
    <row r="33" spans="1:4" x14ac:dyDescent="0.35">
      <c r="B33" s="517"/>
      <c r="C33" s="517"/>
      <c r="D33" s="517"/>
    </row>
    <row r="34" spans="1:4" x14ac:dyDescent="0.35">
      <c r="B34" s="517"/>
      <c r="C34" s="517"/>
      <c r="D34" s="517"/>
    </row>
    <row r="36" spans="1:4" x14ac:dyDescent="0.35">
      <c r="A36" t="s">
        <v>204</v>
      </c>
      <c r="D36" s="118" t="str">
        <f>'As-Filed Schedule 1B'!D35</f>
        <v>Yes</v>
      </c>
    </row>
    <row r="38" spans="1:4" x14ac:dyDescent="0.35">
      <c r="A38" t="s">
        <v>205</v>
      </c>
    </row>
    <row r="39" spans="1:4" x14ac:dyDescent="0.35">
      <c r="A39" s="517">
        <f>'As-Filed Schedule 1B'!A38</f>
        <v>0</v>
      </c>
      <c r="B39" s="517"/>
      <c r="C39" s="517"/>
      <c r="D39" s="517"/>
    </row>
    <row r="40" spans="1:4" x14ac:dyDescent="0.35">
      <c r="A40" s="517"/>
      <c r="B40" s="517"/>
      <c r="C40" s="517"/>
      <c r="D40" s="517"/>
    </row>
    <row r="41" spans="1:4" x14ac:dyDescent="0.35">
      <c r="A41" s="517"/>
      <c r="B41" s="517"/>
      <c r="C41" s="517"/>
      <c r="D41" s="517"/>
    </row>
    <row r="42" spans="1:4" x14ac:dyDescent="0.35">
      <c r="A42" s="517"/>
      <c r="B42" s="517"/>
      <c r="C42" s="517"/>
      <c r="D42" s="517"/>
    </row>
    <row r="43" spans="1:4" x14ac:dyDescent="0.35">
      <c r="A43" s="517"/>
      <c r="B43" s="517"/>
      <c r="C43" s="517"/>
      <c r="D43" s="517"/>
    </row>
    <row r="44" spans="1:4" x14ac:dyDescent="0.35">
      <c r="A44" s="517"/>
      <c r="B44" s="517"/>
      <c r="C44" s="517"/>
      <c r="D44" s="517"/>
    </row>
    <row r="45" spans="1:4" x14ac:dyDescent="0.35">
      <c r="A45" s="517"/>
      <c r="B45" s="517"/>
      <c r="C45" s="517"/>
      <c r="D45" s="517"/>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679</v>
      </c>
    </row>
    <row r="4" spans="1:24" ht="25" customHeight="1" x14ac:dyDescent="0.5">
      <c r="A4" s="243" t="str">
        <f>Results!A4</f>
        <v>Final Adjustments</v>
      </c>
    </row>
    <row r="6" spans="1:24" x14ac:dyDescent="0.35">
      <c r="A6" s="1" t="s">
        <v>772</v>
      </c>
      <c r="C6" s="421" t="str">
        <f>Results!$C$6</f>
        <v>Mind Springs Health</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271</v>
      </c>
      <c r="G9" s="40"/>
      <c r="K9" s="40"/>
      <c r="L9" s="40"/>
      <c r="M9" s="40"/>
    </row>
    <row r="10" spans="1:24" ht="15" customHeight="1" x14ac:dyDescent="0.35">
      <c r="A10" s="520" t="s">
        <v>921</v>
      </c>
      <c r="B10" s="520"/>
      <c r="C10" s="520"/>
      <c r="D10" s="520"/>
      <c r="E10" s="520"/>
      <c r="F10" s="520"/>
      <c r="G10" s="520"/>
      <c r="H10" s="520"/>
      <c r="I10" s="520"/>
      <c r="J10" s="64"/>
      <c r="K10" s="40"/>
      <c r="L10" s="40"/>
      <c r="M10" s="40"/>
      <c r="T10" s="65"/>
      <c r="U10" s="65"/>
      <c r="V10" s="65"/>
      <c r="W10" s="65"/>
      <c r="X10" s="65"/>
    </row>
    <row r="11" spans="1:24" ht="15" customHeight="1" x14ac:dyDescent="0.35">
      <c r="A11" s="520"/>
      <c r="B11" s="520"/>
      <c r="C11" s="520"/>
      <c r="D11" s="520"/>
      <c r="E11" s="520"/>
      <c r="F11" s="520"/>
      <c r="G11" s="520"/>
      <c r="H11" s="520"/>
      <c r="I11" s="520"/>
      <c r="J11" s="64"/>
      <c r="K11" s="40"/>
      <c r="L11" s="40"/>
      <c r="M11" s="40"/>
      <c r="T11" s="65"/>
      <c r="U11" s="65"/>
      <c r="V11" s="65"/>
      <c r="W11" s="65"/>
      <c r="X11" s="65"/>
    </row>
    <row r="12" spans="1:24" x14ac:dyDescent="0.35">
      <c r="A12" s="520"/>
      <c r="B12" s="520"/>
      <c r="C12" s="520"/>
      <c r="D12" s="520"/>
      <c r="E12" s="520"/>
      <c r="F12" s="520"/>
      <c r="G12" s="520"/>
      <c r="H12" s="520"/>
      <c r="I12" s="520"/>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21">
        <v>1</v>
      </c>
      <c r="C14" s="521"/>
      <c r="D14" s="175">
        <v>2</v>
      </c>
      <c r="E14" s="175">
        <v>3</v>
      </c>
      <c r="F14" s="175">
        <v>4</v>
      </c>
      <c r="G14" s="175">
        <v>5</v>
      </c>
      <c r="H14" s="175">
        <v>6</v>
      </c>
      <c r="I14" s="175">
        <v>7</v>
      </c>
      <c r="J14" s="64"/>
      <c r="T14" s="65"/>
      <c r="U14" s="65"/>
      <c r="V14" s="65"/>
      <c r="W14" s="65"/>
      <c r="X14" s="65"/>
    </row>
    <row r="15" spans="1:24" s="4" customFormat="1" ht="72.5" x14ac:dyDescent="0.35">
      <c r="A15" s="191"/>
      <c r="B15" s="516" t="s">
        <v>590</v>
      </c>
      <c r="C15" s="522"/>
      <c r="D15" s="151" t="s">
        <v>779</v>
      </c>
      <c r="E15" s="192" t="s">
        <v>682</v>
      </c>
      <c r="F15" s="151" t="s">
        <v>783</v>
      </c>
      <c r="G15" s="193" t="s">
        <v>683</v>
      </c>
      <c r="H15" s="192" t="s">
        <v>684</v>
      </c>
      <c r="I15" s="151" t="s">
        <v>685</v>
      </c>
      <c r="J15" s="66"/>
      <c r="T15" s="67"/>
      <c r="U15" s="67"/>
      <c r="V15" s="67"/>
      <c r="W15" s="67"/>
      <c r="X15" s="67"/>
    </row>
    <row r="16" spans="1:24" s="4" customFormat="1" ht="15" customHeight="1" x14ac:dyDescent="0.35">
      <c r="A16" s="182">
        <v>1</v>
      </c>
      <c r="B16" s="511" t="str">
        <f>'Schedule 1C Adjustments'!B15:C15</f>
        <v>Intercompany Lease of Property</v>
      </c>
      <c r="C16" s="511"/>
      <c r="D16" s="180">
        <f>'Schedule 1C Adjustments'!F15</f>
        <v>4167296</v>
      </c>
      <c r="E16" s="180">
        <f>'Schedule 1C Adjustments'!I15</f>
        <v>4167296</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11" t="str">
        <f>'Schedule 1C Adjustments'!B16:C16</f>
        <v/>
      </c>
      <c r="C17" s="511"/>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11" t="str">
        <f>'Schedule 1C Adjustments'!B17:C17</f>
        <v/>
      </c>
      <c r="C18" s="511"/>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11" t="str">
        <f>'Schedule 1C Adjustments'!B18:C18</f>
        <v/>
      </c>
      <c r="C19" s="511"/>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11" t="str">
        <f>'Schedule 1C Adjustments'!B19:C19</f>
        <v/>
      </c>
      <c r="C20" s="511"/>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11" t="str">
        <f>'Schedule 1C Adjustments'!B20:C20</f>
        <v/>
      </c>
      <c r="C21" s="511"/>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11" t="str">
        <f>'Schedule 1C Adjustments'!B21:C21</f>
        <v/>
      </c>
      <c r="C22" s="511"/>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11" t="str">
        <f>'Schedule 1C Adjustments'!B22:C22</f>
        <v/>
      </c>
      <c r="C23" s="511"/>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11" t="str">
        <f>'Schedule 1C Adjustments'!B23:C23</f>
        <v/>
      </c>
      <c r="C24" s="511"/>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11" t="str">
        <f>'Schedule 1C Adjustments'!B24:C24</f>
        <v/>
      </c>
      <c r="C25" s="511"/>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597</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183</v>
      </c>
      <c r="F28" s="185">
        <f>SUMIF($G$16:$G$25,2,$F$16:$F$25)</f>
        <v>0</v>
      </c>
      <c r="G28" s="191"/>
      <c r="H28" s="100"/>
      <c r="I28" s="100"/>
    </row>
    <row r="29" spans="1:24" x14ac:dyDescent="0.35">
      <c r="A29" s="182">
        <v>13</v>
      </c>
      <c r="B29" s="100"/>
      <c r="C29" s="100"/>
      <c r="D29" s="100"/>
      <c r="E29" s="184" t="s">
        <v>181</v>
      </c>
      <c r="F29" s="185">
        <f>SUMIF($G$16:$G$25,3,$F$16:$F$25)</f>
        <v>0</v>
      </c>
      <c r="G29" s="191"/>
      <c r="H29" s="100"/>
      <c r="I29" s="100"/>
    </row>
    <row r="30" spans="1:24" x14ac:dyDescent="0.35">
      <c r="A30" s="182">
        <f t="shared" si="1"/>
        <v>14</v>
      </c>
      <c r="B30" s="100"/>
      <c r="C30" s="100"/>
      <c r="D30" s="100"/>
      <c r="E30" s="184" t="s">
        <v>182</v>
      </c>
      <c r="F30" s="185">
        <f>SUMIF($G$16:$G$25,4,$F$16:$F$25)</f>
        <v>0</v>
      </c>
      <c r="G30" s="191"/>
      <c r="H30" s="100"/>
      <c r="I30" s="100"/>
    </row>
    <row r="31" spans="1:24" x14ac:dyDescent="0.35">
      <c r="A31" s="182">
        <f t="shared" si="1"/>
        <v>15</v>
      </c>
      <c r="B31" s="100"/>
      <c r="C31" s="100"/>
      <c r="D31" s="100"/>
      <c r="E31" s="184" t="s">
        <v>184</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270</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19" t="s">
        <v>922</v>
      </c>
      <c r="B35" s="519"/>
      <c r="C35" s="519"/>
      <c r="D35" s="519"/>
      <c r="E35" s="519"/>
      <c r="F35" s="519"/>
      <c r="G35" s="519"/>
      <c r="H35" s="519"/>
      <c r="I35" s="519"/>
      <c r="J35" s="64"/>
      <c r="T35" s="65"/>
      <c r="U35" s="65"/>
      <c r="V35" s="65"/>
      <c r="W35" s="65"/>
      <c r="X35" s="65"/>
    </row>
    <row r="36" spans="1:24" x14ac:dyDescent="0.35">
      <c r="A36" s="519"/>
      <c r="B36" s="519"/>
      <c r="C36" s="519"/>
      <c r="D36" s="519"/>
      <c r="E36" s="519"/>
      <c r="F36" s="519"/>
      <c r="G36" s="519"/>
      <c r="H36" s="519"/>
      <c r="I36" s="519"/>
      <c r="J36" s="64"/>
      <c r="T36" s="65"/>
      <c r="U36" s="65"/>
      <c r="V36" s="65"/>
      <c r="W36" s="65"/>
      <c r="X36" s="65"/>
    </row>
    <row r="37" spans="1:24" x14ac:dyDescent="0.35">
      <c r="A37" s="519"/>
      <c r="B37" s="519"/>
      <c r="C37" s="519"/>
      <c r="D37" s="519"/>
      <c r="E37" s="519"/>
      <c r="F37" s="519"/>
      <c r="G37" s="519"/>
      <c r="H37" s="519"/>
      <c r="I37" s="519"/>
      <c r="J37" s="64"/>
      <c r="T37" s="65"/>
      <c r="U37" s="65"/>
      <c r="V37" s="65"/>
      <c r="W37" s="65"/>
      <c r="X37" s="65"/>
    </row>
    <row r="38" spans="1:24" x14ac:dyDescent="0.35">
      <c r="A38" s="519"/>
      <c r="B38" s="519"/>
      <c r="C38" s="519"/>
      <c r="D38" s="519"/>
      <c r="E38" s="519"/>
      <c r="F38" s="519"/>
      <c r="G38" s="519"/>
      <c r="H38" s="519"/>
      <c r="I38" s="519"/>
      <c r="J38" s="64"/>
      <c r="T38" s="65"/>
      <c r="U38" s="65"/>
      <c r="V38" s="65"/>
      <c r="W38" s="65"/>
      <c r="X38" s="65"/>
    </row>
    <row r="39" spans="1:24" x14ac:dyDescent="0.35">
      <c r="A39" s="519"/>
      <c r="B39" s="519"/>
      <c r="C39" s="519"/>
      <c r="D39" s="519"/>
      <c r="E39" s="519"/>
      <c r="F39" s="519"/>
      <c r="G39" s="519"/>
      <c r="H39" s="519"/>
      <c r="I39" s="519"/>
      <c r="J39" s="64"/>
      <c r="T39" s="65"/>
      <c r="U39" s="65"/>
      <c r="V39" s="65"/>
      <c r="W39" s="65"/>
      <c r="X39" s="65"/>
    </row>
    <row r="40" spans="1:24" x14ac:dyDescent="0.35">
      <c r="A40" s="519"/>
      <c r="B40" s="519"/>
      <c r="C40" s="519"/>
      <c r="D40" s="519"/>
      <c r="E40" s="519"/>
      <c r="F40" s="519"/>
      <c r="G40" s="519"/>
      <c r="H40" s="519"/>
      <c r="I40" s="519"/>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773</v>
      </c>
    </row>
    <row r="2" spans="1:10" ht="21" x14ac:dyDescent="0.5">
      <c r="A2" s="2" t="s">
        <v>771</v>
      </c>
    </row>
    <row r="3" spans="1:10" ht="25" customHeight="1" x14ac:dyDescent="0.5">
      <c r="A3" s="512" t="s">
        <v>680</v>
      </c>
      <c r="B3" s="512"/>
      <c r="C3" s="512"/>
      <c r="D3" s="512"/>
      <c r="E3" s="512"/>
      <c r="F3" s="512"/>
      <c r="G3" s="512"/>
      <c r="H3" s="512"/>
      <c r="I3" s="512"/>
      <c r="J3" s="512"/>
    </row>
    <row r="4" spans="1:10" ht="25" customHeight="1" x14ac:dyDescent="0.5">
      <c r="A4" s="243" t="str">
        <f>Results!A4</f>
        <v>Final Adjustments</v>
      </c>
      <c r="B4" s="361"/>
      <c r="C4" s="361"/>
      <c r="D4" s="361"/>
      <c r="E4" s="361"/>
      <c r="F4" s="361"/>
      <c r="G4" s="361"/>
      <c r="H4" s="361"/>
      <c r="I4" s="361"/>
      <c r="J4" s="361"/>
    </row>
    <row r="6" spans="1:10" x14ac:dyDescent="0.35">
      <c r="A6" s="1" t="s">
        <v>772</v>
      </c>
      <c r="C6" s="421" t="str">
        <f>Results!$C$6</f>
        <v>Mind Springs Health</v>
      </c>
    </row>
    <row r="7" spans="1:10" x14ac:dyDescent="0.35">
      <c r="A7" s="1" t="s">
        <v>0</v>
      </c>
      <c r="C7" s="35">
        <f>Results!$C$7</f>
        <v>45473</v>
      </c>
      <c r="D7" s="35"/>
    </row>
    <row r="9" spans="1:10" x14ac:dyDescent="0.35">
      <c r="A9" s="1" t="s">
        <v>310</v>
      </c>
    </row>
    <row r="10" spans="1:10" x14ac:dyDescent="0.35">
      <c r="A10" s="1"/>
      <c r="B10" s="82"/>
      <c r="C10" s="82"/>
      <c r="D10" s="82"/>
    </row>
    <row r="11" spans="1:10" x14ac:dyDescent="0.35">
      <c r="A11" s="70"/>
      <c r="B11" s="526">
        <v>1</v>
      </c>
      <c r="C11" s="526"/>
      <c r="D11" s="23">
        <v>2</v>
      </c>
      <c r="E11" s="23">
        <v>3</v>
      </c>
      <c r="F11" s="23">
        <v>4</v>
      </c>
      <c r="G11" s="23">
        <v>5</v>
      </c>
      <c r="H11" s="23">
        <v>6</v>
      </c>
      <c r="I11" s="23">
        <v>7</v>
      </c>
    </row>
    <row r="12" spans="1:10" x14ac:dyDescent="0.35">
      <c r="B12" s="527" t="s">
        <v>177</v>
      </c>
      <c r="C12" s="527"/>
      <c r="D12" s="528" t="s">
        <v>179</v>
      </c>
      <c r="E12" s="529" t="s">
        <v>206</v>
      </c>
      <c r="F12" s="530"/>
      <c r="G12" s="529" t="s">
        <v>209</v>
      </c>
      <c r="H12" s="530"/>
      <c r="I12" s="527" t="s">
        <v>217</v>
      </c>
    </row>
    <row r="13" spans="1:10" ht="30" customHeight="1" x14ac:dyDescent="0.35">
      <c r="B13" s="527"/>
      <c r="C13" s="527"/>
      <c r="D13" s="528"/>
      <c r="E13" s="10" t="s">
        <v>686</v>
      </c>
      <c r="F13" s="10" t="s">
        <v>687</v>
      </c>
      <c r="G13" s="10" t="s">
        <v>686</v>
      </c>
      <c r="H13" s="10" t="s">
        <v>687</v>
      </c>
      <c r="I13" s="527"/>
    </row>
    <row r="14" spans="1:10" x14ac:dyDescent="0.35">
      <c r="A14" s="425" t="s">
        <v>837</v>
      </c>
      <c r="B14" s="204"/>
      <c r="C14" s="204"/>
      <c r="D14" s="204"/>
      <c r="E14" s="204"/>
      <c r="F14" s="204"/>
      <c r="G14" s="204"/>
      <c r="H14" s="204"/>
      <c r="I14" s="204"/>
    </row>
    <row r="15" spans="1:10" x14ac:dyDescent="0.35">
      <c r="A15" s="24">
        <v>1</v>
      </c>
      <c r="B15" s="523" t="s">
        <v>210</v>
      </c>
      <c r="C15" s="523"/>
      <c r="D15" s="24" t="s">
        <v>12</v>
      </c>
      <c r="E15" s="26">
        <f>'Adjusted Schedule 2A'!F74</f>
        <v>2880265.1389237051</v>
      </c>
      <c r="F15" s="26">
        <f>'Adjusted Schedule 2A'!G74</f>
        <v>438801.94313996087</v>
      </c>
      <c r="G15" s="26">
        <f>'Adjusted Schedule 2A'!J74</f>
        <v>0</v>
      </c>
      <c r="H15" s="26">
        <f>'Adjusted Schedule 2A'!K74</f>
        <v>0</v>
      </c>
      <c r="I15" s="68">
        <f>SUM(E15:H15)</f>
        <v>3319067.0820636661</v>
      </c>
    </row>
    <row r="16" spans="1:10" x14ac:dyDescent="0.35">
      <c r="A16" s="24">
        <v>2</v>
      </c>
      <c r="B16" s="523" t="s">
        <v>212</v>
      </c>
      <c r="C16" s="523"/>
      <c r="D16" s="24" t="s">
        <v>13</v>
      </c>
      <c r="E16" s="26">
        <f>'Adjusted Schedule 2B'!$F$74</f>
        <v>0</v>
      </c>
      <c r="F16" s="26">
        <f>'Adjusted Schedule 2B'!G74</f>
        <v>0</v>
      </c>
      <c r="G16" s="26">
        <f>'Adjusted Schedule 2B'!$J$74</f>
        <v>65705.993995837169</v>
      </c>
      <c r="H16" s="26">
        <f>'Adjusted Schedule 2B'!K74</f>
        <v>10010.161027081638</v>
      </c>
      <c r="I16" s="68">
        <f>SUM(E16:H16)</f>
        <v>75716.1550229188</v>
      </c>
    </row>
    <row r="17" spans="1:11" x14ac:dyDescent="0.35">
      <c r="A17" s="24">
        <v>3</v>
      </c>
      <c r="B17" s="523" t="s">
        <v>200</v>
      </c>
      <c r="C17" s="523"/>
      <c r="D17" s="24" t="s">
        <v>14</v>
      </c>
      <c r="E17" s="26">
        <f>'Adjusted Schedule 2C'!$F$74</f>
        <v>14416088.000879068</v>
      </c>
      <c r="F17" s="26">
        <f>'Adjusted Schedule 2C'!G74</f>
        <v>2196258.719996254</v>
      </c>
      <c r="G17" s="26">
        <f>'Adjusted Schedule 2C'!$J$74</f>
        <v>212570.59488600737</v>
      </c>
      <c r="H17" s="26">
        <f>'Adjusted Schedule 2C'!K74</f>
        <v>32384.654047943972</v>
      </c>
      <c r="I17" s="68">
        <f>SUM(E17:H17)</f>
        <v>16857301.969809275</v>
      </c>
      <c r="K17" s="48"/>
    </row>
    <row r="18" spans="1:11" x14ac:dyDescent="0.35">
      <c r="A18" s="24">
        <v>4</v>
      </c>
      <c r="B18" s="523" t="s">
        <v>211</v>
      </c>
      <c r="C18" s="523"/>
      <c r="D18" s="24" t="s">
        <v>178</v>
      </c>
      <c r="E18" s="26">
        <f>'Adjusted Schedule 2D'!$F$74</f>
        <v>963658.52313187858</v>
      </c>
      <c r="F18" s="26">
        <f>'Adjusted Schedule 2D'!G74</f>
        <v>146811.21774492797</v>
      </c>
      <c r="G18" s="26">
        <f>'Adjusted Schedule 2D'!$J$74</f>
        <v>0</v>
      </c>
      <c r="H18" s="26">
        <f>'Adjusted Schedule 2D'!K74</f>
        <v>0</v>
      </c>
      <c r="I18" s="68">
        <f>SUM(E18:H18)</f>
        <v>1110469.7408768064</v>
      </c>
    </row>
    <row r="19" spans="1:11" x14ac:dyDescent="0.35">
      <c r="A19" s="425" t="s">
        <v>790</v>
      </c>
      <c r="B19" s="204"/>
      <c r="C19" s="204"/>
      <c r="D19" s="204"/>
      <c r="E19" s="204"/>
      <c r="F19" s="204"/>
      <c r="G19" s="204"/>
      <c r="H19" s="204"/>
      <c r="I19" s="204"/>
      <c r="J19" s="100"/>
      <c r="K19" s="48"/>
    </row>
    <row r="20" spans="1:11" x14ac:dyDescent="0.35">
      <c r="A20" s="155">
        <v>5</v>
      </c>
      <c r="B20" s="524" t="s">
        <v>791</v>
      </c>
      <c r="C20" s="524"/>
      <c r="D20" s="155" t="s">
        <v>792</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24" t="s">
        <v>793</v>
      </c>
      <c r="C21" s="524"/>
      <c r="D21" s="155" t="s">
        <v>794</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24" t="s">
        <v>795</v>
      </c>
      <c r="C22" s="524"/>
      <c r="D22" s="155" t="s">
        <v>796</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24" t="s">
        <v>797</v>
      </c>
      <c r="C23" s="524"/>
      <c r="D23" s="155" t="s">
        <v>798</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24" t="s">
        <v>799</v>
      </c>
      <c r="C24" s="524"/>
      <c r="D24" s="155" t="s">
        <v>800</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24" t="s">
        <v>801</v>
      </c>
      <c r="C25" s="524"/>
      <c r="D25" s="155" t="s">
        <v>802</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24" t="s">
        <v>803</v>
      </c>
      <c r="C26" s="524"/>
      <c r="D26" s="155" t="s">
        <v>804</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24" t="s">
        <v>805</v>
      </c>
      <c r="C27" s="524"/>
      <c r="D27" s="155" t="s">
        <v>806</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25" t="s">
        <v>807</v>
      </c>
      <c r="C28" s="525"/>
      <c r="D28" s="155" t="s">
        <v>808</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18260011.66293465</v>
      </c>
      <c r="F29" s="18">
        <f t="shared" ref="F29:H29" si="1">SUM(F15:F28)</f>
        <v>2781871.8808811428</v>
      </c>
      <c r="G29" s="18">
        <f>SUM(G15:G28)</f>
        <v>278276.58888184454</v>
      </c>
      <c r="H29" s="18">
        <f t="shared" si="1"/>
        <v>42394.81507502561</v>
      </c>
    </row>
    <row r="30" spans="1:11" s="57" customFormat="1" ht="12" x14ac:dyDescent="0.3">
      <c r="D30" s="76" t="s">
        <v>215</v>
      </c>
      <c r="E30" s="58">
        <f>'Adjusted Schedule 1'!F92</f>
        <v>18472984.25</v>
      </c>
      <c r="G30" s="58">
        <f>'Adjusted Schedule 1'!H92</f>
        <v>316958.17</v>
      </c>
    </row>
    <row r="31" spans="1:11" s="57" customFormat="1" ht="12" x14ac:dyDescent="0.3">
      <c r="D31" s="76" t="s">
        <v>10</v>
      </c>
      <c r="E31" s="59">
        <f>E29-E30</f>
        <v>-212972.58706535026</v>
      </c>
      <c r="G31" s="59">
        <f>G29-G30</f>
        <v>-38681.581118155445</v>
      </c>
    </row>
    <row r="32" spans="1:11" s="57" customFormat="1" ht="12" x14ac:dyDescent="0.3">
      <c r="D32" s="76"/>
      <c r="E32" s="59"/>
      <c r="G32" s="59"/>
    </row>
    <row r="34" spans="1:10" x14ac:dyDescent="0.35">
      <c r="E34" s="10" t="s">
        <v>217</v>
      </c>
    </row>
    <row r="35" spans="1:10" x14ac:dyDescent="0.35">
      <c r="A35" s="24">
        <v>6</v>
      </c>
      <c r="B35" s="523" t="s">
        <v>218</v>
      </c>
      <c r="C35" s="523"/>
      <c r="D35" s="24" t="s">
        <v>110</v>
      </c>
      <c r="E35" s="26">
        <f>'Adjusted Schedule 3'!M168</f>
        <v>38669679.090196006</v>
      </c>
      <c r="I35" s="18">
        <f>SUM(I15:I28)+E35</f>
        <v>60032234.037968665</v>
      </c>
      <c r="J35" s="71" t="s">
        <v>3</v>
      </c>
    </row>
    <row r="36" spans="1:10" ht="12.75" customHeight="1" x14ac:dyDescent="0.35">
      <c r="D36" s="76" t="s">
        <v>216</v>
      </c>
      <c r="E36" s="58">
        <f>'Adjusted Schedule 1'!G96</f>
        <v>38669679.852216989</v>
      </c>
    </row>
    <row r="37" spans="1:10" ht="12.75" customHeight="1" x14ac:dyDescent="0.35">
      <c r="D37" s="76" t="s">
        <v>10</v>
      </c>
      <c r="E37" s="59">
        <f>E35-E36</f>
        <v>-0.76202098280191422</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customProperties>
    <customPr name="OrphanNamesChecke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election activeCell="G18" sqref="G18"/>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12" t="s">
        <v>681</v>
      </c>
      <c r="B3" s="512"/>
      <c r="C3" s="512"/>
      <c r="D3" s="512"/>
      <c r="E3" s="512"/>
      <c r="F3" s="512"/>
    </row>
    <row r="4" spans="1:19" ht="25" customHeight="1" x14ac:dyDescent="0.5">
      <c r="A4" s="243" t="str">
        <f>Results!A4</f>
        <v>Final Adjustments</v>
      </c>
      <c r="B4" s="361"/>
      <c r="C4" s="361"/>
      <c r="D4" s="361"/>
      <c r="E4" s="361"/>
      <c r="F4" s="361"/>
    </row>
    <row r="5" spans="1:19" x14ac:dyDescent="0.35">
      <c r="A5" s="48"/>
    </row>
    <row r="6" spans="1:19" x14ac:dyDescent="0.35">
      <c r="A6" s="1" t="s">
        <v>772</v>
      </c>
      <c r="C6" s="421" t="str">
        <f>Results!$C$6</f>
        <v>Mind Springs Health</v>
      </c>
    </row>
    <row r="7" spans="1:19" x14ac:dyDescent="0.35">
      <c r="A7" s="1" t="s">
        <v>0</v>
      </c>
      <c r="C7" s="35">
        <f>Results!$C$7</f>
        <v>45473</v>
      </c>
      <c r="F7" s="35"/>
      <c r="N7" s="130"/>
      <c r="O7" s="130"/>
      <c r="P7" s="130"/>
    </row>
    <row r="8" spans="1:19" x14ac:dyDescent="0.35">
      <c r="N8" s="40"/>
      <c r="O8" s="40"/>
      <c r="P8" s="40"/>
    </row>
    <row r="9" spans="1:19" x14ac:dyDescent="0.35">
      <c r="A9" s="1" t="s">
        <v>252</v>
      </c>
      <c r="B9" s="1" t="s">
        <v>749</v>
      </c>
      <c r="C9" s="1"/>
      <c r="D9" s="119" t="str">
        <f>'Schedule 2A Adjustments'!D8</f>
        <v>Yes</v>
      </c>
      <c r="E9" s="41" t="s">
        <v>258</v>
      </c>
      <c r="N9" s="40"/>
      <c r="O9" s="40"/>
      <c r="P9" s="40"/>
    </row>
    <row r="10" spans="1:19" x14ac:dyDescent="0.35">
      <c r="N10" s="130"/>
      <c r="O10" s="130"/>
      <c r="P10" s="130"/>
    </row>
    <row r="11" spans="1:19" x14ac:dyDescent="0.35">
      <c r="A11" s="1" t="s">
        <v>253</v>
      </c>
      <c r="B11" s="1" t="s">
        <v>255</v>
      </c>
      <c r="C11" s="1"/>
      <c r="N11" s="40"/>
      <c r="O11" s="40"/>
      <c r="P11" s="40"/>
    </row>
    <row r="12" spans="1:19" x14ac:dyDescent="0.35">
      <c r="A12" s="1"/>
      <c r="B12" s="318" t="s">
        <v>597</v>
      </c>
      <c r="C12" s="1"/>
      <c r="N12" s="40"/>
      <c r="O12" s="40"/>
      <c r="P12" s="40"/>
    </row>
    <row r="13" spans="1:19" x14ac:dyDescent="0.35">
      <c r="B13" s="526">
        <v>1</v>
      </c>
      <c r="C13" s="526"/>
      <c r="D13" s="526"/>
      <c r="F13" s="23">
        <v>2</v>
      </c>
      <c r="G13" s="23">
        <v>3</v>
      </c>
      <c r="H13" s="23">
        <v>4</v>
      </c>
      <c r="J13" s="23">
        <v>5</v>
      </c>
      <c r="K13" s="23">
        <v>6</v>
      </c>
      <c r="L13" s="23">
        <v>7</v>
      </c>
      <c r="N13" s="23">
        <v>8</v>
      </c>
      <c r="O13" s="23">
        <v>9</v>
      </c>
      <c r="Q13" s="40"/>
      <c r="R13" s="40"/>
      <c r="S13" s="40"/>
    </row>
    <row r="14" spans="1:19" x14ac:dyDescent="0.35">
      <c r="B14" s="535" t="s">
        <v>611</v>
      </c>
      <c r="C14" s="536"/>
      <c r="D14" s="537"/>
      <c r="F14" s="529" t="s">
        <v>260</v>
      </c>
      <c r="G14" s="534"/>
      <c r="H14" s="530"/>
      <c r="J14" s="529" t="s">
        <v>261</v>
      </c>
      <c r="K14" s="534"/>
      <c r="L14" s="530"/>
      <c r="N14" s="532" t="s">
        <v>691</v>
      </c>
      <c r="O14" s="532" t="s">
        <v>692</v>
      </c>
      <c r="Q14" s="40"/>
      <c r="R14" s="40"/>
      <c r="S14" s="40"/>
    </row>
    <row r="15" spans="1:19" ht="56.25" customHeight="1" x14ac:dyDescent="0.35">
      <c r="B15" s="538"/>
      <c r="C15" s="539"/>
      <c r="D15" s="540"/>
      <c r="F15" s="10" t="s">
        <v>688</v>
      </c>
      <c r="G15" s="151" t="s">
        <v>689</v>
      </c>
      <c r="H15" s="151" t="s">
        <v>690</v>
      </c>
      <c r="I15" s="100"/>
      <c r="J15" s="10" t="s">
        <v>688</v>
      </c>
      <c r="K15" s="151" t="s">
        <v>689</v>
      </c>
      <c r="L15" s="151" t="s">
        <v>690</v>
      </c>
      <c r="N15" s="533"/>
      <c r="O15" s="533"/>
    </row>
    <row r="16" spans="1:19" x14ac:dyDescent="0.35">
      <c r="A16" s="24">
        <v>1</v>
      </c>
      <c r="B16" s="531" t="str">
        <f>'Schedule 2A Adjustments'!B15:D15</f>
        <v>Crisis</v>
      </c>
      <c r="C16" s="531"/>
      <c r="D16" s="531"/>
      <c r="F16" s="117">
        <f>'Schedule 2A Adjustments'!H15</f>
        <v>2492738.6040167371</v>
      </c>
      <c r="G16" s="68">
        <f>'Schedule 2A Adjustments'!J15</f>
        <v>379763.14346924145</v>
      </c>
      <c r="H16" s="68">
        <f>SUM(F16:G16)</f>
        <v>2872501.7474859785</v>
      </c>
      <c r="J16" s="117">
        <f>'Schedule 2A Adjustments'!P15</f>
        <v>0</v>
      </c>
      <c r="K16" s="68">
        <f>'Schedule 2A Adjustments'!R15</f>
        <v>0</v>
      </c>
      <c r="L16" s="68">
        <f>SUM(J16:K16)</f>
        <v>0</v>
      </c>
      <c r="N16" s="120">
        <f>'Schedule 2A Adjustments'!X15</f>
        <v>0</v>
      </c>
      <c r="O16" s="120">
        <f>'Schedule 2A Adjustments'!AA15</f>
        <v>0</v>
      </c>
    </row>
    <row r="17" spans="1:15" x14ac:dyDescent="0.35">
      <c r="A17" s="24">
        <v>2</v>
      </c>
      <c r="B17" s="531" t="str">
        <f>'Schedule 2A Adjustments'!B16:D16</f>
        <v>Emergency Services</v>
      </c>
      <c r="C17" s="531"/>
      <c r="D17" s="531"/>
      <c r="F17" s="117">
        <f>'Schedule 2A Adjustments'!H16</f>
        <v>104095.07089315614</v>
      </c>
      <c r="G17" s="68">
        <f>'Schedule 2A Adjustments'!J16</f>
        <v>15858.650914435426</v>
      </c>
      <c r="H17" s="68">
        <f t="shared" ref="H17:H73" si="0">SUM(F17:G17)</f>
        <v>119953.72180759156</v>
      </c>
      <c r="J17" s="117">
        <f>'Schedule 2A Adjustments'!P16</f>
        <v>0</v>
      </c>
      <c r="K17" s="68">
        <f>'Schedule 2A Adjustments'!R16</f>
        <v>0</v>
      </c>
      <c r="L17" s="68">
        <f t="shared" ref="L17:L73" si="1">SUM(J17:K17)</f>
        <v>0</v>
      </c>
      <c r="N17" s="120">
        <f>'Schedule 2A Adjustments'!X16</f>
        <v>0</v>
      </c>
      <c r="O17" s="120">
        <f>'Schedule 2A Adjustments'!AA16</f>
        <v>0</v>
      </c>
    </row>
    <row r="18" spans="1:15" x14ac:dyDescent="0.35">
      <c r="A18" s="24">
        <v>3</v>
      </c>
      <c r="B18" s="531" t="str">
        <f>'Schedule 2A Adjustments'!B17:D17</f>
        <v>Co Responders</v>
      </c>
      <c r="C18" s="531"/>
      <c r="D18" s="531"/>
      <c r="F18" s="117">
        <f>'Schedule 2A Adjustments'!H17</f>
        <v>283431.46401381161</v>
      </c>
      <c r="G18" s="68">
        <f>'Schedule 2A Adjustments'!J17</f>
        <v>43180.148756283947</v>
      </c>
      <c r="H18" s="68">
        <f t="shared" si="0"/>
        <v>326611.61277009558</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31" t="str">
        <f>'Schedule 2A Adjustments'!B18:D18</f>
        <v/>
      </c>
      <c r="C19" s="531"/>
      <c r="D19" s="531"/>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31" t="str">
        <f>'Schedule 2A Adjustments'!B19:D19</f>
        <v/>
      </c>
      <c r="C20" s="531"/>
      <c r="D20" s="531"/>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31" t="str">
        <f>'Schedule 2A Adjustments'!B20:D20</f>
        <v/>
      </c>
      <c r="C21" s="531"/>
      <c r="D21" s="531"/>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31" t="str">
        <f>'Schedule 2A Adjustments'!B21:D21</f>
        <v/>
      </c>
      <c r="C22" s="531"/>
      <c r="D22" s="531"/>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31" t="str">
        <f>'Schedule 2A Adjustments'!B22:D22</f>
        <v/>
      </c>
      <c r="C23" s="531"/>
      <c r="D23" s="531"/>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31" t="str">
        <f>'Schedule 2A Adjustments'!B23:D23</f>
        <v/>
      </c>
      <c r="C24" s="531"/>
      <c r="D24" s="531"/>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31" t="str">
        <f>'Schedule 2A Adjustments'!B24:D24</f>
        <v/>
      </c>
      <c r="C25" s="531"/>
      <c r="D25" s="531"/>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31" t="str">
        <f>'Schedule 2A Adjustments'!B25:D25</f>
        <v/>
      </c>
      <c r="C26" s="531"/>
      <c r="D26" s="531"/>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31" t="str">
        <f>'Schedule 2A Adjustments'!B26:D26</f>
        <v/>
      </c>
      <c r="C27" s="531"/>
      <c r="D27" s="531"/>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31" t="str">
        <f>'Schedule 2A Adjustments'!B27:D27</f>
        <v/>
      </c>
      <c r="C28" s="531"/>
      <c r="D28" s="531"/>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31" t="str">
        <f>'Schedule 2A Adjustments'!B28:D28</f>
        <v/>
      </c>
      <c r="C29" s="531"/>
      <c r="D29" s="531"/>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31" t="str">
        <f>'Schedule 2A Adjustments'!B29:D29</f>
        <v/>
      </c>
      <c r="C30" s="531"/>
      <c r="D30" s="531"/>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31" t="str">
        <f>'Schedule 2A Adjustments'!B30:D30</f>
        <v/>
      </c>
      <c r="C31" s="531"/>
      <c r="D31" s="531"/>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31" t="str">
        <f>'Schedule 2A Adjustments'!B31:D31</f>
        <v/>
      </c>
      <c r="C32" s="531"/>
      <c r="D32" s="531"/>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31" t="str">
        <f>'Schedule 2A Adjustments'!B32:D32</f>
        <v/>
      </c>
      <c r="C33" s="531"/>
      <c r="D33" s="531"/>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31" t="str">
        <f>'Schedule 2A Adjustments'!B33:D33</f>
        <v/>
      </c>
      <c r="C34" s="531"/>
      <c r="D34" s="531"/>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31" t="str">
        <f>'Schedule 2A Adjustments'!B34:D34</f>
        <v/>
      </c>
      <c r="C35" s="531"/>
      <c r="D35" s="531"/>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31" t="str">
        <f>'Schedule 2A Adjustments'!B35:D35</f>
        <v/>
      </c>
      <c r="C36" s="531"/>
      <c r="D36" s="531"/>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31" t="str">
        <f>'Schedule 2A Adjustments'!B36:D36</f>
        <v/>
      </c>
      <c r="C37" s="531"/>
      <c r="D37" s="531"/>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31" t="str">
        <f>'Schedule 2A Adjustments'!B37:D37</f>
        <v/>
      </c>
      <c r="C38" s="531"/>
      <c r="D38" s="531"/>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31" t="str">
        <f>'Schedule 2A Adjustments'!B38:D38</f>
        <v/>
      </c>
      <c r="C39" s="531"/>
      <c r="D39" s="531"/>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31" t="str">
        <f>'Schedule 2A Adjustments'!B39:D39</f>
        <v/>
      </c>
      <c r="C40" s="531"/>
      <c r="D40" s="531"/>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31" t="str">
        <f>'Schedule 2A Adjustments'!B40:D40</f>
        <v/>
      </c>
      <c r="C41" s="531"/>
      <c r="D41" s="531"/>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31" t="str">
        <f>'Schedule 2A Adjustments'!B41:D41</f>
        <v/>
      </c>
      <c r="C42" s="531"/>
      <c r="D42" s="531"/>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31" t="str">
        <f>'Schedule 2A Adjustments'!B42:D42</f>
        <v/>
      </c>
      <c r="C43" s="531"/>
      <c r="D43" s="531"/>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31" t="str">
        <f>'Schedule 2A Adjustments'!B43:D43</f>
        <v/>
      </c>
      <c r="C44" s="531"/>
      <c r="D44" s="531"/>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31" t="str">
        <f>'Schedule 2A Adjustments'!B44:D44</f>
        <v/>
      </c>
      <c r="C45" s="531"/>
      <c r="D45" s="531"/>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31" t="str">
        <f>'Schedule 2A Adjustments'!B45:D45</f>
        <v/>
      </c>
      <c r="C46" s="531"/>
      <c r="D46" s="531"/>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31" t="str">
        <f>'Schedule 2A Adjustments'!B46:D46</f>
        <v/>
      </c>
      <c r="C47" s="531"/>
      <c r="D47" s="531"/>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31" t="str">
        <f>'Schedule 2A Adjustments'!B47:D47</f>
        <v/>
      </c>
      <c r="C48" s="531"/>
      <c r="D48" s="531"/>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31" t="str">
        <f>'Schedule 2A Adjustments'!B48:D48</f>
        <v/>
      </c>
      <c r="C49" s="531"/>
      <c r="D49" s="531"/>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31" t="str">
        <f>'Schedule 2A Adjustments'!B49:D49</f>
        <v/>
      </c>
      <c r="C50" s="531"/>
      <c r="D50" s="531"/>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31" t="str">
        <f>'Schedule 2A Adjustments'!B50:D50</f>
        <v/>
      </c>
      <c r="C51" s="531"/>
      <c r="D51" s="531"/>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31" t="str">
        <f>'Schedule 2A Adjustments'!B51:D51</f>
        <v/>
      </c>
      <c r="C52" s="531"/>
      <c r="D52" s="531"/>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31" t="str">
        <f>'Schedule 2A Adjustments'!B52:D52</f>
        <v/>
      </c>
      <c r="C53" s="531"/>
      <c r="D53" s="531"/>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31" t="str">
        <f>'Schedule 2A Adjustments'!B53:D53</f>
        <v/>
      </c>
      <c r="C54" s="531"/>
      <c r="D54" s="531"/>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31" t="str">
        <f>'Schedule 2A Adjustments'!B54:D54</f>
        <v/>
      </c>
      <c r="C55" s="531"/>
      <c r="D55" s="531"/>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31" t="str">
        <f>'Schedule 2A Adjustments'!B55:D55</f>
        <v/>
      </c>
      <c r="C56" s="531"/>
      <c r="D56" s="531"/>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31" t="str">
        <f>'Schedule 2A Adjustments'!B56:D56</f>
        <v/>
      </c>
      <c r="C57" s="531"/>
      <c r="D57" s="531"/>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31" t="str">
        <f>'Schedule 2A Adjustments'!B57:D57</f>
        <v/>
      </c>
      <c r="C58" s="531"/>
      <c r="D58" s="531"/>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31" t="str">
        <f>'Schedule 2A Adjustments'!B58:D58</f>
        <v/>
      </c>
      <c r="C59" s="531"/>
      <c r="D59" s="531"/>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31" t="str">
        <f>'Schedule 2A Adjustments'!B59:D59</f>
        <v/>
      </c>
      <c r="C60" s="531"/>
      <c r="D60" s="531"/>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31" t="str">
        <f>'Schedule 2A Adjustments'!B60:D60</f>
        <v/>
      </c>
      <c r="C61" s="531"/>
      <c r="D61" s="531"/>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31" t="str">
        <f>'Schedule 2A Adjustments'!B61:D61</f>
        <v/>
      </c>
      <c r="C62" s="531"/>
      <c r="D62" s="531"/>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31" t="str">
        <f>'Schedule 2A Adjustments'!B62:D62</f>
        <v/>
      </c>
      <c r="C63" s="531"/>
      <c r="D63" s="531"/>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31" t="str">
        <f>'Schedule 2A Adjustments'!B63:D63</f>
        <v/>
      </c>
      <c r="C64" s="531"/>
      <c r="D64" s="531"/>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31" t="str">
        <f>'Schedule 2A Adjustments'!B64:D64</f>
        <v/>
      </c>
      <c r="C65" s="531"/>
      <c r="D65" s="531"/>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31" t="str">
        <f>'Schedule 2A Adjustments'!B65:D65</f>
        <v/>
      </c>
      <c r="C66" s="531"/>
      <c r="D66" s="531"/>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31" t="str">
        <f>'Schedule 2A Adjustments'!B66:D66</f>
        <v/>
      </c>
      <c r="C67" s="531"/>
      <c r="D67" s="531"/>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31" t="str">
        <f>'Schedule 2A Adjustments'!B67:D67</f>
        <v/>
      </c>
      <c r="C68" s="531"/>
      <c r="D68" s="531"/>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31" t="str">
        <f>'Schedule 2A Adjustments'!B68:D68</f>
        <v/>
      </c>
      <c r="C69" s="531"/>
      <c r="D69" s="531"/>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31" t="str">
        <f>'Schedule 2A Adjustments'!B69:D69</f>
        <v/>
      </c>
      <c r="C70" s="531"/>
      <c r="D70" s="531"/>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31" t="str">
        <f>'Schedule 2A Adjustments'!B70:D70</f>
        <v/>
      </c>
      <c r="C71" s="531"/>
      <c r="D71" s="531"/>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31" t="str">
        <f>'Schedule 2A Adjustments'!B71:D71</f>
        <v/>
      </c>
      <c r="C72" s="531"/>
      <c r="D72" s="531"/>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31" t="str">
        <f>'Schedule 2A Adjustments'!B72:D72</f>
        <v/>
      </c>
      <c r="C73" s="531"/>
      <c r="D73" s="531"/>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2880265.1389237051</v>
      </c>
      <c r="G74" s="18">
        <f t="shared" ref="G74" si="2">SUM(G16:G73)</f>
        <v>438801.94313996087</v>
      </c>
      <c r="H74" s="18">
        <f>SUM(H16:H73)</f>
        <v>3319067.0820636656</v>
      </c>
      <c r="J74" s="18">
        <f>SUM(J16:J73)</f>
        <v>0</v>
      </c>
      <c r="K74" s="18">
        <f t="shared" ref="K74:L74" si="3">SUM(K16:K73)</f>
        <v>0</v>
      </c>
      <c r="L74" s="18">
        <f t="shared" si="3"/>
        <v>0</v>
      </c>
      <c r="O74" s="83" t="s">
        <v>312</v>
      </c>
    </row>
    <row r="75" spans="1:15" ht="15" thickBot="1" x14ac:dyDescent="0.4">
      <c r="H75" s="37" t="s">
        <v>256</v>
      </c>
      <c r="L75" s="37" t="s">
        <v>257</v>
      </c>
    </row>
    <row r="76" spans="1:15" ht="16" thickBot="1" x14ac:dyDescent="0.4">
      <c r="A76" s="24">
        <v>60</v>
      </c>
      <c r="B76" s="143" t="s">
        <v>462</v>
      </c>
      <c r="C76" s="72"/>
      <c r="E76" s="72"/>
      <c r="F76" s="75">
        <f>H74+L74</f>
        <v>3319067.0820636656</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773</v>
      </c>
    </row>
    <row r="2" spans="1:15" ht="21" x14ac:dyDescent="0.5">
      <c r="A2" s="2" t="s">
        <v>771</v>
      </c>
    </row>
    <row r="3" spans="1:15" ht="25" customHeight="1" x14ac:dyDescent="0.5">
      <c r="A3" s="512" t="s">
        <v>693</v>
      </c>
      <c r="B3" s="512"/>
      <c r="C3" s="512"/>
      <c r="D3" s="512"/>
      <c r="E3" s="512"/>
      <c r="F3" s="512"/>
      <c r="G3" s="512"/>
      <c r="H3" s="512"/>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750</v>
      </c>
      <c r="C9" s="1"/>
      <c r="F9" s="119" t="str">
        <f>'Schedule 2B Adjustments'!F8</f>
        <v>Yes</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2B Adjustments'!B15:D15</f>
        <v>Consultative and Education</v>
      </c>
      <c r="C16" s="531"/>
      <c r="D16" s="531"/>
      <c r="F16" s="117">
        <f>'Schedule 2B Adjustments'!H15</f>
        <v>0</v>
      </c>
      <c r="G16" s="181">
        <f>'Schedule 2B Adjustments'!J15</f>
        <v>0</v>
      </c>
      <c r="H16" s="181">
        <f>SUM(F16:G16)</f>
        <v>0</v>
      </c>
      <c r="I16" s="100"/>
      <c r="J16" s="180">
        <f>'Schedule 2B Adjustments'!P15</f>
        <v>14137.73263825416</v>
      </c>
      <c r="K16" s="181">
        <f>'Schedule 2B Adjustments'!R15</f>
        <v>2153.8519039178977</v>
      </c>
      <c r="L16" s="68">
        <f>SUM(J16:K16)</f>
        <v>16291.584542172057</v>
      </c>
      <c r="N16" s="120">
        <f>'Schedule 2B Adjustments'!X15</f>
        <v>0</v>
      </c>
      <c r="O16" s="120">
        <f>'Schedule 2B Adjustments'!AA15</f>
        <v>0</v>
      </c>
    </row>
    <row r="17" spans="1:15" x14ac:dyDescent="0.35">
      <c r="A17" s="24">
        <v>2</v>
      </c>
      <c r="B17" s="531" t="str">
        <f>'Schedule 2B Adjustments'!B16:D16</f>
        <v>Gun Violence Prevention</v>
      </c>
      <c r="C17" s="531"/>
      <c r="D17" s="531"/>
      <c r="F17" s="117">
        <f>'Schedule 2B Adjustments'!H16</f>
        <v>0</v>
      </c>
      <c r="G17" s="181">
        <f>'Schedule 2B Adjustments'!J16</f>
        <v>0</v>
      </c>
      <c r="H17" s="68">
        <f t="shared" ref="H17:H73" si="0">SUM(F17:G17)</f>
        <v>0</v>
      </c>
      <c r="J17" s="180">
        <f>'Schedule 2B Adjustments'!P16</f>
        <v>41347.738531586379</v>
      </c>
      <c r="K17" s="181">
        <f>'Schedule 2B Adjustments'!R16</f>
        <v>6299.2353609789443</v>
      </c>
      <c r="L17" s="68">
        <f t="shared" ref="L17:L73" si="1">SUM(J17:K17)</f>
        <v>47646.973892565322</v>
      </c>
      <c r="N17" s="120">
        <f>'Schedule 2B Adjustments'!X16</f>
        <v>0</v>
      </c>
      <c r="O17" s="120">
        <f>'Schedule 2B Adjustments'!AA16</f>
        <v>0</v>
      </c>
    </row>
    <row r="18" spans="1:15" x14ac:dyDescent="0.35">
      <c r="A18" s="24">
        <v>3</v>
      </c>
      <c r="B18" s="531" t="str">
        <f>'Schedule 2B Adjustments'!B17:D17</f>
        <v>Hospital Alternatives</v>
      </c>
      <c r="C18" s="531"/>
      <c r="D18" s="531"/>
      <c r="F18" s="117">
        <f>'Schedule 2B Adjustments'!H17</f>
        <v>0</v>
      </c>
      <c r="G18" s="181">
        <f>'Schedule 2B Adjustments'!J17</f>
        <v>0</v>
      </c>
      <c r="H18" s="68">
        <f t="shared" si="0"/>
        <v>0</v>
      </c>
      <c r="J18" s="180">
        <f>'Schedule 2B Adjustments'!P17</f>
        <v>-8.3728795055147062E-2</v>
      </c>
      <c r="K18" s="181">
        <f>'Schedule 2B Adjustments'!R17</f>
        <v>-1.2755894403768391E-2</v>
      </c>
      <c r="L18" s="68">
        <f t="shared" si="1"/>
        <v>-9.6484689458915446E-2</v>
      </c>
      <c r="N18" s="120">
        <f>'Schedule 2B Adjustments'!X17</f>
        <v>0</v>
      </c>
      <c r="O18" s="120">
        <f>'Schedule 2B Adjustments'!AA17</f>
        <v>0</v>
      </c>
    </row>
    <row r="19" spans="1:15" x14ac:dyDescent="0.35">
      <c r="A19" s="24">
        <v>4</v>
      </c>
      <c r="B19" s="531" t="str">
        <f>'Schedule 2B Adjustments'!B18:D18</f>
        <v>Mental Health Navigators</v>
      </c>
      <c r="C19" s="531"/>
      <c r="D19" s="531"/>
      <c r="F19" s="117">
        <f>'Schedule 2B Adjustments'!H18</f>
        <v>0</v>
      </c>
      <c r="G19" s="181">
        <f>'Schedule 2B Adjustments'!J18</f>
        <v>0</v>
      </c>
      <c r="H19" s="68">
        <f t="shared" si="0"/>
        <v>0</v>
      </c>
      <c r="J19" s="180">
        <f>'Schedule 2B Adjustments'!P18</f>
        <v>-8.3728795055147062E-2</v>
      </c>
      <c r="K19" s="181">
        <f>'Schedule 2B Adjustments'!R18</f>
        <v>-1.2755894403768391E-2</v>
      </c>
      <c r="L19" s="68">
        <f t="shared" si="1"/>
        <v>-9.6484689458915446E-2</v>
      </c>
      <c r="N19" s="120">
        <f>'Schedule 2B Adjustments'!X18</f>
        <v>0</v>
      </c>
      <c r="O19" s="120">
        <f>'Schedule 2B Adjustments'!AA18</f>
        <v>0</v>
      </c>
    </row>
    <row r="20" spans="1:15" x14ac:dyDescent="0.35">
      <c r="A20" s="24">
        <v>5</v>
      </c>
      <c r="B20" s="531" t="str">
        <f>'Schedule 2B Adjustments'!B19:D19</f>
        <v>Mental Health First Aid</v>
      </c>
      <c r="C20" s="531"/>
      <c r="D20" s="531"/>
      <c r="F20" s="117">
        <f>'Schedule 2B Adjustments'!H19</f>
        <v>0</v>
      </c>
      <c r="G20" s="181">
        <f>'Schedule 2B Adjustments'!J19</f>
        <v>0</v>
      </c>
      <c r="H20" s="68">
        <f t="shared" si="0"/>
        <v>0</v>
      </c>
      <c r="J20" s="180">
        <f>'Schedule 2B Adjustments'!P19</f>
        <v>8783.7576350490781</v>
      </c>
      <c r="K20" s="181">
        <f>'Schedule 2B Adjustments'!R19</f>
        <v>1338.1858031897318</v>
      </c>
      <c r="L20" s="68">
        <f t="shared" si="1"/>
        <v>10121.94343823881</v>
      </c>
      <c r="N20" s="120">
        <f>'Schedule 2B Adjustments'!X19</f>
        <v>0</v>
      </c>
      <c r="O20" s="120">
        <f>'Schedule 2B Adjustments'!AA19</f>
        <v>0</v>
      </c>
    </row>
    <row r="21" spans="1:15" x14ac:dyDescent="0.35">
      <c r="A21" s="24">
        <v>6</v>
      </c>
      <c r="B21" s="531" t="str">
        <f>'Schedule 2B Adjustments'!B20:D20</f>
        <v>School Based Mental Health</v>
      </c>
      <c r="C21" s="531"/>
      <c r="D21" s="531"/>
      <c r="F21" s="117">
        <f>'Schedule 2B Adjustments'!H20</f>
        <v>0</v>
      </c>
      <c r="G21" s="181">
        <f>'Schedule 2B Adjustments'!J20</f>
        <v>0</v>
      </c>
      <c r="H21" s="68">
        <f t="shared" si="0"/>
        <v>0</v>
      </c>
      <c r="J21" s="180">
        <f>'Schedule 2B Adjustments'!P20</f>
        <v>1436.9326485376703</v>
      </c>
      <c r="K21" s="181">
        <f>'Schedule 2B Adjustments'!R20</f>
        <v>218.91347078387221</v>
      </c>
      <c r="L21" s="68">
        <f t="shared" si="1"/>
        <v>1655.8461193215426</v>
      </c>
      <c r="N21" s="120">
        <f>'Schedule 2B Adjustments'!X20</f>
        <v>0</v>
      </c>
      <c r="O21" s="120">
        <f>'Schedule 2B Adjustments'!AA20</f>
        <v>0</v>
      </c>
    </row>
    <row r="22" spans="1:15" x14ac:dyDescent="0.35">
      <c r="A22" s="24">
        <v>7</v>
      </c>
      <c r="B22" s="531" t="str">
        <f>'Schedule 2B Adjustments'!B21:D21</f>
        <v/>
      </c>
      <c r="C22" s="531"/>
      <c r="D22" s="531"/>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31" t="str">
        <f>'Schedule 2B Adjustments'!B22:D22</f>
        <v/>
      </c>
      <c r="C23" s="531"/>
      <c r="D23" s="531"/>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31" t="str">
        <f>'Schedule 2B Adjustments'!B23:D23</f>
        <v/>
      </c>
      <c r="C24" s="531"/>
      <c r="D24" s="531"/>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31" t="str">
        <f>'Schedule 2B Adjustments'!B24:D24</f>
        <v/>
      </c>
      <c r="C25" s="531"/>
      <c r="D25" s="531"/>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31" t="str">
        <f>'Schedule 2B Adjustments'!B25:D25</f>
        <v/>
      </c>
      <c r="C26" s="531"/>
      <c r="D26" s="531"/>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31" t="str">
        <f>'Schedule 2B Adjustments'!B26:D26</f>
        <v/>
      </c>
      <c r="C27" s="531"/>
      <c r="D27" s="531"/>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31" t="str">
        <f>'Schedule 2B Adjustments'!B27:D27</f>
        <v/>
      </c>
      <c r="C28" s="531"/>
      <c r="D28" s="531"/>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31" t="str">
        <f>'Schedule 2B Adjustments'!B28:D28</f>
        <v/>
      </c>
      <c r="C29" s="531"/>
      <c r="D29" s="531"/>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31" t="str">
        <f>'Schedule 2B Adjustments'!B29:D29</f>
        <v/>
      </c>
      <c r="C30" s="531"/>
      <c r="D30" s="531"/>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31" t="str">
        <f>'Schedule 2B Adjustments'!B30:D30</f>
        <v/>
      </c>
      <c r="C31" s="531"/>
      <c r="D31" s="531"/>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31" t="str">
        <f>'Schedule 2B Adjustments'!B31:D31</f>
        <v/>
      </c>
      <c r="C32" s="531"/>
      <c r="D32" s="531"/>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31" t="str">
        <f>'Schedule 2B Adjustments'!B32:D32</f>
        <v/>
      </c>
      <c r="C33" s="531"/>
      <c r="D33" s="531"/>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31" t="str">
        <f>'Schedule 2B Adjustments'!B33:D33</f>
        <v/>
      </c>
      <c r="C34" s="531"/>
      <c r="D34" s="531"/>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31" t="str">
        <f>'Schedule 2B Adjustments'!B34:D34</f>
        <v/>
      </c>
      <c r="C35" s="531"/>
      <c r="D35" s="531"/>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31" t="str">
        <f>'Schedule 2B Adjustments'!B35:D35</f>
        <v/>
      </c>
      <c r="C36" s="531"/>
      <c r="D36" s="531"/>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31" t="str">
        <f>'Schedule 2B Adjustments'!B36:D36</f>
        <v/>
      </c>
      <c r="C37" s="531"/>
      <c r="D37" s="531"/>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31" t="str">
        <f>'Schedule 2B Adjustments'!B37:D37</f>
        <v/>
      </c>
      <c r="C38" s="531"/>
      <c r="D38" s="531"/>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31" t="str">
        <f>'Schedule 2B Adjustments'!B38:D38</f>
        <v/>
      </c>
      <c r="C39" s="531"/>
      <c r="D39" s="531"/>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31" t="str">
        <f>'Schedule 2B Adjustments'!B39:D39</f>
        <v/>
      </c>
      <c r="C40" s="531"/>
      <c r="D40" s="531"/>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31" t="str">
        <f>'Schedule 2B Adjustments'!B40:D40</f>
        <v/>
      </c>
      <c r="C41" s="531"/>
      <c r="D41" s="531"/>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31" t="str">
        <f>'Schedule 2B Adjustments'!B41:D41</f>
        <v/>
      </c>
      <c r="C42" s="531"/>
      <c r="D42" s="531"/>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31" t="str">
        <f>'Schedule 2B Adjustments'!B42:D42</f>
        <v/>
      </c>
      <c r="C43" s="531"/>
      <c r="D43" s="531"/>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31" t="str">
        <f>'Schedule 2B Adjustments'!B43:D43</f>
        <v/>
      </c>
      <c r="C44" s="531"/>
      <c r="D44" s="531"/>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31" t="str">
        <f>'Schedule 2B Adjustments'!B44:D44</f>
        <v/>
      </c>
      <c r="C45" s="531"/>
      <c r="D45" s="531"/>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31" t="str">
        <f>'Schedule 2B Adjustments'!B45:D45</f>
        <v/>
      </c>
      <c r="C46" s="531"/>
      <c r="D46" s="531"/>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31" t="str">
        <f>'Schedule 2B Adjustments'!B46:D46</f>
        <v/>
      </c>
      <c r="C47" s="531"/>
      <c r="D47" s="531"/>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31" t="str">
        <f>'Schedule 2B Adjustments'!B47:D47</f>
        <v/>
      </c>
      <c r="C48" s="531"/>
      <c r="D48" s="531"/>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31" t="str">
        <f>'Schedule 2B Adjustments'!B48:D48</f>
        <v/>
      </c>
      <c r="C49" s="531"/>
      <c r="D49" s="531"/>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31" t="str">
        <f>'Schedule 2B Adjustments'!B49:D49</f>
        <v/>
      </c>
      <c r="C50" s="531"/>
      <c r="D50" s="531"/>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31" t="str">
        <f>'Schedule 2B Adjustments'!B50:D50</f>
        <v/>
      </c>
      <c r="C51" s="531"/>
      <c r="D51" s="531"/>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31" t="str">
        <f>'Schedule 2B Adjustments'!B51:D51</f>
        <v/>
      </c>
      <c r="C52" s="531"/>
      <c r="D52" s="531"/>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31" t="str">
        <f>'Schedule 2B Adjustments'!B52:D52</f>
        <v/>
      </c>
      <c r="C53" s="531"/>
      <c r="D53" s="531"/>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31" t="str">
        <f>'Schedule 2B Adjustments'!B53:D53</f>
        <v/>
      </c>
      <c r="C54" s="531"/>
      <c r="D54" s="531"/>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31" t="str">
        <f>'Schedule 2B Adjustments'!B54:D54</f>
        <v/>
      </c>
      <c r="C55" s="531"/>
      <c r="D55" s="531"/>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31" t="str">
        <f>'Schedule 2B Adjustments'!B55:D55</f>
        <v/>
      </c>
      <c r="C56" s="531"/>
      <c r="D56" s="531"/>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31" t="str">
        <f>'Schedule 2B Adjustments'!B56:D56</f>
        <v/>
      </c>
      <c r="C57" s="531"/>
      <c r="D57" s="531"/>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31" t="str">
        <f>'Schedule 2B Adjustments'!B57:D57</f>
        <v/>
      </c>
      <c r="C58" s="531"/>
      <c r="D58" s="531"/>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31" t="str">
        <f>'Schedule 2B Adjustments'!B58:D58</f>
        <v/>
      </c>
      <c r="C59" s="531"/>
      <c r="D59" s="531"/>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31" t="str">
        <f>'Schedule 2B Adjustments'!B59:D59</f>
        <v/>
      </c>
      <c r="C60" s="531"/>
      <c r="D60" s="531"/>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31" t="str">
        <f>'Schedule 2B Adjustments'!B60:D60</f>
        <v/>
      </c>
      <c r="C61" s="531"/>
      <c r="D61" s="531"/>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31" t="str">
        <f>'Schedule 2B Adjustments'!B61:D61</f>
        <v/>
      </c>
      <c r="C62" s="531"/>
      <c r="D62" s="531"/>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31" t="str">
        <f>'Schedule 2B Adjustments'!B62:D62</f>
        <v/>
      </c>
      <c r="C63" s="531"/>
      <c r="D63" s="531"/>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31" t="str">
        <f>'Schedule 2B Adjustments'!B63:D63</f>
        <v/>
      </c>
      <c r="C64" s="531"/>
      <c r="D64" s="531"/>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31" t="str">
        <f>'Schedule 2B Adjustments'!B64:D64</f>
        <v/>
      </c>
      <c r="C65" s="531"/>
      <c r="D65" s="531"/>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31" t="str">
        <f>'Schedule 2B Adjustments'!B65:D65</f>
        <v/>
      </c>
      <c r="C66" s="531"/>
      <c r="D66" s="531"/>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31" t="str">
        <f>'Schedule 2B Adjustments'!B66:D66</f>
        <v/>
      </c>
      <c r="C67" s="531"/>
      <c r="D67" s="531"/>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31" t="str">
        <f>'Schedule 2B Adjustments'!B67:D67</f>
        <v/>
      </c>
      <c r="C68" s="531"/>
      <c r="D68" s="531"/>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31" t="str">
        <f>'Schedule 2B Adjustments'!B68:D68</f>
        <v/>
      </c>
      <c r="C69" s="531"/>
      <c r="D69" s="531"/>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31" t="str">
        <f>'Schedule 2B Adjustments'!B69:D69</f>
        <v/>
      </c>
      <c r="C70" s="531"/>
      <c r="D70" s="531"/>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31" t="str">
        <f>'Schedule 2B Adjustments'!B70:D70</f>
        <v/>
      </c>
      <c r="C71" s="531"/>
      <c r="D71" s="531"/>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31" t="str">
        <f>'Schedule 2B Adjustments'!B71:D71</f>
        <v/>
      </c>
      <c r="C72" s="531"/>
      <c r="D72" s="531"/>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31" t="str">
        <f>'Schedule 2B Adjustments'!B72:D72</f>
        <v/>
      </c>
      <c r="C73" s="531"/>
      <c r="D73" s="531"/>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0</v>
      </c>
      <c r="G74" s="18">
        <f t="shared" ref="G74:H74" si="2">SUM(G16:G73)</f>
        <v>0</v>
      </c>
      <c r="H74" s="18">
        <f t="shared" si="2"/>
        <v>0</v>
      </c>
      <c r="J74" s="18">
        <f>SUM(J16:J73)</f>
        <v>65705.993995837169</v>
      </c>
      <c r="K74" s="18">
        <f t="shared" ref="K74:L74" si="3">SUM(K16:K73)</f>
        <v>10010.161027081638</v>
      </c>
      <c r="L74" s="18">
        <f t="shared" si="3"/>
        <v>75716.155022918829</v>
      </c>
      <c r="O74" s="83" t="s">
        <v>312</v>
      </c>
    </row>
    <row r="75" spans="1:15" ht="15" thickBot="1" x14ac:dyDescent="0.4">
      <c r="H75" s="37" t="s">
        <v>256</v>
      </c>
      <c r="L75" s="37" t="s">
        <v>257</v>
      </c>
    </row>
    <row r="76" spans="1:15" s="72" customFormat="1" ht="16" thickBot="1" x14ac:dyDescent="0.4">
      <c r="A76" s="24">
        <v>60</v>
      </c>
      <c r="B76" s="73" t="s">
        <v>459</v>
      </c>
      <c r="F76" s="75">
        <f>H74+L74</f>
        <v>75716.155022918829</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773</v>
      </c>
    </row>
    <row r="2" spans="1:15" ht="21" x14ac:dyDescent="0.5">
      <c r="A2" s="2" t="s">
        <v>771</v>
      </c>
    </row>
    <row r="3" spans="1:15" ht="25" customHeight="1" x14ac:dyDescent="0.5">
      <c r="A3" s="512" t="s">
        <v>694</v>
      </c>
      <c r="B3" s="512"/>
      <c r="C3" s="512"/>
      <c r="D3" s="512"/>
      <c r="E3" s="512"/>
      <c r="F3" s="512"/>
      <c r="G3" s="512"/>
      <c r="H3" s="512"/>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751</v>
      </c>
      <c r="C9" s="1"/>
      <c r="D9" s="119" t="str">
        <f>'Schedule 2C Adjustments'!D8</f>
        <v>Yes</v>
      </c>
      <c r="E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2C Adjustments'!B15:D15</f>
        <v>Case Management</v>
      </c>
      <c r="C16" s="531"/>
      <c r="D16" s="531"/>
      <c r="F16" s="117">
        <f>'Schedule 2C Adjustments'!H15</f>
        <v>21591.740948535549</v>
      </c>
      <c r="G16" s="68">
        <f>'Schedule 2C Adjustments'!J15</f>
        <v>3289.4533756473834</v>
      </c>
      <c r="H16" s="68">
        <f>SUM(F16:G16)</f>
        <v>24881.194324182932</v>
      </c>
      <c r="J16" s="117">
        <f>'Schedule 2C Adjustments'!P15</f>
        <v>0</v>
      </c>
      <c r="K16" s="68">
        <f>'Schedule 2C Adjustments'!R15</f>
        <v>0</v>
      </c>
      <c r="L16" s="68">
        <f>SUM(J16:K16)</f>
        <v>0</v>
      </c>
      <c r="N16" s="120">
        <f>'Schedule 2C Adjustments'!X15</f>
        <v>0</v>
      </c>
      <c r="O16" s="120">
        <f>'Schedule 2C Adjustments'!AA15</f>
        <v>0</v>
      </c>
    </row>
    <row r="17" spans="1:15" x14ac:dyDescent="0.35">
      <c r="A17" s="24">
        <v>2</v>
      </c>
      <c r="B17" s="531" t="str">
        <f>'Schedule 2C Adjustments'!B16:D16</f>
        <v>CCBHC</v>
      </c>
      <c r="C17" s="531"/>
      <c r="D17" s="531"/>
      <c r="F17" s="117">
        <f>'Schedule 2C Adjustments'!H16</f>
        <v>75428.895660622118</v>
      </c>
      <c r="G17" s="68">
        <f>'Schedule 2C Adjustments'!J16</f>
        <v>11491.42331985121</v>
      </c>
      <c r="H17" s="68">
        <f t="shared" ref="H17:H73" si="0">SUM(F17:G17)</f>
        <v>86920.318980473327</v>
      </c>
      <c r="J17" s="117">
        <f>'Schedule 2C Adjustments'!P16</f>
        <v>0</v>
      </c>
      <c r="K17" s="68">
        <f>'Schedule 2C Adjustments'!R16</f>
        <v>0</v>
      </c>
      <c r="L17" s="68">
        <f t="shared" ref="L17:L73" si="1">SUM(J17:K17)</f>
        <v>0</v>
      </c>
      <c r="N17" s="120">
        <f>'Schedule 2C Adjustments'!X16</f>
        <v>0</v>
      </c>
      <c r="O17" s="120">
        <f>'Schedule 2C Adjustments'!AA16</f>
        <v>0</v>
      </c>
    </row>
    <row r="18" spans="1:15" x14ac:dyDescent="0.35">
      <c r="A18" s="24">
        <v>3</v>
      </c>
      <c r="B18" s="531" t="str">
        <f>'Schedule 2C Adjustments'!B17:D17</f>
        <v>Day Treatment</v>
      </c>
      <c r="C18" s="531"/>
      <c r="D18" s="531"/>
      <c r="F18" s="117">
        <f>'Schedule 2C Adjustments'!H17</f>
        <v>37134.379971218877</v>
      </c>
      <c r="G18" s="68">
        <f>'Schedule 2C Adjustments'!J17</f>
        <v>5657.3396207397254</v>
      </c>
      <c r="H18" s="68">
        <f t="shared" si="0"/>
        <v>42791.719591958601</v>
      </c>
      <c r="J18" s="117">
        <f>'Schedule 2C Adjustments'!P17</f>
        <v>0</v>
      </c>
      <c r="K18" s="68">
        <f>'Schedule 2C Adjustments'!R17</f>
        <v>0</v>
      </c>
      <c r="L18" s="68">
        <f t="shared" si="1"/>
        <v>0</v>
      </c>
      <c r="N18" s="120">
        <f>'Schedule 2C Adjustments'!X17</f>
        <v>0</v>
      </c>
      <c r="O18" s="120">
        <f>'Schedule 2C Adjustments'!AA17</f>
        <v>0</v>
      </c>
    </row>
    <row r="19" spans="1:15" x14ac:dyDescent="0.35">
      <c r="A19" s="24">
        <v>4</v>
      </c>
      <c r="B19" s="531" t="str">
        <f>'Schedule 2C Adjustments'!B18:D18</f>
        <v>Early Childhood Mental Health</v>
      </c>
      <c r="C19" s="531"/>
      <c r="D19" s="531"/>
      <c r="F19" s="117">
        <f>'Schedule 2C Adjustments'!H18</f>
        <v>0</v>
      </c>
      <c r="G19" s="68">
        <f>'Schedule 2C Adjustments'!J18</f>
        <v>0</v>
      </c>
      <c r="H19" s="68">
        <f t="shared" si="0"/>
        <v>0</v>
      </c>
      <c r="J19" s="117">
        <f>'Schedule 2C Adjustments'!P18</f>
        <v>161963.94501083752</v>
      </c>
      <c r="K19" s="68">
        <f>'Schedule 2C Adjustments'!R18</f>
        <v>24674.844280456306</v>
      </c>
      <c r="L19" s="68">
        <f t="shared" si="1"/>
        <v>186638.78929129383</v>
      </c>
      <c r="N19" s="120">
        <f>'Schedule 2C Adjustments'!X18</f>
        <v>0</v>
      </c>
      <c r="O19" s="120">
        <f>'Schedule 2C Adjustments'!AA18</f>
        <v>0</v>
      </c>
    </row>
    <row r="20" spans="1:15" x14ac:dyDescent="0.35">
      <c r="A20" s="24">
        <v>5</v>
      </c>
      <c r="B20" s="531" t="str">
        <f>'Schedule 2C Adjustments'!B19:D19</f>
        <v>Harm Reduction</v>
      </c>
      <c r="C20" s="531"/>
      <c r="D20" s="531"/>
      <c r="F20" s="117">
        <f>'Schedule 2C Adjustments'!H19</f>
        <v>179506.60329490353</v>
      </c>
      <c r="G20" s="68">
        <f>'Schedule 2C Adjustments'!J19</f>
        <v>27347.428980684628</v>
      </c>
      <c r="H20" s="68">
        <f t="shared" si="0"/>
        <v>206854.03227558816</v>
      </c>
      <c r="J20" s="117">
        <f>'Schedule 2C Adjustments'!P19</f>
        <v>0</v>
      </c>
      <c r="K20" s="68">
        <f>'Schedule 2C Adjustments'!R19</f>
        <v>0</v>
      </c>
      <c r="L20" s="68">
        <f t="shared" si="1"/>
        <v>0</v>
      </c>
      <c r="N20" s="120">
        <f>'Schedule 2C Adjustments'!X19</f>
        <v>0</v>
      </c>
      <c r="O20" s="120">
        <f>'Schedule 2C Adjustments'!AA19</f>
        <v>0</v>
      </c>
    </row>
    <row r="21" spans="1:15" x14ac:dyDescent="0.35">
      <c r="A21" s="24">
        <v>6</v>
      </c>
      <c r="B21" s="531" t="str">
        <f>'Schedule 2C Adjustments'!B20:D20</f>
        <v>IPS</v>
      </c>
      <c r="C21" s="531"/>
      <c r="D21" s="531"/>
      <c r="F21" s="117">
        <f>'Schedule 2C Adjustments'!H20</f>
        <v>34863.98996450338</v>
      </c>
      <c r="G21" s="68">
        <f>'Schedule 2C Adjustments'!J20</f>
        <v>5311.4507880871224</v>
      </c>
      <c r="H21" s="68">
        <f t="shared" si="0"/>
        <v>40175.440752590504</v>
      </c>
      <c r="J21" s="117">
        <f>'Schedule 2C Adjustments'!P20</f>
        <v>0</v>
      </c>
      <c r="K21" s="68">
        <f>'Schedule 2C Adjustments'!R20</f>
        <v>0</v>
      </c>
      <c r="L21" s="68">
        <f t="shared" si="1"/>
        <v>0</v>
      </c>
      <c r="N21" s="120">
        <f>'Schedule 2C Adjustments'!X20</f>
        <v>0</v>
      </c>
      <c r="O21" s="120">
        <f>'Schedule 2C Adjustments'!AA20</f>
        <v>0</v>
      </c>
    </row>
    <row r="22" spans="1:15" x14ac:dyDescent="0.35">
      <c r="A22" s="24">
        <v>7</v>
      </c>
      <c r="B22" s="531" t="str">
        <f>'Schedule 2C Adjustments'!B21:D21</f>
        <v>JBBS</v>
      </c>
      <c r="C22" s="531"/>
      <c r="D22" s="531"/>
      <c r="F22" s="117">
        <f>'Schedule 2C Adjustments'!H21</f>
        <v>66252.303451373227</v>
      </c>
      <c r="G22" s="68">
        <f>'Schedule 2C Adjustments'!J21</f>
        <v>10093.390049092624</v>
      </c>
      <c r="H22" s="68">
        <f t="shared" si="0"/>
        <v>76345.693500465859</v>
      </c>
      <c r="J22" s="117">
        <f>'Schedule 2C Adjustments'!P21</f>
        <v>0</v>
      </c>
      <c r="K22" s="68">
        <f>'Schedule 2C Adjustments'!R21</f>
        <v>0</v>
      </c>
      <c r="L22" s="68">
        <f t="shared" si="1"/>
        <v>0</v>
      </c>
      <c r="N22" s="120">
        <f>'Schedule 2C Adjustments'!X21</f>
        <v>0</v>
      </c>
      <c r="O22" s="120">
        <f>'Schedule 2C Adjustments'!AA21</f>
        <v>0</v>
      </c>
    </row>
    <row r="23" spans="1:15" x14ac:dyDescent="0.35">
      <c r="A23" s="24">
        <v>8</v>
      </c>
      <c r="B23" s="531" t="str">
        <f>'Schedule 2C Adjustments'!B22:D22</f>
        <v>Mobile Recovery</v>
      </c>
      <c r="C23" s="531"/>
      <c r="D23" s="531"/>
      <c r="F23" s="117">
        <f>'Schedule 2C Adjustments'!H22</f>
        <v>45485.196939236521</v>
      </c>
      <c r="G23" s="68">
        <f>'Schedule 2C Adjustments'!J22</f>
        <v>6929.5678829411672</v>
      </c>
      <c r="H23" s="68">
        <f t="shared" si="0"/>
        <v>52414.764822177691</v>
      </c>
      <c r="J23" s="117">
        <f>'Schedule 2C Adjustments'!P22</f>
        <v>0</v>
      </c>
      <c r="K23" s="68">
        <f>'Schedule 2C Adjustments'!R22</f>
        <v>0</v>
      </c>
      <c r="L23" s="68">
        <f t="shared" si="1"/>
        <v>0</v>
      </c>
      <c r="N23" s="120">
        <f>'Schedule 2C Adjustments'!X22</f>
        <v>0</v>
      </c>
      <c r="O23" s="120">
        <f>'Schedule 2C Adjustments'!AA22</f>
        <v>0</v>
      </c>
    </row>
    <row r="24" spans="1:15" x14ac:dyDescent="0.35">
      <c r="A24" s="24">
        <v>9</v>
      </c>
      <c r="B24" s="531" t="str">
        <f>'Schedule 2C Adjustments'!B23:D23</f>
        <v>Offender Services</v>
      </c>
      <c r="C24" s="531"/>
      <c r="D24" s="531"/>
      <c r="F24" s="117">
        <f>'Schedule 2C Adjustments'!H23</f>
        <v>136230.16150312277</v>
      </c>
      <c r="G24" s="68">
        <f>'Schedule 2C Adjustments'!J23</f>
        <v>20754.359997628126</v>
      </c>
      <c r="H24" s="68">
        <f t="shared" si="0"/>
        <v>156984.52150075091</v>
      </c>
      <c r="J24" s="117">
        <f>'Schedule 2C Adjustments'!P23</f>
        <v>0</v>
      </c>
      <c r="K24" s="68">
        <f>'Schedule 2C Adjustments'!R23</f>
        <v>0</v>
      </c>
      <c r="L24" s="68">
        <f t="shared" si="1"/>
        <v>0</v>
      </c>
      <c r="N24" s="120">
        <f>'Schedule 2C Adjustments'!X23</f>
        <v>0</v>
      </c>
      <c r="O24" s="120">
        <f>'Schedule 2C Adjustments'!AA23</f>
        <v>0</v>
      </c>
    </row>
    <row r="25" spans="1:15" x14ac:dyDescent="0.35">
      <c r="A25" s="24">
        <v>10</v>
      </c>
      <c r="B25" s="531" t="str">
        <f>'Schedule 2C Adjustments'!B24:D24</f>
        <v>Opioid Peer Recovery</v>
      </c>
      <c r="C25" s="531"/>
      <c r="D25" s="531"/>
      <c r="F25" s="117">
        <f>'Schedule 2C Adjustments'!H24</f>
        <v>234386.32803081794</v>
      </c>
      <c r="G25" s="68">
        <f>'Schedule 2C Adjustments'!J24</f>
        <v>35708.232133030564</v>
      </c>
      <c r="H25" s="68">
        <f t="shared" si="0"/>
        <v>270094.56016384851</v>
      </c>
      <c r="J25" s="117">
        <f>'Schedule 2C Adjustments'!P24</f>
        <v>0</v>
      </c>
      <c r="K25" s="68">
        <f>'Schedule 2C Adjustments'!R24</f>
        <v>0</v>
      </c>
      <c r="L25" s="68">
        <f t="shared" si="1"/>
        <v>0</v>
      </c>
      <c r="N25" s="120">
        <f>'Schedule 2C Adjustments'!X24</f>
        <v>0</v>
      </c>
      <c r="O25" s="120">
        <f>'Schedule 2C Adjustments'!AA24</f>
        <v>0</v>
      </c>
    </row>
    <row r="26" spans="1:15" x14ac:dyDescent="0.35">
      <c r="A26" s="24">
        <v>11</v>
      </c>
      <c r="B26" s="531" t="str">
        <f>'Schedule 2C Adjustments'!B25:D25</f>
        <v>Outpatient Services</v>
      </c>
      <c r="C26" s="531"/>
      <c r="D26" s="531"/>
      <c r="F26" s="117">
        <f>'Schedule 2C Adjustments'!H25</f>
        <v>-0.36096649244427681</v>
      </c>
      <c r="G26" s="68">
        <f>'Schedule 2C Adjustments'!J25</f>
        <v>-5.499243668662835E-2</v>
      </c>
      <c r="H26" s="68">
        <f t="shared" si="0"/>
        <v>-0.41595892913090515</v>
      </c>
      <c r="J26" s="117">
        <f>'Schedule 2C Adjustments'!P25</f>
        <v>-0.1563233675804554</v>
      </c>
      <c r="K26" s="68">
        <f>'Schedule 2C Adjustments'!R25</f>
        <v>-2.3815514941835775E-2</v>
      </c>
      <c r="L26" s="68">
        <f t="shared" si="1"/>
        <v>-0.18013888252229118</v>
      </c>
      <c r="N26" s="120">
        <f>'Schedule 2C Adjustments'!X25</f>
        <v>0</v>
      </c>
      <c r="O26" s="120">
        <f>'Schedule 2C Adjustments'!AA25</f>
        <v>0</v>
      </c>
    </row>
    <row r="27" spans="1:15" x14ac:dyDescent="0.35">
      <c r="A27" s="24">
        <v>12</v>
      </c>
      <c r="B27" s="531" t="str">
        <f>'Schedule 2C Adjustments'!B26:D26</f>
        <v>Psych Consult</v>
      </c>
      <c r="C27" s="531"/>
      <c r="D27" s="531"/>
      <c r="F27" s="117">
        <f>'Schedule 2C Adjustments'!H26</f>
        <v>0</v>
      </c>
      <c r="G27" s="68">
        <f>'Schedule 2C Adjustments'!J26</f>
        <v>0</v>
      </c>
      <c r="H27" s="68">
        <f t="shared" si="0"/>
        <v>0</v>
      </c>
      <c r="J27" s="117">
        <f>'Schedule 2C Adjustments'!P26</f>
        <v>2294.2108489085567</v>
      </c>
      <c r="K27" s="68">
        <f>'Schedule 2C Adjustments'!R26</f>
        <v>349.51788461045578</v>
      </c>
      <c r="L27" s="68">
        <f t="shared" si="1"/>
        <v>2643.7287335190126</v>
      </c>
      <c r="N27" s="120">
        <f>'Schedule 2C Adjustments'!X26</f>
        <v>0</v>
      </c>
      <c r="O27" s="120">
        <f>'Schedule 2C Adjustments'!AA26</f>
        <v>0</v>
      </c>
    </row>
    <row r="28" spans="1:15" x14ac:dyDescent="0.35">
      <c r="A28" s="24">
        <v>13</v>
      </c>
      <c r="B28" s="531" t="str">
        <f>'Schedule 2C Adjustments'!B27:D27</f>
        <v>Peer Bridger</v>
      </c>
      <c r="C28" s="531"/>
      <c r="D28" s="531"/>
      <c r="F28" s="117">
        <f>'Schedule 2C Adjustments'!H27</f>
        <v>103153.65571985385</v>
      </c>
      <c r="G28" s="68">
        <f>'Schedule 2C Adjustments'!J27</f>
        <v>15715.228421219801</v>
      </c>
      <c r="H28" s="68">
        <f t="shared" si="0"/>
        <v>118868.88414107365</v>
      </c>
      <c r="J28" s="117">
        <f>'Schedule 2C Adjustments'!P27</f>
        <v>0</v>
      </c>
      <c r="K28" s="68">
        <f>'Schedule 2C Adjustments'!R27</f>
        <v>0</v>
      </c>
      <c r="L28" s="68">
        <f t="shared" si="1"/>
        <v>0</v>
      </c>
      <c r="N28" s="120">
        <f>'Schedule 2C Adjustments'!X27</f>
        <v>0</v>
      </c>
      <c r="O28" s="120">
        <f>'Schedule 2C Adjustments'!AA27</f>
        <v>0</v>
      </c>
    </row>
    <row r="29" spans="1:15" x14ac:dyDescent="0.35">
      <c r="A29" s="24">
        <v>14</v>
      </c>
      <c r="B29" s="531" t="str">
        <f>'Schedule 2C Adjustments'!B28:D28</f>
        <v>School Contracts</v>
      </c>
      <c r="C29" s="531"/>
      <c r="D29" s="531"/>
      <c r="F29" s="117">
        <f>'Schedule 2C Adjustments'!H28</f>
        <v>43498.396361372877</v>
      </c>
      <c r="G29" s="68">
        <f>'Schedule 2C Adjustments'!J28</f>
        <v>6626.883264634138</v>
      </c>
      <c r="H29" s="68">
        <f t="shared" si="0"/>
        <v>50125.279626007017</v>
      </c>
      <c r="J29" s="117">
        <f>'Schedule 2C Adjustments'!P28</f>
        <v>47884.665349628907</v>
      </c>
      <c r="K29" s="68">
        <f>'Schedule 2C Adjustments'!R28</f>
        <v>7295.1215213039795</v>
      </c>
      <c r="L29" s="68">
        <f t="shared" si="1"/>
        <v>55179.78687093289</v>
      </c>
      <c r="N29" s="120">
        <f>'Schedule 2C Adjustments'!X28</f>
        <v>0</v>
      </c>
      <c r="O29" s="120">
        <f>'Schedule 2C Adjustments'!AA28</f>
        <v>0</v>
      </c>
    </row>
    <row r="30" spans="1:15" x14ac:dyDescent="0.35">
      <c r="A30" s="24">
        <v>15</v>
      </c>
      <c r="B30" s="531" t="str">
        <f>'Schedule 2C Adjustments'!B29:D29</f>
        <v>ARPA Grant</v>
      </c>
      <c r="C30" s="531"/>
      <c r="D30" s="531"/>
      <c r="F30" s="117">
        <f>'Schedule 2C Adjustments'!H29</f>
        <v>17947.21</v>
      </c>
      <c r="G30" s="68">
        <f>'Schedule 2C Adjustments'!J29</f>
        <v>2734.2172480981249</v>
      </c>
      <c r="H30" s="68">
        <f t="shared" si="0"/>
        <v>20681.427248098124</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31" t="str">
        <f>'Schedule 2C Adjustments'!B30:D30</f>
        <v>Boulder Training Program</v>
      </c>
      <c r="C31" s="531"/>
      <c r="D31" s="531"/>
      <c r="F31" s="117">
        <f>'Schedule 2C Adjustments'!H30</f>
        <v>-39991.449999999997</v>
      </c>
      <c r="G31" s="68">
        <f>'Schedule 2C Adjustments'!J30</f>
        <v>-6092.6078407983059</v>
      </c>
      <c r="H31" s="68">
        <f t="shared" si="0"/>
        <v>-46084.057840798305</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31" t="str">
        <f>'Schedule 2C Adjustments'!B31:D31</f>
        <v>CJ Specialists</v>
      </c>
      <c r="C32" s="531"/>
      <c r="D32" s="531"/>
      <c r="F32" s="117">
        <f>'Schedule 2C Adjustments'!H31</f>
        <v>2676.06</v>
      </c>
      <c r="G32" s="68">
        <f>'Schedule 2C Adjustments'!J31</f>
        <v>407.69174757221145</v>
      </c>
      <c r="H32" s="68">
        <f t="shared" si="0"/>
        <v>3083.7517475722116</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31" t="str">
        <f>'Schedule 2C Adjustments'!B32:D32</f>
        <v>DHS Contracts</v>
      </c>
      <c r="C33" s="531"/>
      <c r="D33" s="531"/>
      <c r="F33" s="117">
        <f>'Schedule 2C Adjustments'!H32</f>
        <v>-2.5099999999999998</v>
      </c>
      <c r="G33" s="68">
        <f>'Schedule 2C Adjustments'!J32</f>
        <v>-0.38239287848787046</v>
      </c>
      <c r="H33" s="68">
        <f t="shared" si="0"/>
        <v>-2.8923928784878701</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31" t="str">
        <f>'Schedule 2C Adjustments'!B33:D33</f>
        <v>IOP</v>
      </c>
      <c r="C34" s="531"/>
      <c r="D34" s="531"/>
      <c r="F34" s="117">
        <f>'Schedule 2C Adjustments'!H33</f>
        <v>1358.8</v>
      </c>
      <c r="G34" s="68">
        <f>'Schedule 2C Adjustments'!J33</f>
        <v>207.01013676865276</v>
      </c>
      <c r="H34" s="68">
        <f t="shared" si="0"/>
        <v>1565.8101367686527</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31" t="str">
        <f>'Schedule 2C Adjustments'!B34:D34</f>
        <v>KARIS</v>
      </c>
      <c r="C35" s="531"/>
      <c r="D35" s="531"/>
      <c r="F35" s="117">
        <f>'Schedule 2C Adjustments'!H34</f>
        <v>76383.8</v>
      </c>
      <c r="G35" s="68">
        <f>'Schedule 2C Adjustments'!J34</f>
        <v>11636.900857307492</v>
      </c>
      <c r="H35" s="68">
        <f t="shared" si="0"/>
        <v>88020.7008573075</v>
      </c>
      <c r="J35" s="117">
        <f>'Schedule 2C Adjustments'!P34</f>
        <v>0</v>
      </c>
      <c r="K35" s="68">
        <f>'Schedule 2C Adjustments'!R34</f>
        <v>0</v>
      </c>
      <c r="L35" s="68">
        <f t="shared" si="1"/>
        <v>0</v>
      </c>
      <c r="N35" s="120">
        <f>'Schedule 2C Adjustments'!X34</f>
        <v>0</v>
      </c>
      <c r="O35" s="120">
        <f>'Schedule 2C Adjustments'!AA34</f>
        <v>0</v>
      </c>
    </row>
    <row r="36" spans="1:15" x14ac:dyDescent="0.35">
      <c r="A36" s="24">
        <v>21</v>
      </c>
      <c r="B36" s="531" t="str">
        <f>'Schedule 2C Adjustments'!B35:D35</f>
        <v>MAT</v>
      </c>
      <c r="C36" s="531"/>
      <c r="D36" s="531"/>
      <c r="F36" s="117">
        <f>'Schedule 2C Adjustments'!H35</f>
        <v>66.900000000000006</v>
      </c>
      <c r="G36" s="68">
        <f>'Schedule 2C Adjustments'!J35</f>
        <v>10.192065167664756</v>
      </c>
      <c r="H36" s="68">
        <f t="shared" si="0"/>
        <v>77.092065167664757</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31" t="str">
        <f>'Schedule 2C Adjustments'!B36:D36</f>
        <v>Multi Systemic Therapy</v>
      </c>
      <c r="C37" s="531"/>
      <c r="D37" s="531"/>
      <c r="F37" s="117">
        <f>'Schedule 2C Adjustments'!H36</f>
        <v>232345.72</v>
      </c>
      <c r="G37" s="68">
        <f>'Schedule 2C Adjustments'!J36</f>
        <v>35397.35006977561</v>
      </c>
      <c r="H37" s="68">
        <f t="shared" si="0"/>
        <v>267743.07006977563</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31" t="str">
        <f>'Schedule 2C Adjustments'!B37:D37</f>
        <v>Outpatient Services</v>
      </c>
      <c r="C38" s="531"/>
      <c r="D38" s="531"/>
      <c r="F38" s="117">
        <f>'Schedule 2C Adjustments'!H37</f>
        <v>7055885.25</v>
      </c>
      <c r="G38" s="68">
        <f>'Schedule 2C Adjustments'!J37</f>
        <v>1074948.3151504414</v>
      </c>
      <c r="H38" s="68">
        <f t="shared" si="0"/>
        <v>8130833.5651504416</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31" t="str">
        <f>'Schedule 2C Adjustments'!B38:D38</f>
        <v>Pitkin Cty Continuum</v>
      </c>
      <c r="C39" s="531"/>
      <c r="D39" s="531"/>
      <c r="F39" s="117">
        <f>'Schedule 2C Adjustments'!H38</f>
        <v>74841.77</v>
      </c>
      <c r="G39" s="68">
        <f>'Schedule 2C Adjustments'!J38</f>
        <v>11401.976040409225</v>
      </c>
      <c r="H39" s="68">
        <f t="shared" si="0"/>
        <v>86243.746040409227</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31" t="str">
        <f>'Schedule 2C Adjustments'!B39:D39</f>
        <v>Psych Services</v>
      </c>
      <c r="C40" s="531"/>
      <c r="D40" s="531"/>
      <c r="F40" s="117">
        <f>'Schedule 2C Adjustments'!H39</f>
        <v>5491104.3200000003</v>
      </c>
      <c r="G40" s="68">
        <f>'Schedule 2C Adjustments'!J39</f>
        <v>836557.44502070954</v>
      </c>
      <c r="H40" s="68">
        <f t="shared" si="0"/>
        <v>6327661.7650207095</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31" t="str">
        <f>'Schedule 2C Adjustments'!B40:D40</f>
        <v>R2T2</v>
      </c>
      <c r="C41" s="531"/>
      <c r="D41" s="531"/>
      <c r="F41" s="117">
        <f>'Schedule 2C Adjustments'!H40</f>
        <v>4709.51</v>
      </c>
      <c r="G41" s="68">
        <f>'Schedule 2C Adjustments'!J40</f>
        <v>717.48330086351041</v>
      </c>
      <c r="H41" s="68">
        <f t="shared" si="0"/>
        <v>5426.9933008635107</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31" t="str">
        <f>'Schedule 2C Adjustments'!B41:D41</f>
        <v xml:space="preserve">Region 1 Youth Prevention </v>
      </c>
      <c r="C42" s="531"/>
      <c r="D42" s="531"/>
      <c r="F42" s="117">
        <f>'Schedule 2C Adjustments'!H41</f>
        <v>6279.66</v>
      </c>
      <c r="G42" s="68">
        <f>'Schedule 2C Adjustments'!J41</f>
        <v>956.69213678292465</v>
      </c>
      <c r="H42" s="68">
        <f t="shared" si="0"/>
        <v>7236.3521367829244</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31" t="str">
        <f>'Schedule 2C Adjustments'!B42:D42</f>
        <v>Outpatient SUD</v>
      </c>
      <c r="C43" s="531"/>
      <c r="D43" s="531"/>
      <c r="F43" s="117">
        <f>'Schedule 2C Adjustments'!H42</f>
        <v>514951.67</v>
      </c>
      <c r="G43" s="68">
        <f>'Schedule 2C Adjustments'!J42</f>
        <v>78451.73361491473</v>
      </c>
      <c r="H43" s="68">
        <f t="shared" si="0"/>
        <v>593403.40361491474</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31" t="str">
        <f>'Schedule 2C Adjustments'!B43:D43</f>
        <v xml:space="preserve">Closed Program </v>
      </c>
      <c r="C44" s="531"/>
      <c r="D44" s="531"/>
      <c r="F44" s="117">
        <f>'Schedule 2C Adjustments'!H43</f>
        <v>0</v>
      </c>
      <c r="G44" s="68">
        <f>'Schedule 2C Adjustments'!J43</f>
        <v>0</v>
      </c>
      <c r="H44" s="68">
        <f t="shared" si="0"/>
        <v>0</v>
      </c>
      <c r="J44" s="117">
        <f>'Schedule 2C Adjustments'!P43</f>
        <v>-1198.06</v>
      </c>
      <c r="K44" s="68">
        <f>'Schedule 2C Adjustments'!R43</f>
        <v>-182.52175776939367</v>
      </c>
      <c r="L44" s="68">
        <f t="shared" si="1"/>
        <v>-1380.5817577693936</v>
      </c>
      <c r="N44" s="120">
        <f>'Schedule 2C Adjustments'!X43</f>
        <v>0</v>
      </c>
      <c r="O44" s="120">
        <f>'Schedule 2C Adjustments'!AA43</f>
        <v>0</v>
      </c>
    </row>
    <row r="45" spans="1:15" x14ac:dyDescent="0.35">
      <c r="A45" s="24">
        <v>30</v>
      </c>
      <c r="B45" s="531" t="str">
        <f>'Schedule 2C Adjustments'!B44:D44</f>
        <v>GWS School</v>
      </c>
      <c r="C45" s="531"/>
      <c r="D45" s="531"/>
      <c r="F45" s="117">
        <f>'Schedule 2C Adjustments'!H44</f>
        <v>0</v>
      </c>
      <c r="G45" s="68">
        <f>'Schedule 2C Adjustments'!J44</f>
        <v>0</v>
      </c>
      <c r="H45" s="68">
        <f t="shared" si="0"/>
        <v>0</v>
      </c>
      <c r="J45" s="117">
        <f>'Schedule 2C Adjustments'!P44</f>
        <v>1625.99</v>
      </c>
      <c r="K45" s="68">
        <f>'Schedule 2C Adjustments'!R44</f>
        <v>247.71593485756674</v>
      </c>
      <c r="L45" s="68">
        <f t="shared" si="1"/>
        <v>1873.7059348575667</v>
      </c>
      <c r="N45" s="120">
        <f>'Schedule 2C Adjustments'!X44</f>
        <v>0</v>
      </c>
      <c r="O45" s="120">
        <f>'Schedule 2C Adjustments'!AA44</f>
        <v>0</v>
      </c>
    </row>
    <row r="46" spans="1:15" x14ac:dyDescent="0.35">
      <c r="A46" s="24">
        <v>31</v>
      </c>
      <c r="B46" s="531" t="str">
        <f>'Schedule 2C Adjustments'!B45:D45</f>
        <v/>
      </c>
      <c r="C46" s="531"/>
      <c r="D46" s="531"/>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31" t="str">
        <f>'Schedule 2C Adjustments'!B46:D46</f>
        <v/>
      </c>
      <c r="C47" s="531"/>
      <c r="D47" s="531"/>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31" t="str">
        <f>'Schedule 2C Adjustments'!B47:D47</f>
        <v/>
      </c>
      <c r="C48" s="531"/>
      <c r="D48" s="531"/>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31" t="str">
        <f>'Schedule 2C Adjustments'!B48:D48</f>
        <v/>
      </c>
      <c r="C49" s="531"/>
      <c r="D49" s="531"/>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31" t="str">
        <f>'Schedule 2C Adjustments'!B49:D49</f>
        <v/>
      </c>
      <c r="C50" s="531"/>
      <c r="D50" s="531"/>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31" t="str">
        <f>'Schedule 2C Adjustments'!B50:D50</f>
        <v/>
      </c>
      <c r="C51" s="531"/>
      <c r="D51" s="531"/>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31" t="str">
        <f>'Schedule 2C Adjustments'!B51:D51</f>
        <v/>
      </c>
      <c r="C52" s="531"/>
      <c r="D52" s="531"/>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31" t="str">
        <f>'Schedule 2C Adjustments'!B52:D52</f>
        <v/>
      </c>
      <c r="C53" s="531"/>
      <c r="D53" s="531"/>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31" t="str">
        <f>'Schedule 2C Adjustments'!B53:D53</f>
        <v/>
      </c>
      <c r="C54" s="531"/>
      <c r="D54" s="531"/>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31" t="str">
        <f>'Schedule 2C Adjustments'!B54:D54</f>
        <v/>
      </c>
      <c r="C55" s="531"/>
      <c r="D55" s="531"/>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31" t="str">
        <f>'Schedule 2C Adjustments'!B55:D55</f>
        <v/>
      </c>
      <c r="C56" s="531"/>
      <c r="D56" s="531"/>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31" t="str">
        <f>'Schedule 2C Adjustments'!B56:D56</f>
        <v/>
      </c>
      <c r="C57" s="531"/>
      <c r="D57" s="531"/>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31" t="str">
        <f>'Schedule 2C Adjustments'!B57:D57</f>
        <v/>
      </c>
      <c r="C58" s="531"/>
      <c r="D58" s="531"/>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31" t="str">
        <f>'Schedule 2C Adjustments'!B58:D58</f>
        <v/>
      </c>
      <c r="C59" s="531"/>
      <c r="D59" s="531"/>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31" t="str">
        <f>'Schedule 2C Adjustments'!B59:D59</f>
        <v/>
      </c>
      <c r="C60" s="531"/>
      <c r="D60" s="531"/>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31" t="str">
        <f>'Schedule 2C Adjustments'!B60:D60</f>
        <v/>
      </c>
      <c r="C61" s="531"/>
      <c r="D61" s="531"/>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31" t="str">
        <f>'Schedule 2C Adjustments'!B61:D61</f>
        <v/>
      </c>
      <c r="C62" s="531"/>
      <c r="D62" s="531"/>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31" t="str">
        <f>'Schedule 2C Adjustments'!B62:D62</f>
        <v/>
      </c>
      <c r="C63" s="531"/>
      <c r="D63" s="531"/>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31" t="str">
        <f>'Schedule 2C Adjustments'!B63:D63</f>
        <v/>
      </c>
      <c r="C64" s="531"/>
      <c r="D64" s="531"/>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31" t="str">
        <f>'Schedule 2C Adjustments'!B64:D64</f>
        <v/>
      </c>
      <c r="C65" s="531"/>
      <c r="D65" s="531"/>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31" t="str">
        <f>'Schedule 2C Adjustments'!B65:D65</f>
        <v/>
      </c>
      <c r="C66" s="531"/>
      <c r="D66" s="531"/>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31" t="str">
        <f>'Schedule 2C Adjustments'!B66:D66</f>
        <v/>
      </c>
      <c r="C67" s="531"/>
      <c r="D67" s="531"/>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31" t="str">
        <f>'Schedule 2C Adjustments'!B67:D67</f>
        <v/>
      </c>
      <c r="C68" s="531"/>
      <c r="D68" s="531"/>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31" t="str">
        <f>'Schedule 2C Adjustments'!B68:D68</f>
        <v/>
      </c>
      <c r="C69" s="531"/>
      <c r="D69" s="531"/>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31" t="str">
        <f>'Schedule 2C Adjustments'!B69:D69</f>
        <v/>
      </c>
      <c r="C70" s="531"/>
      <c r="D70" s="531"/>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31" t="str">
        <f>'Schedule 2C Adjustments'!B70:D70</f>
        <v/>
      </c>
      <c r="C71" s="531"/>
      <c r="D71" s="531"/>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31" t="str">
        <f>'Schedule 2C Adjustments'!B71:D71</f>
        <v/>
      </c>
      <c r="C72" s="531"/>
      <c r="D72" s="531"/>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31" t="str">
        <f>'Schedule 2C Adjustments'!B72:D72</f>
        <v/>
      </c>
      <c r="C73" s="531"/>
      <c r="D73" s="531"/>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14416088.000879068</v>
      </c>
      <c r="G74" s="18">
        <f t="shared" ref="G74:H74" si="2">SUM(G16:G73)</f>
        <v>2196258.719996254</v>
      </c>
      <c r="H74" s="18">
        <f t="shared" si="2"/>
        <v>16612346.720875321</v>
      </c>
      <c r="J74" s="18">
        <f>SUM(J16:J73)</f>
        <v>212570.59488600737</v>
      </c>
      <c r="K74" s="18">
        <f>SUM(K16:K73)</f>
        <v>32384.654047943972</v>
      </c>
      <c r="L74" s="18">
        <f>SUM(L16:L73)</f>
        <v>244955.2489339514</v>
      </c>
      <c r="O74" s="83" t="s">
        <v>312</v>
      </c>
    </row>
    <row r="75" spans="1:15" ht="15" thickBot="1" x14ac:dyDescent="0.4">
      <c r="H75" s="37" t="s">
        <v>256</v>
      </c>
      <c r="L75" s="37" t="s">
        <v>257</v>
      </c>
    </row>
    <row r="76" spans="1:15" s="72" customFormat="1" ht="16" thickBot="1" x14ac:dyDescent="0.4">
      <c r="A76" s="24">
        <v>60</v>
      </c>
      <c r="B76" s="73" t="s">
        <v>460</v>
      </c>
      <c r="F76" s="75">
        <f>H74+L74</f>
        <v>16857301.969809271</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customProperties>
    <customPr name="OrphanNamesChecke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2" t="s">
        <v>695</v>
      </c>
      <c r="B3" s="512"/>
      <c r="C3" s="512"/>
      <c r="D3" s="512"/>
      <c r="E3" s="512"/>
      <c r="F3" s="512"/>
      <c r="G3" s="512"/>
      <c r="H3" s="512"/>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627</v>
      </c>
      <c r="C9" s="1"/>
      <c r="F9" s="119" t="str">
        <f>'Schedule 2D Adjustments'!F8</f>
        <v>Yes</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2D Adjustments'!B15:D15</f>
        <v>ACT</v>
      </c>
      <c r="C16" s="531"/>
      <c r="D16" s="531"/>
      <c r="F16" s="117">
        <f>'Schedule 2D Adjustments'!H15</f>
        <v>679368.66104506189</v>
      </c>
      <c r="G16" s="68">
        <f>'Schedule 2D Adjustments'!J15</f>
        <v>103500.29396472973</v>
      </c>
      <c r="H16" s="68">
        <f>SUM(F16:G16)</f>
        <v>782868.95500979165</v>
      </c>
      <c r="J16" s="117">
        <f>'Schedule 2D Adjustments'!P15</f>
        <v>0</v>
      </c>
      <c r="K16" s="68">
        <f>'Schedule 2D Adjustments'!R15</f>
        <v>0</v>
      </c>
      <c r="L16" s="68">
        <f>SUM(J16:K16)</f>
        <v>0</v>
      </c>
      <c r="N16" s="120">
        <f>'Schedule 2D Adjustments'!X15</f>
        <v>0</v>
      </c>
      <c r="O16" s="120">
        <f>'Schedule 2D Adjustments'!AA15</f>
        <v>0</v>
      </c>
    </row>
    <row r="17" spans="1:15" x14ac:dyDescent="0.35">
      <c r="A17" s="24">
        <v>2</v>
      </c>
      <c r="B17" s="531" t="str">
        <f>'Schedule 2D Adjustments'!B16:D16</f>
        <v>Ascent</v>
      </c>
      <c r="C17" s="531"/>
      <c r="D17" s="531"/>
      <c r="F17" s="117">
        <f>'Schedule 2D Adjustments'!H16</f>
        <v>284289.86208681669</v>
      </c>
      <c r="G17" s="68">
        <f>'Schedule 2D Adjustments'!J16</f>
        <v>43310.923780198231</v>
      </c>
      <c r="H17" s="68">
        <f t="shared" ref="H17:H73" si="0">SUM(F17:G17)</f>
        <v>327600.7858670149</v>
      </c>
      <c r="J17" s="117">
        <f>'Schedule 2D Adjustments'!P16</f>
        <v>0</v>
      </c>
      <c r="K17" s="68">
        <f>'Schedule 2D Adjustments'!R16</f>
        <v>0</v>
      </c>
      <c r="L17" s="68">
        <f t="shared" ref="L17:L73" si="1">SUM(J17:K17)</f>
        <v>0</v>
      </c>
      <c r="N17" s="120">
        <f>'Schedule 2D Adjustments'!X16</f>
        <v>0</v>
      </c>
      <c r="O17" s="120">
        <f>'Schedule 2D Adjustments'!AA16</f>
        <v>0</v>
      </c>
    </row>
    <row r="18" spans="1:15" x14ac:dyDescent="0.35">
      <c r="A18" s="24">
        <v>3</v>
      </c>
      <c r="B18" s="531" t="str">
        <f>'Schedule 2D Adjustments'!B17:D17</f>
        <v/>
      </c>
      <c r="C18" s="531"/>
      <c r="D18" s="531"/>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31" t="str">
        <f>'Schedule 2D Adjustments'!B18:D18</f>
        <v/>
      </c>
      <c r="C19" s="531"/>
      <c r="D19" s="531"/>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31" t="str">
        <f>'Schedule 2D Adjustments'!B19:D19</f>
        <v/>
      </c>
      <c r="C20" s="531"/>
      <c r="D20" s="531"/>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31" t="str">
        <f>'Schedule 2D Adjustments'!B20:D20</f>
        <v/>
      </c>
      <c r="C21" s="531"/>
      <c r="D21" s="531"/>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31" t="str">
        <f>'Schedule 2D Adjustments'!B21:D21</f>
        <v/>
      </c>
      <c r="C22" s="531"/>
      <c r="D22" s="531"/>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31" t="str">
        <f>'Schedule 2D Adjustments'!B22:D22</f>
        <v/>
      </c>
      <c r="C23" s="531"/>
      <c r="D23" s="531"/>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31" t="str">
        <f>'Schedule 2D Adjustments'!B23:D23</f>
        <v/>
      </c>
      <c r="C24" s="531"/>
      <c r="D24" s="531"/>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31" t="str">
        <f>'Schedule 2D Adjustments'!B24:D24</f>
        <v/>
      </c>
      <c r="C25" s="531"/>
      <c r="D25" s="531"/>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31" t="str">
        <f>'Schedule 2D Adjustments'!B25:D25</f>
        <v/>
      </c>
      <c r="C26" s="531"/>
      <c r="D26" s="531"/>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31" t="str">
        <f>'Schedule 2D Adjustments'!B26:D26</f>
        <v/>
      </c>
      <c r="C27" s="531"/>
      <c r="D27" s="531"/>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31" t="str">
        <f>'Schedule 2D Adjustments'!B27:D27</f>
        <v/>
      </c>
      <c r="C28" s="531"/>
      <c r="D28" s="531"/>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31" t="str">
        <f>'Schedule 2D Adjustments'!B28:D28</f>
        <v/>
      </c>
      <c r="C29" s="531"/>
      <c r="D29" s="531"/>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31" t="str">
        <f>'Schedule 2D Adjustments'!B29:D29</f>
        <v/>
      </c>
      <c r="C30" s="531"/>
      <c r="D30" s="531"/>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31" t="str">
        <f>'Schedule 2D Adjustments'!B30:D30</f>
        <v/>
      </c>
      <c r="C31" s="531"/>
      <c r="D31" s="531"/>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31" t="str">
        <f>'Schedule 2D Adjustments'!B31:D31</f>
        <v/>
      </c>
      <c r="C32" s="531"/>
      <c r="D32" s="531"/>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31" t="str">
        <f>'Schedule 2D Adjustments'!B32:D32</f>
        <v/>
      </c>
      <c r="C33" s="531"/>
      <c r="D33" s="531"/>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31" t="str">
        <f>'Schedule 2D Adjustments'!B33:D33</f>
        <v/>
      </c>
      <c r="C34" s="531"/>
      <c r="D34" s="531"/>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31" t="str">
        <f>'Schedule 2D Adjustments'!B34:D34</f>
        <v/>
      </c>
      <c r="C35" s="531"/>
      <c r="D35" s="531"/>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31" t="str">
        <f>'Schedule 2D Adjustments'!B35:D35</f>
        <v/>
      </c>
      <c r="C36" s="531"/>
      <c r="D36" s="531"/>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31" t="str">
        <f>'Schedule 2D Adjustments'!B36:D36</f>
        <v/>
      </c>
      <c r="C37" s="531"/>
      <c r="D37" s="531"/>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31" t="str">
        <f>'Schedule 2D Adjustments'!B37:D37</f>
        <v/>
      </c>
      <c r="C38" s="531"/>
      <c r="D38" s="531"/>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31" t="str">
        <f>'Schedule 2D Adjustments'!B38:D38</f>
        <v/>
      </c>
      <c r="C39" s="531"/>
      <c r="D39" s="531"/>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31" t="str">
        <f>'Schedule 2D Adjustments'!B39:D39</f>
        <v/>
      </c>
      <c r="C40" s="531"/>
      <c r="D40" s="531"/>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31" t="str">
        <f>'Schedule 2D Adjustments'!B40:D40</f>
        <v/>
      </c>
      <c r="C41" s="531"/>
      <c r="D41" s="531"/>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31" t="str">
        <f>'Schedule 2D Adjustments'!B41:D41</f>
        <v/>
      </c>
      <c r="C42" s="531"/>
      <c r="D42" s="531"/>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31" t="str">
        <f>'Schedule 2D Adjustments'!B42:D42</f>
        <v/>
      </c>
      <c r="C43" s="531"/>
      <c r="D43" s="531"/>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31" t="str">
        <f>'Schedule 2D Adjustments'!B43:D43</f>
        <v/>
      </c>
      <c r="C44" s="531"/>
      <c r="D44" s="531"/>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31" t="str">
        <f>'Schedule 2D Adjustments'!B44:D44</f>
        <v/>
      </c>
      <c r="C45" s="531"/>
      <c r="D45" s="531"/>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31" t="str">
        <f>'Schedule 2D Adjustments'!B45:D45</f>
        <v/>
      </c>
      <c r="C46" s="531"/>
      <c r="D46" s="531"/>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31" t="str">
        <f>'Schedule 2D Adjustments'!B46:D46</f>
        <v/>
      </c>
      <c r="C47" s="531"/>
      <c r="D47" s="531"/>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31" t="str">
        <f>'Schedule 2D Adjustments'!B47:D47</f>
        <v/>
      </c>
      <c r="C48" s="531"/>
      <c r="D48" s="531"/>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31" t="str">
        <f>'Schedule 2D Adjustments'!B48:D48</f>
        <v/>
      </c>
      <c r="C49" s="531"/>
      <c r="D49" s="531"/>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31" t="str">
        <f>'Schedule 2D Adjustments'!B49:D49</f>
        <v/>
      </c>
      <c r="C50" s="531"/>
      <c r="D50" s="531"/>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31" t="str">
        <f>'Schedule 2D Adjustments'!B50:D50</f>
        <v/>
      </c>
      <c r="C51" s="531"/>
      <c r="D51" s="531"/>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31" t="str">
        <f>'Schedule 2D Adjustments'!B51:D51</f>
        <v/>
      </c>
      <c r="C52" s="531"/>
      <c r="D52" s="531"/>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31" t="str">
        <f>'Schedule 2D Adjustments'!B52:D52</f>
        <v/>
      </c>
      <c r="C53" s="531"/>
      <c r="D53" s="531"/>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31" t="str">
        <f>'Schedule 2D Adjustments'!B53:D53</f>
        <v/>
      </c>
      <c r="C54" s="531"/>
      <c r="D54" s="531"/>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31" t="str">
        <f>'Schedule 2D Adjustments'!B54:D54</f>
        <v/>
      </c>
      <c r="C55" s="531"/>
      <c r="D55" s="531"/>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31" t="str">
        <f>'Schedule 2D Adjustments'!B55:D55</f>
        <v/>
      </c>
      <c r="C56" s="531"/>
      <c r="D56" s="531"/>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31" t="str">
        <f>'Schedule 2D Adjustments'!B56:D56</f>
        <v/>
      </c>
      <c r="C57" s="531"/>
      <c r="D57" s="531"/>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31" t="str">
        <f>'Schedule 2D Adjustments'!B57:D57</f>
        <v/>
      </c>
      <c r="C58" s="531"/>
      <c r="D58" s="531"/>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31" t="str">
        <f>'Schedule 2D Adjustments'!B58:D58</f>
        <v/>
      </c>
      <c r="C59" s="531"/>
      <c r="D59" s="531"/>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31" t="str">
        <f>'Schedule 2D Adjustments'!B59:D59</f>
        <v/>
      </c>
      <c r="C60" s="531"/>
      <c r="D60" s="531"/>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31" t="str">
        <f>'Schedule 2D Adjustments'!B60:D60</f>
        <v/>
      </c>
      <c r="C61" s="531"/>
      <c r="D61" s="531"/>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31" t="str">
        <f>'Schedule 2D Adjustments'!B61:D61</f>
        <v/>
      </c>
      <c r="C62" s="531"/>
      <c r="D62" s="531"/>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31" t="str">
        <f>'Schedule 2D Adjustments'!B62:D62</f>
        <v/>
      </c>
      <c r="C63" s="531"/>
      <c r="D63" s="531"/>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31" t="str">
        <f>'Schedule 2D Adjustments'!B63:D63</f>
        <v/>
      </c>
      <c r="C64" s="531"/>
      <c r="D64" s="531"/>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31" t="str">
        <f>'Schedule 2D Adjustments'!B64:D64</f>
        <v/>
      </c>
      <c r="C65" s="531"/>
      <c r="D65" s="531"/>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31" t="str">
        <f>'Schedule 2D Adjustments'!B65:D65</f>
        <v/>
      </c>
      <c r="C66" s="531"/>
      <c r="D66" s="531"/>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31" t="str">
        <f>'Schedule 2D Adjustments'!B66:D66</f>
        <v/>
      </c>
      <c r="C67" s="531"/>
      <c r="D67" s="531"/>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31" t="str">
        <f>'Schedule 2D Adjustments'!B67:D67</f>
        <v/>
      </c>
      <c r="C68" s="531"/>
      <c r="D68" s="531"/>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31" t="str">
        <f>'Schedule 2D Adjustments'!B68:D68</f>
        <v/>
      </c>
      <c r="C69" s="531"/>
      <c r="D69" s="531"/>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31" t="str">
        <f>'Schedule 2D Adjustments'!B69:D69</f>
        <v/>
      </c>
      <c r="C70" s="531"/>
      <c r="D70" s="531"/>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31" t="str">
        <f>'Schedule 2D Adjustments'!B70:D70</f>
        <v/>
      </c>
      <c r="C71" s="531"/>
      <c r="D71" s="531"/>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31" t="str">
        <f>'Schedule 2D Adjustments'!B71:D71</f>
        <v/>
      </c>
      <c r="C72" s="531"/>
      <c r="D72" s="531"/>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31" t="str">
        <f>'Schedule 2D Adjustments'!B72:D72</f>
        <v/>
      </c>
      <c r="C73" s="531"/>
      <c r="D73" s="531"/>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963658.52313187858</v>
      </c>
      <c r="G74" s="18">
        <f t="shared" ref="G74:H74" si="2">SUM(G16:G73)</f>
        <v>146811.21774492797</v>
      </c>
      <c r="H74" s="18">
        <f t="shared" si="2"/>
        <v>1110469.7408768064</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1110469.7408768064</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847</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809</v>
      </c>
      <c r="C9" s="1"/>
      <c r="F9" s="119" t="str">
        <f>'Schedule 2E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2E Adjustments'!B15:D15</f>
        <v/>
      </c>
      <c r="C16" s="531"/>
      <c r="D16" s="531"/>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31" t="str">
        <f>'Schedule 2E Adjustments'!B16:D16</f>
        <v/>
      </c>
      <c r="C17" s="531"/>
      <c r="D17" s="531"/>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31" t="str">
        <f>'Schedule 2E Adjustments'!B17:D17</f>
        <v/>
      </c>
      <c r="C18" s="531"/>
      <c r="D18" s="531"/>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31" t="str">
        <f>'Schedule 2E Adjustments'!B18:D18</f>
        <v/>
      </c>
      <c r="C19" s="531"/>
      <c r="D19" s="531"/>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31" t="str">
        <f>'Schedule 2E Adjustments'!B19:D19</f>
        <v/>
      </c>
      <c r="C20" s="531"/>
      <c r="D20" s="531"/>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31" t="str">
        <f>'Schedule 2E Adjustments'!B20:D20</f>
        <v/>
      </c>
      <c r="C21" s="531"/>
      <c r="D21" s="531"/>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31" t="str">
        <f>'Schedule 2E Adjustments'!B21:D21</f>
        <v/>
      </c>
      <c r="C22" s="531"/>
      <c r="D22" s="531"/>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31" t="str">
        <f>'Schedule 2E Adjustments'!B22:D22</f>
        <v/>
      </c>
      <c r="C23" s="531"/>
      <c r="D23" s="531"/>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31" t="str">
        <f>'Schedule 2E Adjustments'!B23:D23</f>
        <v/>
      </c>
      <c r="C24" s="531"/>
      <c r="D24" s="531"/>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31" t="str">
        <f>'Schedule 2E Adjustments'!B24:D24</f>
        <v/>
      </c>
      <c r="C25" s="531"/>
      <c r="D25" s="531"/>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31" t="str">
        <f>'Schedule 2E Adjustments'!B25:D25</f>
        <v/>
      </c>
      <c r="C26" s="531"/>
      <c r="D26" s="531"/>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31" t="str">
        <f>'Schedule 2E Adjustments'!B26:D26</f>
        <v/>
      </c>
      <c r="C27" s="531"/>
      <c r="D27" s="531"/>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31" t="str">
        <f>'Schedule 2E Adjustments'!B27:D27</f>
        <v/>
      </c>
      <c r="C28" s="531"/>
      <c r="D28" s="531"/>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31" t="str">
        <f>'Schedule 2E Adjustments'!B28:D28</f>
        <v/>
      </c>
      <c r="C29" s="531"/>
      <c r="D29" s="531"/>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31" t="str">
        <f>'Schedule 2E Adjustments'!B29:D29</f>
        <v/>
      </c>
      <c r="C30" s="531"/>
      <c r="D30" s="531"/>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31" t="str">
        <f>'Schedule 2E Adjustments'!B30:D30</f>
        <v/>
      </c>
      <c r="C31" s="531"/>
      <c r="D31" s="531"/>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31" t="str">
        <f>'Schedule 2E Adjustments'!B31:D31</f>
        <v/>
      </c>
      <c r="C32" s="531"/>
      <c r="D32" s="531"/>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31" t="str">
        <f>'Schedule 2E Adjustments'!B32:D32</f>
        <v/>
      </c>
      <c r="C33" s="531"/>
      <c r="D33" s="531"/>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31" t="str">
        <f>'Schedule 2E Adjustments'!B33:D33</f>
        <v/>
      </c>
      <c r="C34" s="531"/>
      <c r="D34" s="531"/>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31" t="str">
        <f>'Schedule 2E Adjustments'!B34:D34</f>
        <v/>
      </c>
      <c r="C35" s="531"/>
      <c r="D35" s="531"/>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31" t="str">
        <f>'Schedule 2E Adjustments'!B35:D35</f>
        <v/>
      </c>
      <c r="C36" s="531"/>
      <c r="D36" s="531"/>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31" t="str">
        <f>'Schedule 2E Adjustments'!B36:D36</f>
        <v/>
      </c>
      <c r="C37" s="531"/>
      <c r="D37" s="531"/>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31" t="str">
        <f>'Schedule 2E Adjustments'!B37:D37</f>
        <v/>
      </c>
      <c r="C38" s="531"/>
      <c r="D38" s="531"/>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31" t="str">
        <f>'Schedule 2E Adjustments'!B38:D38</f>
        <v/>
      </c>
      <c r="C39" s="531"/>
      <c r="D39" s="531"/>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31" t="str">
        <f>'Schedule 2E Adjustments'!B39:D39</f>
        <v/>
      </c>
      <c r="C40" s="531"/>
      <c r="D40" s="531"/>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31" t="str">
        <f>'Schedule 2E Adjustments'!B40:D40</f>
        <v/>
      </c>
      <c r="C41" s="531"/>
      <c r="D41" s="531"/>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31" t="str">
        <f>'Schedule 2E Adjustments'!B41:D41</f>
        <v/>
      </c>
      <c r="C42" s="531"/>
      <c r="D42" s="531"/>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31" t="str">
        <f>'Schedule 2E Adjustments'!B42:D42</f>
        <v/>
      </c>
      <c r="C43" s="531"/>
      <c r="D43" s="531"/>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31" t="str">
        <f>'Schedule 2E Adjustments'!B43:D43</f>
        <v/>
      </c>
      <c r="C44" s="531"/>
      <c r="D44" s="531"/>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31" t="str">
        <f>'Schedule 2E Adjustments'!B44:D44</f>
        <v/>
      </c>
      <c r="C45" s="531"/>
      <c r="D45" s="531"/>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31" t="str">
        <f>'Schedule 2E Adjustments'!B45:D45</f>
        <v/>
      </c>
      <c r="C46" s="531"/>
      <c r="D46" s="531"/>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31" t="str">
        <f>'Schedule 2E Adjustments'!B46:D46</f>
        <v/>
      </c>
      <c r="C47" s="531"/>
      <c r="D47" s="531"/>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31" t="str">
        <f>'Schedule 2E Adjustments'!B47:D47</f>
        <v/>
      </c>
      <c r="C48" s="531"/>
      <c r="D48" s="531"/>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31" t="str">
        <f>'Schedule 2E Adjustments'!B48:D48</f>
        <v/>
      </c>
      <c r="C49" s="531"/>
      <c r="D49" s="531"/>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31" t="str">
        <f>'Schedule 2E Adjustments'!B49:D49</f>
        <v/>
      </c>
      <c r="C50" s="531"/>
      <c r="D50" s="531"/>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31" t="str">
        <f>'Schedule 2E Adjustments'!B50:D50</f>
        <v/>
      </c>
      <c r="C51" s="531"/>
      <c r="D51" s="531"/>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31" t="str">
        <f>'Schedule 2E Adjustments'!B51:D51</f>
        <v/>
      </c>
      <c r="C52" s="531"/>
      <c r="D52" s="531"/>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31" t="str">
        <f>'Schedule 2E Adjustments'!B52:D52</f>
        <v/>
      </c>
      <c r="C53" s="531"/>
      <c r="D53" s="531"/>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31" t="str">
        <f>'Schedule 2E Adjustments'!B53:D53</f>
        <v/>
      </c>
      <c r="C54" s="531"/>
      <c r="D54" s="531"/>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31" t="str">
        <f>'Schedule 2E Adjustments'!B54:D54</f>
        <v/>
      </c>
      <c r="C55" s="531"/>
      <c r="D55" s="531"/>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31" t="str">
        <f>'Schedule 2E Adjustments'!B55:D55</f>
        <v/>
      </c>
      <c r="C56" s="531"/>
      <c r="D56" s="531"/>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31" t="str">
        <f>'Schedule 2E Adjustments'!B56:D56</f>
        <v/>
      </c>
      <c r="C57" s="531"/>
      <c r="D57" s="531"/>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31" t="str">
        <f>'Schedule 2E Adjustments'!B57:D57</f>
        <v/>
      </c>
      <c r="C58" s="531"/>
      <c r="D58" s="531"/>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31" t="str">
        <f>'Schedule 2E Adjustments'!B58:D58</f>
        <v/>
      </c>
      <c r="C59" s="531"/>
      <c r="D59" s="531"/>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31" t="str">
        <f>'Schedule 2E Adjustments'!B59:D59</f>
        <v/>
      </c>
      <c r="C60" s="531"/>
      <c r="D60" s="531"/>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31" t="str">
        <f>'Schedule 2E Adjustments'!B60:D60</f>
        <v/>
      </c>
      <c r="C61" s="531"/>
      <c r="D61" s="531"/>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31" t="str">
        <f>'Schedule 2E Adjustments'!B61:D61</f>
        <v/>
      </c>
      <c r="C62" s="531"/>
      <c r="D62" s="531"/>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31" t="str">
        <f>'Schedule 2E Adjustments'!B62:D62</f>
        <v/>
      </c>
      <c r="C63" s="531"/>
      <c r="D63" s="531"/>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31" t="str">
        <f>'Schedule 2E Adjustments'!B63:D63</f>
        <v/>
      </c>
      <c r="C64" s="531"/>
      <c r="D64" s="531"/>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31" t="str">
        <f>'Schedule 2E Adjustments'!B64:D64</f>
        <v/>
      </c>
      <c r="C65" s="531"/>
      <c r="D65" s="531"/>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31" t="str">
        <f>'Schedule 2E Adjustments'!B65:D65</f>
        <v/>
      </c>
      <c r="C66" s="531"/>
      <c r="D66" s="531"/>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31" t="str">
        <f>'Schedule 2E Adjustments'!B66:D66</f>
        <v/>
      </c>
      <c r="C67" s="531"/>
      <c r="D67" s="531"/>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31" t="str">
        <f>'Schedule 2E Adjustments'!B67:D67</f>
        <v/>
      </c>
      <c r="C68" s="531"/>
      <c r="D68" s="531"/>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31" t="str">
        <f>'Schedule 2E Adjustments'!B68:D68</f>
        <v/>
      </c>
      <c r="C69" s="531"/>
      <c r="D69" s="531"/>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31" t="str">
        <f>'Schedule 2E Adjustments'!B69:D69</f>
        <v/>
      </c>
      <c r="C70" s="531"/>
      <c r="D70" s="531"/>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31" t="str">
        <f>'Schedule 2E Adjustments'!B70:D70</f>
        <v/>
      </c>
      <c r="C71" s="531"/>
      <c r="D71" s="531"/>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31" t="str">
        <f>'Schedule 2E Adjustments'!B71:D71</f>
        <v/>
      </c>
      <c r="C72" s="531"/>
      <c r="D72" s="531"/>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31" t="str">
        <f>'Schedule 2E Adjustments'!B72:D72</f>
        <v/>
      </c>
      <c r="C73" s="531"/>
      <c r="D73" s="531"/>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customProperties>
    <customPr name="OrphanNamesChecke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812</v>
      </c>
      <c r="C9" s="1"/>
      <c r="F9" s="119" t="str">
        <f>'Schedule 2F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2F Adjustments'!B15:D15</f>
        <v/>
      </c>
      <c r="C16" s="531"/>
      <c r="D16" s="531"/>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31" t="str">
        <f>'Schedule 2F Adjustments'!B16:D16</f>
        <v/>
      </c>
      <c r="C17" s="531"/>
      <c r="D17" s="531"/>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31" t="str">
        <f>'Schedule 2F Adjustments'!B17:D17</f>
        <v/>
      </c>
      <c r="C18" s="531"/>
      <c r="D18" s="531"/>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31" t="str">
        <f>'Schedule 2F Adjustments'!B18:D18</f>
        <v/>
      </c>
      <c r="C19" s="531"/>
      <c r="D19" s="531"/>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31" t="str">
        <f>'Schedule 2F Adjustments'!B19:D19</f>
        <v/>
      </c>
      <c r="C20" s="531"/>
      <c r="D20" s="531"/>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31" t="str">
        <f>'Schedule 2F Adjustments'!B20:D20</f>
        <v/>
      </c>
      <c r="C21" s="531"/>
      <c r="D21" s="531"/>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31" t="str">
        <f>'Schedule 2F Adjustments'!B21:D21</f>
        <v/>
      </c>
      <c r="C22" s="531"/>
      <c r="D22" s="531"/>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31" t="str">
        <f>'Schedule 2F Adjustments'!B22:D22</f>
        <v/>
      </c>
      <c r="C23" s="531"/>
      <c r="D23" s="531"/>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31" t="str">
        <f>'Schedule 2F Adjustments'!B23:D23</f>
        <v/>
      </c>
      <c r="C24" s="531"/>
      <c r="D24" s="531"/>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31" t="str">
        <f>'Schedule 2F Adjustments'!B24:D24</f>
        <v/>
      </c>
      <c r="C25" s="531"/>
      <c r="D25" s="531"/>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31" t="str">
        <f>'Schedule 2F Adjustments'!B25:D25</f>
        <v/>
      </c>
      <c r="C26" s="531"/>
      <c r="D26" s="531"/>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31" t="str">
        <f>'Schedule 2F Adjustments'!B26:D26</f>
        <v/>
      </c>
      <c r="C27" s="531"/>
      <c r="D27" s="531"/>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31" t="str">
        <f>'Schedule 2F Adjustments'!B27:D27</f>
        <v/>
      </c>
      <c r="C28" s="531"/>
      <c r="D28" s="531"/>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31" t="str">
        <f>'Schedule 2F Adjustments'!B28:D28</f>
        <v/>
      </c>
      <c r="C29" s="531"/>
      <c r="D29" s="531"/>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31" t="str">
        <f>'Schedule 2F Adjustments'!B29:D29</f>
        <v/>
      </c>
      <c r="C30" s="531"/>
      <c r="D30" s="531"/>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31" t="str">
        <f>'Schedule 2F Adjustments'!B30:D30</f>
        <v/>
      </c>
      <c r="C31" s="531"/>
      <c r="D31" s="531"/>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31" t="str">
        <f>'Schedule 2F Adjustments'!B31:D31</f>
        <v/>
      </c>
      <c r="C32" s="531"/>
      <c r="D32" s="531"/>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31" t="str">
        <f>'Schedule 2F Adjustments'!B32:D32</f>
        <v/>
      </c>
      <c r="C33" s="531"/>
      <c r="D33" s="531"/>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31" t="str">
        <f>'Schedule 2F Adjustments'!B33:D33</f>
        <v/>
      </c>
      <c r="C34" s="531"/>
      <c r="D34" s="531"/>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31" t="str">
        <f>'Schedule 2F Adjustments'!B34:D34</f>
        <v/>
      </c>
      <c r="C35" s="531"/>
      <c r="D35" s="531"/>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31" t="str">
        <f>'Schedule 2F Adjustments'!B35:D35</f>
        <v/>
      </c>
      <c r="C36" s="531"/>
      <c r="D36" s="531"/>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31" t="str">
        <f>'Schedule 2F Adjustments'!B36:D36</f>
        <v/>
      </c>
      <c r="C37" s="531"/>
      <c r="D37" s="531"/>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31" t="str">
        <f>'Schedule 2F Adjustments'!B37:D37</f>
        <v/>
      </c>
      <c r="C38" s="531"/>
      <c r="D38" s="531"/>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31" t="str">
        <f>'Schedule 2F Adjustments'!B38:D38</f>
        <v/>
      </c>
      <c r="C39" s="531"/>
      <c r="D39" s="531"/>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31" t="str">
        <f>'Schedule 2F Adjustments'!B39:D39</f>
        <v/>
      </c>
      <c r="C40" s="531"/>
      <c r="D40" s="531"/>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31" t="str">
        <f>'Schedule 2F Adjustments'!B40:D40</f>
        <v/>
      </c>
      <c r="C41" s="531"/>
      <c r="D41" s="531"/>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31" t="str">
        <f>'Schedule 2F Adjustments'!B41:D41</f>
        <v/>
      </c>
      <c r="C42" s="531"/>
      <c r="D42" s="531"/>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31" t="str">
        <f>'Schedule 2F Adjustments'!B42:D42</f>
        <v/>
      </c>
      <c r="C43" s="531"/>
      <c r="D43" s="531"/>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31" t="str">
        <f>'Schedule 2F Adjustments'!B43:D43</f>
        <v/>
      </c>
      <c r="C44" s="531"/>
      <c r="D44" s="531"/>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31" t="str">
        <f>'Schedule 2F Adjustments'!B44:D44</f>
        <v/>
      </c>
      <c r="C45" s="531"/>
      <c r="D45" s="531"/>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31" t="str">
        <f>'Schedule 2F Adjustments'!B45:D45</f>
        <v/>
      </c>
      <c r="C46" s="531"/>
      <c r="D46" s="531"/>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31" t="str">
        <f>'Schedule 2F Adjustments'!B46:D46</f>
        <v/>
      </c>
      <c r="C47" s="531"/>
      <c r="D47" s="531"/>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31" t="str">
        <f>'Schedule 2F Adjustments'!B47:D47</f>
        <v/>
      </c>
      <c r="C48" s="531"/>
      <c r="D48" s="531"/>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31" t="str">
        <f>'Schedule 2F Adjustments'!B48:D48</f>
        <v/>
      </c>
      <c r="C49" s="531"/>
      <c r="D49" s="531"/>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31" t="str">
        <f>'Schedule 2F Adjustments'!B49:D49</f>
        <v/>
      </c>
      <c r="C50" s="531"/>
      <c r="D50" s="531"/>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31" t="str">
        <f>'Schedule 2F Adjustments'!B50:D50</f>
        <v/>
      </c>
      <c r="C51" s="531"/>
      <c r="D51" s="531"/>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31" t="str">
        <f>'Schedule 2F Adjustments'!B51:D51</f>
        <v/>
      </c>
      <c r="C52" s="531"/>
      <c r="D52" s="531"/>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31" t="str">
        <f>'Schedule 2F Adjustments'!B52:D52</f>
        <v/>
      </c>
      <c r="C53" s="531"/>
      <c r="D53" s="531"/>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31" t="str">
        <f>'Schedule 2F Adjustments'!B53:D53</f>
        <v/>
      </c>
      <c r="C54" s="531"/>
      <c r="D54" s="531"/>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31" t="str">
        <f>'Schedule 2F Adjustments'!B54:D54</f>
        <v/>
      </c>
      <c r="C55" s="531"/>
      <c r="D55" s="531"/>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31" t="str">
        <f>'Schedule 2F Adjustments'!B55:D55</f>
        <v/>
      </c>
      <c r="C56" s="531"/>
      <c r="D56" s="531"/>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31" t="str">
        <f>'Schedule 2F Adjustments'!B56:D56</f>
        <v/>
      </c>
      <c r="C57" s="531"/>
      <c r="D57" s="531"/>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31" t="str">
        <f>'Schedule 2F Adjustments'!B57:D57</f>
        <v/>
      </c>
      <c r="C58" s="531"/>
      <c r="D58" s="531"/>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31" t="str">
        <f>'Schedule 2F Adjustments'!B58:D58</f>
        <v/>
      </c>
      <c r="C59" s="531"/>
      <c r="D59" s="531"/>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31" t="str">
        <f>'Schedule 2F Adjustments'!B59:D59</f>
        <v/>
      </c>
      <c r="C60" s="531"/>
      <c r="D60" s="531"/>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31" t="str">
        <f>'Schedule 2F Adjustments'!B60:D60</f>
        <v/>
      </c>
      <c r="C61" s="531"/>
      <c r="D61" s="531"/>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31" t="str">
        <f>'Schedule 2F Adjustments'!B61:D61</f>
        <v/>
      </c>
      <c r="C62" s="531"/>
      <c r="D62" s="531"/>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31" t="str">
        <f>'Schedule 2F Adjustments'!B62:D62</f>
        <v/>
      </c>
      <c r="C63" s="531"/>
      <c r="D63" s="531"/>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31" t="str">
        <f>'Schedule 2F Adjustments'!B63:D63</f>
        <v/>
      </c>
      <c r="C64" s="531"/>
      <c r="D64" s="531"/>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31" t="str">
        <f>'Schedule 2F Adjustments'!B64:D64</f>
        <v/>
      </c>
      <c r="C65" s="531"/>
      <c r="D65" s="531"/>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31" t="str">
        <f>'Schedule 2F Adjustments'!B65:D65</f>
        <v/>
      </c>
      <c r="C66" s="531"/>
      <c r="D66" s="531"/>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31" t="str">
        <f>'Schedule 2F Adjustments'!B66:D66</f>
        <v/>
      </c>
      <c r="C67" s="531"/>
      <c r="D67" s="531"/>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31" t="str">
        <f>'Schedule 2F Adjustments'!B67:D67</f>
        <v/>
      </c>
      <c r="C68" s="531"/>
      <c r="D68" s="531"/>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31" t="str">
        <f>'Schedule 2F Adjustments'!B68:D68</f>
        <v/>
      </c>
      <c r="C69" s="531"/>
      <c r="D69" s="531"/>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31" t="str">
        <f>'Schedule 2F Adjustments'!B69:D69</f>
        <v/>
      </c>
      <c r="C70" s="531"/>
      <c r="D70" s="531"/>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31" t="str">
        <f>'Schedule 2F Adjustments'!B70:D70</f>
        <v/>
      </c>
      <c r="C71" s="531"/>
      <c r="D71" s="531"/>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31" t="str">
        <f>'Schedule 2F Adjustments'!B71:D71</f>
        <v/>
      </c>
      <c r="C72" s="531"/>
      <c r="D72" s="531"/>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31" t="str">
        <f>'Schedule 2F Adjustments'!B72:D72</f>
        <v/>
      </c>
      <c r="C73" s="531"/>
      <c r="D73" s="531"/>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815</v>
      </c>
      <c r="C9" s="1"/>
      <c r="F9" s="119" t="str">
        <f>'Schedule 2G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2G Adjustments'!B15:D15</f>
        <v/>
      </c>
      <c r="C16" s="531"/>
      <c r="D16" s="531"/>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31" t="str">
        <f>'Schedule 2G Adjustments'!B16:D16</f>
        <v/>
      </c>
      <c r="C17" s="531"/>
      <c r="D17" s="531"/>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31" t="str">
        <f>'Schedule 2G Adjustments'!B17:D17</f>
        <v/>
      </c>
      <c r="C18" s="531"/>
      <c r="D18" s="531"/>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31" t="str">
        <f>'Schedule 2G Adjustments'!B18:D18</f>
        <v/>
      </c>
      <c r="C19" s="531"/>
      <c r="D19" s="531"/>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31" t="str">
        <f>'Schedule 2G Adjustments'!B19:D19</f>
        <v/>
      </c>
      <c r="C20" s="531"/>
      <c r="D20" s="531"/>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31" t="str">
        <f>'Schedule 2G Adjustments'!B20:D20</f>
        <v/>
      </c>
      <c r="C21" s="531"/>
      <c r="D21" s="531"/>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31" t="str">
        <f>'Schedule 2G Adjustments'!B21:D21</f>
        <v/>
      </c>
      <c r="C22" s="531"/>
      <c r="D22" s="531"/>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31" t="str">
        <f>'Schedule 2G Adjustments'!B22:D22</f>
        <v/>
      </c>
      <c r="C23" s="531"/>
      <c r="D23" s="531"/>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31" t="str">
        <f>'Schedule 2G Adjustments'!B23:D23</f>
        <v/>
      </c>
      <c r="C24" s="531"/>
      <c r="D24" s="531"/>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31" t="str">
        <f>'Schedule 2G Adjustments'!B24:D24</f>
        <v/>
      </c>
      <c r="C25" s="531"/>
      <c r="D25" s="531"/>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31" t="str">
        <f>'Schedule 2G Adjustments'!B25:D25</f>
        <v/>
      </c>
      <c r="C26" s="531"/>
      <c r="D26" s="531"/>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31" t="str">
        <f>'Schedule 2G Adjustments'!B26:D26</f>
        <v/>
      </c>
      <c r="C27" s="531"/>
      <c r="D27" s="531"/>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31" t="str">
        <f>'Schedule 2G Adjustments'!B27:D27</f>
        <v/>
      </c>
      <c r="C28" s="531"/>
      <c r="D28" s="531"/>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31" t="str">
        <f>'Schedule 2G Adjustments'!B28:D28</f>
        <v/>
      </c>
      <c r="C29" s="531"/>
      <c r="D29" s="531"/>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31" t="str">
        <f>'Schedule 2G Adjustments'!B29:D29</f>
        <v/>
      </c>
      <c r="C30" s="531"/>
      <c r="D30" s="531"/>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31" t="str">
        <f>'Schedule 2G Adjustments'!B30:D30</f>
        <v/>
      </c>
      <c r="C31" s="531"/>
      <c r="D31" s="531"/>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31" t="str">
        <f>'Schedule 2G Adjustments'!B31:D31</f>
        <v/>
      </c>
      <c r="C32" s="531"/>
      <c r="D32" s="531"/>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31" t="str">
        <f>'Schedule 2G Adjustments'!B32:D32</f>
        <v/>
      </c>
      <c r="C33" s="531"/>
      <c r="D33" s="531"/>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31" t="str">
        <f>'Schedule 2G Adjustments'!B33:D33</f>
        <v/>
      </c>
      <c r="C34" s="531"/>
      <c r="D34" s="531"/>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31" t="str">
        <f>'Schedule 2G Adjustments'!B34:D34</f>
        <v/>
      </c>
      <c r="C35" s="531"/>
      <c r="D35" s="531"/>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31" t="str">
        <f>'Schedule 2G Adjustments'!B35:D35</f>
        <v/>
      </c>
      <c r="C36" s="531"/>
      <c r="D36" s="531"/>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31" t="str">
        <f>'Schedule 2G Adjustments'!B36:D36</f>
        <v/>
      </c>
      <c r="C37" s="531"/>
      <c r="D37" s="531"/>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31" t="str">
        <f>'Schedule 2G Adjustments'!B37:D37</f>
        <v/>
      </c>
      <c r="C38" s="531"/>
      <c r="D38" s="531"/>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31" t="str">
        <f>'Schedule 2G Adjustments'!B38:D38</f>
        <v/>
      </c>
      <c r="C39" s="531"/>
      <c r="D39" s="531"/>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31" t="str">
        <f>'Schedule 2G Adjustments'!B39:D39</f>
        <v/>
      </c>
      <c r="C40" s="531"/>
      <c r="D40" s="531"/>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31" t="str">
        <f>'Schedule 2G Adjustments'!B40:D40</f>
        <v/>
      </c>
      <c r="C41" s="531"/>
      <c r="D41" s="531"/>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31" t="str">
        <f>'Schedule 2G Adjustments'!B41:D41</f>
        <v/>
      </c>
      <c r="C42" s="531"/>
      <c r="D42" s="531"/>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31" t="str">
        <f>'Schedule 2G Adjustments'!B42:D42</f>
        <v/>
      </c>
      <c r="C43" s="531"/>
      <c r="D43" s="531"/>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31" t="str">
        <f>'Schedule 2G Adjustments'!B43:D43</f>
        <v/>
      </c>
      <c r="C44" s="531"/>
      <c r="D44" s="531"/>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31" t="str">
        <f>'Schedule 2G Adjustments'!B44:D44</f>
        <v/>
      </c>
      <c r="C45" s="531"/>
      <c r="D45" s="531"/>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31" t="str">
        <f>'Schedule 2G Adjustments'!B45:D45</f>
        <v/>
      </c>
      <c r="C46" s="531"/>
      <c r="D46" s="531"/>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31" t="str">
        <f>'Schedule 2G Adjustments'!B46:D46</f>
        <v/>
      </c>
      <c r="C47" s="531"/>
      <c r="D47" s="531"/>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31" t="str">
        <f>'Schedule 2G Adjustments'!B47:D47</f>
        <v/>
      </c>
      <c r="C48" s="531"/>
      <c r="D48" s="531"/>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31" t="str">
        <f>'Schedule 2G Adjustments'!B48:D48</f>
        <v/>
      </c>
      <c r="C49" s="531"/>
      <c r="D49" s="531"/>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31" t="str">
        <f>'Schedule 2G Adjustments'!B49:D49</f>
        <v/>
      </c>
      <c r="C50" s="531"/>
      <c r="D50" s="531"/>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31" t="str">
        <f>'Schedule 2G Adjustments'!B50:D50</f>
        <v/>
      </c>
      <c r="C51" s="531"/>
      <c r="D51" s="531"/>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31" t="str">
        <f>'Schedule 2G Adjustments'!B51:D51</f>
        <v/>
      </c>
      <c r="C52" s="531"/>
      <c r="D52" s="531"/>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31" t="str">
        <f>'Schedule 2G Adjustments'!B52:D52</f>
        <v/>
      </c>
      <c r="C53" s="531"/>
      <c r="D53" s="531"/>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31" t="str">
        <f>'Schedule 2G Adjustments'!B53:D53</f>
        <v/>
      </c>
      <c r="C54" s="531"/>
      <c r="D54" s="531"/>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31" t="str">
        <f>'Schedule 2G Adjustments'!B54:D54</f>
        <v/>
      </c>
      <c r="C55" s="531"/>
      <c r="D55" s="531"/>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31" t="str">
        <f>'Schedule 2G Adjustments'!B55:D55</f>
        <v/>
      </c>
      <c r="C56" s="531"/>
      <c r="D56" s="531"/>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31" t="str">
        <f>'Schedule 2G Adjustments'!B56:D56</f>
        <v/>
      </c>
      <c r="C57" s="531"/>
      <c r="D57" s="531"/>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31" t="str">
        <f>'Schedule 2G Adjustments'!B57:D57</f>
        <v/>
      </c>
      <c r="C58" s="531"/>
      <c r="D58" s="531"/>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31" t="str">
        <f>'Schedule 2G Adjustments'!B58:D58</f>
        <v/>
      </c>
      <c r="C59" s="531"/>
      <c r="D59" s="531"/>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31" t="str">
        <f>'Schedule 2G Adjustments'!B59:D59</f>
        <v/>
      </c>
      <c r="C60" s="531"/>
      <c r="D60" s="531"/>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31" t="str">
        <f>'Schedule 2G Adjustments'!B60:D60</f>
        <v/>
      </c>
      <c r="C61" s="531"/>
      <c r="D61" s="531"/>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31" t="str">
        <f>'Schedule 2G Adjustments'!B61:D61</f>
        <v/>
      </c>
      <c r="C62" s="531"/>
      <c r="D62" s="531"/>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31" t="str">
        <f>'Schedule 2G Adjustments'!B62:D62</f>
        <v/>
      </c>
      <c r="C63" s="531"/>
      <c r="D63" s="531"/>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31" t="str">
        <f>'Schedule 2G Adjustments'!B63:D63</f>
        <v/>
      </c>
      <c r="C64" s="531"/>
      <c r="D64" s="531"/>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31" t="str">
        <f>'Schedule 2G Adjustments'!B64:D64</f>
        <v/>
      </c>
      <c r="C65" s="531"/>
      <c r="D65" s="531"/>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31" t="str">
        <f>'Schedule 2G Adjustments'!B65:D65</f>
        <v/>
      </c>
      <c r="C66" s="531"/>
      <c r="D66" s="531"/>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31" t="str">
        <f>'Schedule 2G Adjustments'!B66:D66</f>
        <v/>
      </c>
      <c r="C67" s="531"/>
      <c r="D67" s="531"/>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31" t="str">
        <f>'Schedule 2G Adjustments'!B67:D67</f>
        <v/>
      </c>
      <c r="C68" s="531"/>
      <c r="D68" s="531"/>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31" t="str">
        <f>'Schedule 2G Adjustments'!B68:D68</f>
        <v/>
      </c>
      <c r="C69" s="531"/>
      <c r="D69" s="531"/>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31" t="str">
        <f>'Schedule 2G Adjustments'!B69:D69</f>
        <v/>
      </c>
      <c r="C70" s="531"/>
      <c r="D70" s="531"/>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31" t="str">
        <f>'Schedule 2G Adjustments'!B70:D70</f>
        <v/>
      </c>
      <c r="C71" s="531"/>
      <c r="D71" s="531"/>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31" t="str">
        <f>'Schedule 2G Adjustments'!B71:D71</f>
        <v/>
      </c>
      <c r="C72" s="531"/>
      <c r="D72" s="531"/>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31" t="str">
        <f>'Schedule 2G Adjustments'!B72:D72</f>
        <v/>
      </c>
      <c r="C73" s="531"/>
      <c r="D73" s="531"/>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818</v>
      </c>
      <c r="C9" s="1"/>
      <c r="F9" s="119" t="str">
        <f>'Schedule 2H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2H Adjustments'!B15:D15</f>
        <v/>
      </c>
      <c r="C16" s="531"/>
      <c r="D16" s="531"/>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31" t="str">
        <f>'Schedule 2H Adjustments'!B16:D16</f>
        <v/>
      </c>
      <c r="C17" s="531"/>
      <c r="D17" s="531"/>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31" t="str">
        <f>'Schedule 2H Adjustments'!B17:D17</f>
        <v/>
      </c>
      <c r="C18" s="531"/>
      <c r="D18" s="531"/>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31" t="str">
        <f>'Schedule 2H Adjustments'!B18:D18</f>
        <v/>
      </c>
      <c r="C19" s="531"/>
      <c r="D19" s="531"/>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31" t="str">
        <f>'Schedule 2H Adjustments'!B19:D19</f>
        <v/>
      </c>
      <c r="C20" s="531"/>
      <c r="D20" s="531"/>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31" t="str">
        <f>'Schedule 2H Adjustments'!B20:D20</f>
        <v/>
      </c>
      <c r="C21" s="531"/>
      <c r="D21" s="531"/>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31" t="str">
        <f>'Schedule 2H Adjustments'!B21:D21</f>
        <v/>
      </c>
      <c r="C22" s="531"/>
      <c r="D22" s="531"/>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31" t="str">
        <f>'Schedule 2H Adjustments'!B22:D22</f>
        <v/>
      </c>
      <c r="C23" s="531"/>
      <c r="D23" s="531"/>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31" t="str">
        <f>'Schedule 2H Adjustments'!B23:D23</f>
        <v/>
      </c>
      <c r="C24" s="531"/>
      <c r="D24" s="531"/>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31" t="str">
        <f>'Schedule 2H Adjustments'!B24:D24</f>
        <v/>
      </c>
      <c r="C25" s="531"/>
      <c r="D25" s="531"/>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31" t="str">
        <f>'Schedule 2H Adjustments'!B25:D25</f>
        <v/>
      </c>
      <c r="C26" s="531"/>
      <c r="D26" s="531"/>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31" t="str">
        <f>'Schedule 2H Adjustments'!B26:D26</f>
        <v/>
      </c>
      <c r="C27" s="531"/>
      <c r="D27" s="531"/>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31" t="str">
        <f>'Schedule 2H Adjustments'!B27:D27</f>
        <v/>
      </c>
      <c r="C28" s="531"/>
      <c r="D28" s="531"/>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31" t="str">
        <f>'Schedule 2H Adjustments'!B28:D28</f>
        <v/>
      </c>
      <c r="C29" s="531"/>
      <c r="D29" s="531"/>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31" t="str">
        <f>'Schedule 2H Adjustments'!B29:D29</f>
        <v/>
      </c>
      <c r="C30" s="531"/>
      <c r="D30" s="531"/>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31" t="str">
        <f>'Schedule 2H Adjustments'!B30:D30</f>
        <v/>
      </c>
      <c r="C31" s="531"/>
      <c r="D31" s="531"/>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31" t="str">
        <f>'Schedule 2H Adjustments'!B31:D31</f>
        <v/>
      </c>
      <c r="C32" s="531"/>
      <c r="D32" s="531"/>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31" t="str">
        <f>'Schedule 2H Adjustments'!B32:D32</f>
        <v/>
      </c>
      <c r="C33" s="531"/>
      <c r="D33" s="531"/>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31" t="str">
        <f>'Schedule 2H Adjustments'!B33:D33</f>
        <v/>
      </c>
      <c r="C34" s="531"/>
      <c r="D34" s="531"/>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31" t="str">
        <f>'Schedule 2H Adjustments'!B34:D34</f>
        <v/>
      </c>
      <c r="C35" s="531"/>
      <c r="D35" s="531"/>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31" t="str">
        <f>'Schedule 2H Adjustments'!B35:D35</f>
        <v/>
      </c>
      <c r="C36" s="531"/>
      <c r="D36" s="531"/>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31" t="str">
        <f>'Schedule 2H Adjustments'!B36:D36</f>
        <v/>
      </c>
      <c r="C37" s="531"/>
      <c r="D37" s="531"/>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31" t="str">
        <f>'Schedule 2H Adjustments'!B37:D37</f>
        <v/>
      </c>
      <c r="C38" s="531"/>
      <c r="D38" s="531"/>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31" t="str">
        <f>'Schedule 2H Adjustments'!B38:D38</f>
        <v/>
      </c>
      <c r="C39" s="531"/>
      <c r="D39" s="531"/>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31" t="str">
        <f>'Schedule 2H Adjustments'!B39:D39</f>
        <v/>
      </c>
      <c r="C40" s="531"/>
      <c r="D40" s="531"/>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31" t="str">
        <f>'Schedule 2H Adjustments'!B40:D40</f>
        <v/>
      </c>
      <c r="C41" s="531"/>
      <c r="D41" s="531"/>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31" t="str">
        <f>'Schedule 2H Adjustments'!B41:D41</f>
        <v/>
      </c>
      <c r="C42" s="531"/>
      <c r="D42" s="531"/>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31" t="str">
        <f>'Schedule 2H Adjustments'!B42:D42</f>
        <v/>
      </c>
      <c r="C43" s="531"/>
      <c r="D43" s="531"/>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31" t="str">
        <f>'Schedule 2H Adjustments'!B43:D43</f>
        <v/>
      </c>
      <c r="C44" s="531"/>
      <c r="D44" s="531"/>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31" t="str">
        <f>'Schedule 2H Adjustments'!B44:D44</f>
        <v/>
      </c>
      <c r="C45" s="531"/>
      <c r="D45" s="531"/>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31" t="str">
        <f>'Schedule 2H Adjustments'!B45:D45</f>
        <v/>
      </c>
      <c r="C46" s="531"/>
      <c r="D46" s="531"/>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31" t="str">
        <f>'Schedule 2H Adjustments'!B46:D46</f>
        <v/>
      </c>
      <c r="C47" s="531"/>
      <c r="D47" s="531"/>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31" t="str">
        <f>'Schedule 2H Adjustments'!B47:D47</f>
        <v/>
      </c>
      <c r="C48" s="531"/>
      <c r="D48" s="531"/>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31" t="str">
        <f>'Schedule 2H Adjustments'!B48:D48</f>
        <v/>
      </c>
      <c r="C49" s="531"/>
      <c r="D49" s="531"/>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31" t="str">
        <f>'Schedule 2H Adjustments'!B49:D49</f>
        <v/>
      </c>
      <c r="C50" s="531"/>
      <c r="D50" s="531"/>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31" t="str">
        <f>'Schedule 2H Adjustments'!B50:D50</f>
        <v/>
      </c>
      <c r="C51" s="531"/>
      <c r="D51" s="531"/>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31" t="str">
        <f>'Schedule 2H Adjustments'!B51:D51</f>
        <v/>
      </c>
      <c r="C52" s="531"/>
      <c r="D52" s="531"/>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31" t="str">
        <f>'Schedule 2H Adjustments'!B52:D52</f>
        <v/>
      </c>
      <c r="C53" s="531"/>
      <c r="D53" s="531"/>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31" t="str">
        <f>'Schedule 2H Adjustments'!B53:D53</f>
        <v/>
      </c>
      <c r="C54" s="531"/>
      <c r="D54" s="531"/>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31" t="str">
        <f>'Schedule 2H Adjustments'!B54:D54</f>
        <v/>
      </c>
      <c r="C55" s="531"/>
      <c r="D55" s="531"/>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31" t="str">
        <f>'Schedule 2H Adjustments'!B55:D55</f>
        <v/>
      </c>
      <c r="C56" s="531"/>
      <c r="D56" s="531"/>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31" t="str">
        <f>'Schedule 2H Adjustments'!B56:D56</f>
        <v/>
      </c>
      <c r="C57" s="531"/>
      <c r="D57" s="531"/>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31" t="str">
        <f>'Schedule 2H Adjustments'!B57:D57</f>
        <v/>
      </c>
      <c r="C58" s="531"/>
      <c r="D58" s="531"/>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31" t="str">
        <f>'Schedule 2H Adjustments'!B58:D58</f>
        <v/>
      </c>
      <c r="C59" s="531"/>
      <c r="D59" s="531"/>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31" t="str">
        <f>'Schedule 2H Adjustments'!B59:D59</f>
        <v/>
      </c>
      <c r="C60" s="531"/>
      <c r="D60" s="531"/>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31" t="str">
        <f>'Schedule 2H Adjustments'!B60:D60</f>
        <v/>
      </c>
      <c r="C61" s="531"/>
      <c r="D61" s="531"/>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31" t="str">
        <f>'Schedule 2H Adjustments'!B61:D61</f>
        <v/>
      </c>
      <c r="C62" s="531"/>
      <c r="D62" s="531"/>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31" t="str">
        <f>'Schedule 2H Adjustments'!B62:D62</f>
        <v/>
      </c>
      <c r="C63" s="531"/>
      <c r="D63" s="531"/>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31" t="str">
        <f>'Schedule 2H Adjustments'!B63:D63</f>
        <v/>
      </c>
      <c r="C64" s="531"/>
      <c r="D64" s="531"/>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31" t="str">
        <f>'Schedule 2H Adjustments'!B64:D64</f>
        <v/>
      </c>
      <c r="C65" s="531"/>
      <c r="D65" s="531"/>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31" t="str">
        <f>'Schedule 2H Adjustments'!B65:D65</f>
        <v/>
      </c>
      <c r="C66" s="531"/>
      <c r="D66" s="531"/>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31" t="str">
        <f>'Schedule 2H Adjustments'!B66:D66</f>
        <v/>
      </c>
      <c r="C67" s="531"/>
      <c r="D67" s="531"/>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31" t="str">
        <f>'Schedule 2H Adjustments'!B67:D67</f>
        <v/>
      </c>
      <c r="C68" s="531"/>
      <c r="D68" s="531"/>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31" t="str">
        <f>'Schedule 2H Adjustments'!B68:D68</f>
        <v/>
      </c>
      <c r="C69" s="531"/>
      <c r="D69" s="531"/>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31" t="str">
        <f>'Schedule 2H Adjustments'!B69:D69</f>
        <v/>
      </c>
      <c r="C70" s="531"/>
      <c r="D70" s="531"/>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31" t="str">
        <f>'Schedule 2H Adjustments'!B70:D70</f>
        <v/>
      </c>
      <c r="C71" s="531"/>
      <c r="D71" s="531"/>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31" t="str">
        <f>'Schedule 2H Adjustments'!B71:D71</f>
        <v/>
      </c>
      <c r="C72" s="531"/>
      <c r="D72" s="531"/>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31" t="str">
        <f>'Schedule 2H Adjustments'!B72:D72</f>
        <v/>
      </c>
      <c r="C73" s="531"/>
      <c r="D73" s="531"/>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821</v>
      </c>
      <c r="C9" s="1"/>
      <c r="F9" s="119" t="str">
        <f>'Schedule 2I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2I Adjustments'!B15:D15</f>
        <v/>
      </c>
      <c r="C16" s="531"/>
      <c r="D16" s="531"/>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31" t="str">
        <f>'Schedule 2I Adjustments'!B16:D16</f>
        <v/>
      </c>
      <c r="C17" s="531"/>
      <c r="D17" s="531"/>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31" t="str">
        <f>'Schedule 2I Adjustments'!B17:D17</f>
        <v/>
      </c>
      <c r="C18" s="531"/>
      <c r="D18" s="531"/>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31" t="str">
        <f>'Schedule 2I Adjustments'!B18:D18</f>
        <v/>
      </c>
      <c r="C19" s="531"/>
      <c r="D19" s="531"/>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31" t="str">
        <f>'Schedule 2I Adjustments'!B19:D19</f>
        <v/>
      </c>
      <c r="C20" s="531"/>
      <c r="D20" s="531"/>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31" t="str">
        <f>'Schedule 2I Adjustments'!B20:D20</f>
        <v/>
      </c>
      <c r="C21" s="531"/>
      <c r="D21" s="531"/>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31" t="str">
        <f>'Schedule 2I Adjustments'!B21:D21</f>
        <v/>
      </c>
      <c r="C22" s="531"/>
      <c r="D22" s="531"/>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31" t="str">
        <f>'Schedule 2I Adjustments'!B22:D22</f>
        <v/>
      </c>
      <c r="C23" s="531"/>
      <c r="D23" s="531"/>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31" t="str">
        <f>'Schedule 2I Adjustments'!B23:D23</f>
        <v/>
      </c>
      <c r="C24" s="531"/>
      <c r="D24" s="531"/>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31" t="str">
        <f>'Schedule 2I Adjustments'!B24:D24</f>
        <v/>
      </c>
      <c r="C25" s="531"/>
      <c r="D25" s="531"/>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31" t="str">
        <f>'Schedule 2I Adjustments'!B25:D25</f>
        <v/>
      </c>
      <c r="C26" s="531"/>
      <c r="D26" s="531"/>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31" t="str">
        <f>'Schedule 2I Adjustments'!B26:D26</f>
        <v/>
      </c>
      <c r="C27" s="531"/>
      <c r="D27" s="531"/>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31" t="str">
        <f>'Schedule 2I Adjustments'!B27:D27</f>
        <v/>
      </c>
      <c r="C28" s="531"/>
      <c r="D28" s="531"/>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31" t="str">
        <f>'Schedule 2I Adjustments'!B28:D28</f>
        <v/>
      </c>
      <c r="C29" s="531"/>
      <c r="D29" s="531"/>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31" t="str">
        <f>'Schedule 2I Adjustments'!B29:D29</f>
        <v/>
      </c>
      <c r="C30" s="531"/>
      <c r="D30" s="531"/>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31" t="str">
        <f>'Schedule 2I Adjustments'!B30:D30</f>
        <v/>
      </c>
      <c r="C31" s="531"/>
      <c r="D31" s="531"/>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31" t="str">
        <f>'Schedule 2I Adjustments'!B31:D31</f>
        <v/>
      </c>
      <c r="C32" s="531"/>
      <c r="D32" s="531"/>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31" t="str">
        <f>'Schedule 2I Adjustments'!B32:D32</f>
        <v/>
      </c>
      <c r="C33" s="531"/>
      <c r="D33" s="531"/>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31" t="str">
        <f>'Schedule 2I Adjustments'!B33:D33</f>
        <v/>
      </c>
      <c r="C34" s="531"/>
      <c r="D34" s="531"/>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31" t="str">
        <f>'Schedule 2I Adjustments'!B34:D34</f>
        <v/>
      </c>
      <c r="C35" s="531"/>
      <c r="D35" s="531"/>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31" t="str">
        <f>'Schedule 2I Adjustments'!B35:D35</f>
        <v/>
      </c>
      <c r="C36" s="531"/>
      <c r="D36" s="531"/>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31" t="str">
        <f>'Schedule 2I Adjustments'!B36:D36</f>
        <v/>
      </c>
      <c r="C37" s="531"/>
      <c r="D37" s="531"/>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31" t="str">
        <f>'Schedule 2I Adjustments'!B37:D37</f>
        <v/>
      </c>
      <c r="C38" s="531"/>
      <c r="D38" s="531"/>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31" t="str">
        <f>'Schedule 2I Adjustments'!B38:D38</f>
        <v/>
      </c>
      <c r="C39" s="531"/>
      <c r="D39" s="531"/>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31" t="str">
        <f>'Schedule 2I Adjustments'!B39:D39</f>
        <v/>
      </c>
      <c r="C40" s="531"/>
      <c r="D40" s="531"/>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31" t="str">
        <f>'Schedule 2I Adjustments'!B40:D40</f>
        <v/>
      </c>
      <c r="C41" s="531"/>
      <c r="D41" s="531"/>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31" t="str">
        <f>'Schedule 2I Adjustments'!B41:D41</f>
        <v/>
      </c>
      <c r="C42" s="531"/>
      <c r="D42" s="531"/>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31" t="str">
        <f>'Schedule 2I Adjustments'!B42:D42</f>
        <v/>
      </c>
      <c r="C43" s="531"/>
      <c r="D43" s="531"/>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31" t="str">
        <f>'Schedule 2I Adjustments'!B43:D43</f>
        <v/>
      </c>
      <c r="C44" s="531"/>
      <c r="D44" s="531"/>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31" t="str">
        <f>'Schedule 2I Adjustments'!B44:D44</f>
        <v/>
      </c>
      <c r="C45" s="531"/>
      <c r="D45" s="531"/>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31" t="str">
        <f>'Schedule 2I Adjustments'!B45:D45</f>
        <v/>
      </c>
      <c r="C46" s="531"/>
      <c r="D46" s="531"/>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31" t="str">
        <f>'Schedule 2I Adjustments'!B46:D46</f>
        <v/>
      </c>
      <c r="C47" s="531"/>
      <c r="D47" s="531"/>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31" t="str">
        <f>'Schedule 2I Adjustments'!B47:D47</f>
        <v/>
      </c>
      <c r="C48" s="531"/>
      <c r="D48" s="531"/>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31" t="str">
        <f>'Schedule 2I Adjustments'!B48:D48</f>
        <v/>
      </c>
      <c r="C49" s="531"/>
      <c r="D49" s="531"/>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31" t="str">
        <f>'Schedule 2I Adjustments'!B49:D49</f>
        <v/>
      </c>
      <c r="C50" s="531"/>
      <c r="D50" s="531"/>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31" t="str">
        <f>'Schedule 2I Adjustments'!B50:D50</f>
        <v/>
      </c>
      <c r="C51" s="531"/>
      <c r="D51" s="531"/>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31" t="str">
        <f>'Schedule 2I Adjustments'!B51:D51</f>
        <v/>
      </c>
      <c r="C52" s="531"/>
      <c r="D52" s="531"/>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31" t="str">
        <f>'Schedule 2I Adjustments'!B52:D52</f>
        <v/>
      </c>
      <c r="C53" s="531"/>
      <c r="D53" s="531"/>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31" t="str">
        <f>'Schedule 2I Adjustments'!B53:D53</f>
        <v/>
      </c>
      <c r="C54" s="531"/>
      <c r="D54" s="531"/>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31" t="str">
        <f>'Schedule 2I Adjustments'!B54:D54</f>
        <v/>
      </c>
      <c r="C55" s="531"/>
      <c r="D55" s="531"/>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31" t="str">
        <f>'Schedule 2I Adjustments'!B55:D55</f>
        <v/>
      </c>
      <c r="C56" s="531"/>
      <c r="D56" s="531"/>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31" t="str">
        <f>'Schedule 2I Adjustments'!B56:D56</f>
        <v/>
      </c>
      <c r="C57" s="531"/>
      <c r="D57" s="531"/>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31" t="str">
        <f>'Schedule 2I Adjustments'!B57:D57</f>
        <v/>
      </c>
      <c r="C58" s="531"/>
      <c r="D58" s="531"/>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31" t="str">
        <f>'Schedule 2I Adjustments'!B58:D58</f>
        <v/>
      </c>
      <c r="C59" s="531"/>
      <c r="D59" s="531"/>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31" t="str">
        <f>'Schedule 2I Adjustments'!B59:D59</f>
        <v/>
      </c>
      <c r="C60" s="531"/>
      <c r="D60" s="531"/>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31" t="str">
        <f>'Schedule 2I Adjustments'!B60:D60</f>
        <v/>
      </c>
      <c r="C61" s="531"/>
      <c r="D61" s="531"/>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31" t="str">
        <f>'Schedule 2I Adjustments'!B61:D61</f>
        <v/>
      </c>
      <c r="C62" s="531"/>
      <c r="D62" s="531"/>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31" t="str">
        <f>'Schedule 2I Adjustments'!B62:D62</f>
        <v/>
      </c>
      <c r="C63" s="531"/>
      <c r="D63" s="531"/>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31" t="str">
        <f>'Schedule 2I Adjustments'!B63:D63</f>
        <v/>
      </c>
      <c r="C64" s="531"/>
      <c r="D64" s="531"/>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31" t="str">
        <f>'Schedule 2I Adjustments'!B64:D64</f>
        <v/>
      </c>
      <c r="C65" s="531"/>
      <c r="D65" s="531"/>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31" t="str">
        <f>'Schedule 2I Adjustments'!B65:D65</f>
        <v/>
      </c>
      <c r="C66" s="531"/>
      <c r="D66" s="531"/>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31" t="str">
        <f>'Schedule 2I Adjustments'!B66:D66</f>
        <v/>
      </c>
      <c r="C67" s="531"/>
      <c r="D67" s="531"/>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31" t="str">
        <f>'Schedule 2I Adjustments'!B67:D67</f>
        <v/>
      </c>
      <c r="C68" s="531"/>
      <c r="D68" s="531"/>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31" t="str">
        <f>'Schedule 2I Adjustments'!B68:D68</f>
        <v/>
      </c>
      <c r="C69" s="531"/>
      <c r="D69" s="531"/>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31" t="str">
        <f>'Schedule 2I Adjustments'!B69:D69</f>
        <v/>
      </c>
      <c r="C70" s="531"/>
      <c r="D70" s="531"/>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31" t="str">
        <f>'Schedule 2I Adjustments'!B70:D70</f>
        <v/>
      </c>
      <c r="C71" s="531"/>
      <c r="D71" s="531"/>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31" t="str">
        <f>'Schedule 2I Adjustments'!B71:D71</f>
        <v/>
      </c>
      <c r="C72" s="531"/>
      <c r="D72" s="531"/>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31" t="str">
        <f>'Schedule 2I Adjustments'!B72:D72</f>
        <v/>
      </c>
      <c r="C73" s="531"/>
      <c r="D73" s="531"/>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824</v>
      </c>
      <c r="C9" s="1"/>
      <c r="F9" s="119" t="str">
        <f>'Schedule 2J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2J Adjustments'!B15:D15</f>
        <v/>
      </c>
      <c r="C16" s="531"/>
      <c r="D16" s="531"/>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31" t="str">
        <f>'Schedule 2J Adjustments'!B16:D16</f>
        <v/>
      </c>
      <c r="C17" s="531"/>
      <c r="D17" s="531"/>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31" t="str">
        <f>'Schedule 2J Adjustments'!B17:D17</f>
        <v/>
      </c>
      <c r="C18" s="531"/>
      <c r="D18" s="531"/>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31" t="str">
        <f>'Schedule 2J Adjustments'!B18:D18</f>
        <v/>
      </c>
      <c r="C19" s="531"/>
      <c r="D19" s="531"/>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31" t="str">
        <f>'Schedule 2J Adjustments'!B19:D19</f>
        <v/>
      </c>
      <c r="C20" s="531"/>
      <c r="D20" s="531"/>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31" t="str">
        <f>'Schedule 2J Adjustments'!B20:D20</f>
        <v/>
      </c>
      <c r="C21" s="531"/>
      <c r="D21" s="531"/>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31" t="str">
        <f>'Schedule 2J Adjustments'!B21:D21</f>
        <v/>
      </c>
      <c r="C22" s="531"/>
      <c r="D22" s="531"/>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31" t="str">
        <f>'Schedule 2J Adjustments'!B22:D22</f>
        <v/>
      </c>
      <c r="C23" s="531"/>
      <c r="D23" s="531"/>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31" t="str">
        <f>'Schedule 2J Adjustments'!B23:D23</f>
        <v/>
      </c>
      <c r="C24" s="531"/>
      <c r="D24" s="531"/>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31" t="str">
        <f>'Schedule 2J Adjustments'!B24:D24</f>
        <v/>
      </c>
      <c r="C25" s="531"/>
      <c r="D25" s="531"/>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31" t="str">
        <f>'Schedule 2J Adjustments'!B25:D25</f>
        <v/>
      </c>
      <c r="C26" s="531"/>
      <c r="D26" s="531"/>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31" t="str">
        <f>'Schedule 2J Adjustments'!B26:D26</f>
        <v/>
      </c>
      <c r="C27" s="531"/>
      <c r="D27" s="531"/>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31" t="str">
        <f>'Schedule 2J Adjustments'!B27:D27</f>
        <v/>
      </c>
      <c r="C28" s="531"/>
      <c r="D28" s="531"/>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31" t="str">
        <f>'Schedule 2J Adjustments'!B28:D28</f>
        <v/>
      </c>
      <c r="C29" s="531"/>
      <c r="D29" s="531"/>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31" t="str">
        <f>'Schedule 2J Adjustments'!B29:D29</f>
        <v/>
      </c>
      <c r="C30" s="531"/>
      <c r="D30" s="531"/>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31" t="str">
        <f>'Schedule 2J Adjustments'!B30:D30</f>
        <v/>
      </c>
      <c r="C31" s="531"/>
      <c r="D31" s="531"/>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31" t="str">
        <f>'Schedule 2J Adjustments'!B31:D31</f>
        <v/>
      </c>
      <c r="C32" s="531"/>
      <c r="D32" s="531"/>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31" t="str">
        <f>'Schedule 2J Adjustments'!B32:D32</f>
        <v/>
      </c>
      <c r="C33" s="531"/>
      <c r="D33" s="531"/>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31" t="str">
        <f>'Schedule 2J Adjustments'!B33:D33</f>
        <v/>
      </c>
      <c r="C34" s="531"/>
      <c r="D34" s="531"/>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31" t="str">
        <f>'Schedule 2J Adjustments'!B34:D34</f>
        <v/>
      </c>
      <c r="C35" s="531"/>
      <c r="D35" s="531"/>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31" t="str">
        <f>'Schedule 2J Adjustments'!B35:D35</f>
        <v/>
      </c>
      <c r="C36" s="531"/>
      <c r="D36" s="531"/>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31" t="str">
        <f>'Schedule 2J Adjustments'!B36:D36</f>
        <v/>
      </c>
      <c r="C37" s="531"/>
      <c r="D37" s="531"/>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31" t="str">
        <f>'Schedule 2J Adjustments'!B37:D37</f>
        <v/>
      </c>
      <c r="C38" s="531"/>
      <c r="D38" s="531"/>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31" t="str">
        <f>'Schedule 2J Adjustments'!B38:D38</f>
        <v/>
      </c>
      <c r="C39" s="531"/>
      <c r="D39" s="531"/>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31" t="str">
        <f>'Schedule 2J Adjustments'!B39:D39</f>
        <v/>
      </c>
      <c r="C40" s="531"/>
      <c r="D40" s="531"/>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31" t="str">
        <f>'Schedule 2J Adjustments'!B40:D40</f>
        <v/>
      </c>
      <c r="C41" s="531"/>
      <c r="D41" s="531"/>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31" t="str">
        <f>'Schedule 2J Adjustments'!B41:D41</f>
        <v/>
      </c>
      <c r="C42" s="531"/>
      <c r="D42" s="531"/>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31" t="str">
        <f>'Schedule 2J Adjustments'!B42:D42</f>
        <v/>
      </c>
      <c r="C43" s="531"/>
      <c r="D43" s="531"/>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31" t="str">
        <f>'Schedule 2J Adjustments'!B43:D43</f>
        <v/>
      </c>
      <c r="C44" s="531"/>
      <c r="D44" s="531"/>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31" t="str">
        <f>'Schedule 2J Adjustments'!B44:D44</f>
        <v/>
      </c>
      <c r="C45" s="531"/>
      <c r="D45" s="531"/>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31" t="str">
        <f>'Schedule 2J Adjustments'!B45:D45</f>
        <v/>
      </c>
      <c r="C46" s="531"/>
      <c r="D46" s="531"/>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31" t="str">
        <f>'Schedule 2J Adjustments'!B46:D46</f>
        <v/>
      </c>
      <c r="C47" s="531"/>
      <c r="D47" s="531"/>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31" t="str">
        <f>'Schedule 2J Adjustments'!B47:D47</f>
        <v/>
      </c>
      <c r="C48" s="531"/>
      <c r="D48" s="531"/>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31" t="str">
        <f>'Schedule 2J Adjustments'!B48:D48</f>
        <v/>
      </c>
      <c r="C49" s="531"/>
      <c r="D49" s="531"/>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31" t="str">
        <f>'Schedule 2J Adjustments'!B49:D49</f>
        <v/>
      </c>
      <c r="C50" s="531"/>
      <c r="D50" s="531"/>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31" t="str">
        <f>'Schedule 2J Adjustments'!B50:D50</f>
        <v/>
      </c>
      <c r="C51" s="531"/>
      <c r="D51" s="531"/>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31" t="str">
        <f>'Schedule 2J Adjustments'!B51:D51</f>
        <v/>
      </c>
      <c r="C52" s="531"/>
      <c r="D52" s="531"/>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31" t="str">
        <f>'Schedule 2J Adjustments'!B52:D52</f>
        <v/>
      </c>
      <c r="C53" s="531"/>
      <c r="D53" s="531"/>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31" t="str">
        <f>'Schedule 2J Adjustments'!B53:D53</f>
        <v/>
      </c>
      <c r="C54" s="531"/>
      <c r="D54" s="531"/>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31" t="str">
        <f>'Schedule 2J Adjustments'!B54:D54</f>
        <v/>
      </c>
      <c r="C55" s="531"/>
      <c r="D55" s="531"/>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31" t="str">
        <f>'Schedule 2J Adjustments'!B55:D55</f>
        <v/>
      </c>
      <c r="C56" s="531"/>
      <c r="D56" s="531"/>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31" t="str">
        <f>'Schedule 2J Adjustments'!B56:D56</f>
        <v/>
      </c>
      <c r="C57" s="531"/>
      <c r="D57" s="531"/>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31" t="str">
        <f>'Schedule 2J Adjustments'!B57:D57</f>
        <v/>
      </c>
      <c r="C58" s="531"/>
      <c r="D58" s="531"/>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31" t="str">
        <f>'Schedule 2J Adjustments'!B58:D58</f>
        <v/>
      </c>
      <c r="C59" s="531"/>
      <c r="D59" s="531"/>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31" t="str">
        <f>'Schedule 2J Adjustments'!B59:D59</f>
        <v/>
      </c>
      <c r="C60" s="531"/>
      <c r="D60" s="531"/>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31" t="str">
        <f>'Schedule 2J Adjustments'!B60:D60</f>
        <v/>
      </c>
      <c r="C61" s="531"/>
      <c r="D61" s="531"/>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31" t="str">
        <f>'Schedule 2J Adjustments'!B61:D61</f>
        <v/>
      </c>
      <c r="C62" s="531"/>
      <c r="D62" s="531"/>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31" t="str">
        <f>'Schedule 2J Adjustments'!B62:D62</f>
        <v/>
      </c>
      <c r="C63" s="531"/>
      <c r="D63" s="531"/>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31" t="str">
        <f>'Schedule 2J Adjustments'!B63:D63</f>
        <v/>
      </c>
      <c r="C64" s="531"/>
      <c r="D64" s="531"/>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31" t="str">
        <f>'Schedule 2J Adjustments'!B64:D64</f>
        <v/>
      </c>
      <c r="C65" s="531"/>
      <c r="D65" s="531"/>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31" t="str">
        <f>'Schedule 2J Adjustments'!B65:D65</f>
        <v/>
      </c>
      <c r="C66" s="531"/>
      <c r="D66" s="531"/>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31" t="str">
        <f>'Schedule 2J Adjustments'!B66:D66</f>
        <v/>
      </c>
      <c r="C67" s="531"/>
      <c r="D67" s="531"/>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31" t="str">
        <f>'Schedule 2J Adjustments'!B67:D67</f>
        <v/>
      </c>
      <c r="C68" s="531"/>
      <c r="D68" s="531"/>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31" t="str">
        <f>'Schedule 2J Adjustments'!B68:D68</f>
        <v/>
      </c>
      <c r="C69" s="531"/>
      <c r="D69" s="531"/>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31" t="str">
        <f>'Schedule 2J Adjustments'!B69:D69</f>
        <v/>
      </c>
      <c r="C70" s="531"/>
      <c r="D70" s="531"/>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31" t="str">
        <f>'Schedule 2J Adjustments'!B70:D70</f>
        <v/>
      </c>
      <c r="C71" s="531"/>
      <c r="D71" s="531"/>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31" t="str">
        <f>'Schedule 2J Adjustments'!B71:D71</f>
        <v/>
      </c>
      <c r="C72" s="531"/>
      <c r="D72" s="531"/>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31" t="str">
        <f>'Schedule 2J Adjustments'!B72:D72</f>
        <v/>
      </c>
      <c r="C73" s="531"/>
      <c r="D73" s="531"/>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827</v>
      </c>
      <c r="C9" s="1"/>
      <c r="F9" s="119" t="str">
        <f>'Schedule 2K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2K Adjustments'!B15:D15</f>
        <v/>
      </c>
      <c r="C16" s="531"/>
      <c r="D16" s="531"/>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31" t="str">
        <f>'Schedule 2K Adjustments'!B16:D16</f>
        <v/>
      </c>
      <c r="C17" s="531"/>
      <c r="D17" s="531"/>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31" t="str">
        <f>'Schedule 2K Adjustments'!B17:D17</f>
        <v/>
      </c>
      <c r="C18" s="531"/>
      <c r="D18" s="531"/>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31" t="str">
        <f>'Schedule 2K Adjustments'!B18:D18</f>
        <v/>
      </c>
      <c r="C19" s="531"/>
      <c r="D19" s="531"/>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31" t="str">
        <f>'Schedule 2K Adjustments'!B19:D19</f>
        <v/>
      </c>
      <c r="C20" s="531"/>
      <c r="D20" s="531"/>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31" t="str">
        <f>'Schedule 2K Adjustments'!B20:D20</f>
        <v/>
      </c>
      <c r="C21" s="531"/>
      <c r="D21" s="531"/>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31" t="str">
        <f>'Schedule 2K Adjustments'!B21:D21</f>
        <v/>
      </c>
      <c r="C22" s="531"/>
      <c r="D22" s="531"/>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31" t="str">
        <f>'Schedule 2K Adjustments'!B22:D22</f>
        <v/>
      </c>
      <c r="C23" s="531"/>
      <c r="D23" s="531"/>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31" t="str">
        <f>'Schedule 2K Adjustments'!B23:D23</f>
        <v/>
      </c>
      <c r="C24" s="531"/>
      <c r="D24" s="531"/>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31" t="str">
        <f>'Schedule 2K Adjustments'!B24:D24</f>
        <v/>
      </c>
      <c r="C25" s="531"/>
      <c r="D25" s="531"/>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31" t="str">
        <f>'Schedule 2K Adjustments'!B25:D25</f>
        <v/>
      </c>
      <c r="C26" s="531"/>
      <c r="D26" s="531"/>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31" t="str">
        <f>'Schedule 2K Adjustments'!B26:D26</f>
        <v/>
      </c>
      <c r="C27" s="531"/>
      <c r="D27" s="531"/>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31" t="str">
        <f>'Schedule 2K Adjustments'!B27:D27</f>
        <v/>
      </c>
      <c r="C28" s="531"/>
      <c r="D28" s="531"/>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31" t="str">
        <f>'Schedule 2K Adjustments'!B28:D28</f>
        <v/>
      </c>
      <c r="C29" s="531"/>
      <c r="D29" s="531"/>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31" t="str">
        <f>'Schedule 2K Adjustments'!B29:D29</f>
        <v/>
      </c>
      <c r="C30" s="531"/>
      <c r="D30" s="531"/>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31" t="str">
        <f>'Schedule 2K Adjustments'!B30:D30</f>
        <v/>
      </c>
      <c r="C31" s="531"/>
      <c r="D31" s="531"/>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31" t="str">
        <f>'Schedule 2K Adjustments'!B31:D31</f>
        <v/>
      </c>
      <c r="C32" s="531"/>
      <c r="D32" s="531"/>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31" t="str">
        <f>'Schedule 2K Adjustments'!B32:D32</f>
        <v/>
      </c>
      <c r="C33" s="531"/>
      <c r="D33" s="531"/>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31" t="str">
        <f>'Schedule 2K Adjustments'!B33:D33</f>
        <v/>
      </c>
      <c r="C34" s="531"/>
      <c r="D34" s="531"/>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31" t="str">
        <f>'Schedule 2K Adjustments'!B34:D34</f>
        <v/>
      </c>
      <c r="C35" s="531"/>
      <c r="D35" s="531"/>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31" t="str">
        <f>'Schedule 2K Adjustments'!B35:D35</f>
        <v/>
      </c>
      <c r="C36" s="531"/>
      <c r="D36" s="531"/>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31" t="str">
        <f>'Schedule 2K Adjustments'!B36:D36</f>
        <v/>
      </c>
      <c r="C37" s="531"/>
      <c r="D37" s="531"/>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31" t="str">
        <f>'Schedule 2K Adjustments'!B37:D37</f>
        <v/>
      </c>
      <c r="C38" s="531"/>
      <c r="D38" s="531"/>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31" t="str">
        <f>'Schedule 2K Adjustments'!B38:D38</f>
        <v/>
      </c>
      <c r="C39" s="531"/>
      <c r="D39" s="531"/>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31" t="str">
        <f>'Schedule 2K Adjustments'!B39:D39</f>
        <v/>
      </c>
      <c r="C40" s="531"/>
      <c r="D40" s="531"/>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31" t="str">
        <f>'Schedule 2K Adjustments'!B40:D40</f>
        <v/>
      </c>
      <c r="C41" s="531"/>
      <c r="D41" s="531"/>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31" t="str">
        <f>'Schedule 2K Adjustments'!B41:D41</f>
        <v/>
      </c>
      <c r="C42" s="531"/>
      <c r="D42" s="531"/>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31" t="str">
        <f>'Schedule 2K Adjustments'!B42:D42</f>
        <v/>
      </c>
      <c r="C43" s="531"/>
      <c r="D43" s="531"/>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31" t="str">
        <f>'Schedule 2K Adjustments'!B43:D43</f>
        <v/>
      </c>
      <c r="C44" s="531"/>
      <c r="D44" s="531"/>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31" t="str">
        <f>'Schedule 2K Adjustments'!B44:D44</f>
        <v/>
      </c>
      <c r="C45" s="531"/>
      <c r="D45" s="531"/>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31" t="str">
        <f>'Schedule 2K Adjustments'!B45:D45</f>
        <v/>
      </c>
      <c r="C46" s="531"/>
      <c r="D46" s="531"/>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31" t="str">
        <f>'Schedule 2K Adjustments'!B46:D46</f>
        <v/>
      </c>
      <c r="C47" s="531"/>
      <c r="D47" s="531"/>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31" t="str">
        <f>'Schedule 2K Adjustments'!B47:D47</f>
        <v/>
      </c>
      <c r="C48" s="531"/>
      <c r="D48" s="531"/>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31" t="str">
        <f>'Schedule 2K Adjustments'!B48:D48</f>
        <v/>
      </c>
      <c r="C49" s="531"/>
      <c r="D49" s="531"/>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31" t="str">
        <f>'Schedule 2K Adjustments'!B49:D49</f>
        <v/>
      </c>
      <c r="C50" s="531"/>
      <c r="D50" s="531"/>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31" t="str">
        <f>'Schedule 2K Adjustments'!B50:D50</f>
        <v/>
      </c>
      <c r="C51" s="531"/>
      <c r="D51" s="531"/>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31" t="str">
        <f>'Schedule 2K Adjustments'!B51:D51</f>
        <v/>
      </c>
      <c r="C52" s="531"/>
      <c r="D52" s="531"/>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31" t="str">
        <f>'Schedule 2K Adjustments'!B52:D52</f>
        <v/>
      </c>
      <c r="C53" s="531"/>
      <c r="D53" s="531"/>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31" t="str">
        <f>'Schedule 2K Adjustments'!B53:D53</f>
        <v/>
      </c>
      <c r="C54" s="531"/>
      <c r="D54" s="531"/>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31" t="str">
        <f>'Schedule 2K Adjustments'!B54:D54</f>
        <v/>
      </c>
      <c r="C55" s="531"/>
      <c r="D55" s="531"/>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31" t="str">
        <f>'Schedule 2K Adjustments'!B55:D55</f>
        <v/>
      </c>
      <c r="C56" s="531"/>
      <c r="D56" s="531"/>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31" t="str">
        <f>'Schedule 2K Adjustments'!B56:D56</f>
        <v/>
      </c>
      <c r="C57" s="531"/>
      <c r="D57" s="531"/>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31" t="str">
        <f>'Schedule 2K Adjustments'!B57:D57</f>
        <v/>
      </c>
      <c r="C58" s="531"/>
      <c r="D58" s="531"/>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31" t="str">
        <f>'Schedule 2K Adjustments'!B58:D58</f>
        <v/>
      </c>
      <c r="C59" s="531"/>
      <c r="D59" s="531"/>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31" t="str">
        <f>'Schedule 2K Adjustments'!B59:D59</f>
        <v/>
      </c>
      <c r="C60" s="531"/>
      <c r="D60" s="531"/>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31" t="str">
        <f>'Schedule 2K Adjustments'!B60:D60</f>
        <v/>
      </c>
      <c r="C61" s="531"/>
      <c r="D61" s="531"/>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31" t="str">
        <f>'Schedule 2K Adjustments'!B61:D61</f>
        <v/>
      </c>
      <c r="C62" s="531"/>
      <c r="D62" s="531"/>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31" t="str">
        <f>'Schedule 2K Adjustments'!B62:D62</f>
        <v/>
      </c>
      <c r="C63" s="531"/>
      <c r="D63" s="531"/>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31" t="str">
        <f>'Schedule 2K Adjustments'!B63:D63</f>
        <v/>
      </c>
      <c r="C64" s="531"/>
      <c r="D64" s="531"/>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31" t="str">
        <f>'Schedule 2K Adjustments'!B64:D64</f>
        <v/>
      </c>
      <c r="C65" s="531"/>
      <c r="D65" s="531"/>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31" t="str">
        <f>'Schedule 2K Adjustments'!B65:D65</f>
        <v/>
      </c>
      <c r="C66" s="531"/>
      <c r="D66" s="531"/>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31" t="str">
        <f>'Schedule 2K Adjustments'!B66:D66</f>
        <v/>
      </c>
      <c r="C67" s="531"/>
      <c r="D67" s="531"/>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31" t="str">
        <f>'Schedule 2K Adjustments'!B67:D67</f>
        <v/>
      </c>
      <c r="C68" s="531"/>
      <c r="D68" s="531"/>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31" t="str">
        <f>'Schedule 2K Adjustments'!B68:D68</f>
        <v/>
      </c>
      <c r="C69" s="531"/>
      <c r="D69" s="531"/>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31" t="str">
        <f>'Schedule 2K Adjustments'!B69:D69</f>
        <v/>
      </c>
      <c r="C70" s="531"/>
      <c r="D70" s="531"/>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31" t="str">
        <f>'Schedule 2K Adjustments'!B70:D70</f>
        <v/>
      </c>
      <c r="C71" s="531"/>
      <c r="D71" s="531"/>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31" t="str">
        <f>'Schedule 2K Adjustments'!B71:D71</f>
        <v/>
      </c>
      <c r="C72" s="531"/>
      <c r="D72" s="531"/>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31" t="str">
        <f>'Schedule 2K Adjustments'!B72:D72</f>
        <v/>
      </c>
      <c r="C73" s="531"/>
      <c r="D73" s="531"/>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830</v>
      </c>
      <c r="C9" s="1"/>
      <c r="F9" s="119" t="str">
        <f>'Schedule 2L Adjustments'!F8</f>
        <v>No</v>
      </c>
      <c r="G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2L Adjustments'!B15:D15</f>
        <v/>
      </c>
      <c r="C16" s="531"/>
      <c r="D16" s="531"/>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31" t="str">
        <f>'Schedule 2L Adjustments'!B16:D16</f>
        <v/>
      </c>
      <c r="C17" s="531"/>
      <c r="D17" s="531"/>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31" t="str">
        <f>'Schedule 2L Adjustments'!B17:D17</f>
        <v/>
      </c>
      <c r="C18" s="531"/>
      <c r="D18" s="531"/>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31" t="str">
        <f>'Schedule 2L Adjustments'!B18:D18</f>
        <v/>
      </c>
      <c r="C19" s="531"/>
      <c r="D19" s="531"/>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31" t="str">
        <f>'Schedule 2L Adjustments'!B19:D19</f>
        <v/>
      </c>
      <c r="C20" s="531"/>
      <c r="D20" s="531"/>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31" t="str">
        <f>'Schedule 2L Adjustments'!B20:D20</f>
        <v/>
      </c>
      <c r="C21" s="531"/>
      <c r="D21" s="531"/>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31" t="str">
        <f>'Schedule 2L Adjustments'!B21:D21</f>
        <v/>
      </c>
      <c r="C22" s="531"/>
      <c r="D22" s="531"/>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31" t="str">
        <f>'Schedule 2L Adjustments'!B22:D22</f>
        <v/>
      </c>
      <c r="C23" s="531"/>
      <c r="D23" s="531"/>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31" t="str">
        <f>'Schedule 2L Adjustments'!B23:D23</f>
        <v/>
      </c>
      <c r="C24" s="531"/>
      <c r="D24" s="531"/>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31" t="str">
        <f>'Schedule 2L Adjustments'!B24:D24</f>
        <v/>
      </c>
      <c r="C25" s="531"/>
      <c r="D25" s="531"/>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31" t="str">
        <f>'Schedule 2L Adjustments'!B25:D25</f>
        <v/>
      </c>
      <c r="C26" s="531"/>
      <c r="D26" s="531"/>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31" t="str">
        <f>'Schedule 2L Adjustments'!B26:D26</f>
        <v/>
      </c>
      <c r="C27" s="531"/>
      <c r="D27" s="531"/>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31" t="str">
        <f>'Schedule 2L Adjustments'!B27:D27</f>
        <v/>
      </c>
      <c r="C28" s="531"/>
      <c r="D28" s="531"/>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31" t="str">
        <f>'Schedule 2L Adjustments'!B28:D28</f>
        <v/>
      </c>
      <c r="C29" s="531"/>
      <c r="D29" s="531"/>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31" t="str">
        <f>'Schedule 2L Adjustments'!B29:D29</f>
        <v/>
      </c>
      <c r="C30" s="531"/>
      <c r="D30" s="531"/>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31" t="str">
        <f>'Schedule 2L Adjustments'!B30:D30</f>
        <v/>
      </c>
      <c r="C31" s="531"/>
      <c r="D31" s="531"/>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31" t="str">
        <f>'Schedule 2L Adjustments'!B31:D31</f>
        <v/>
      </c>
      <c r="C32" s="531"/>
      <c r="D32" s="531"/>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31" t="str">
        <f>'Schedule 2L Adjustments'!B32:D32</f>
        <v/>
      </c>
      <c r="C33" s="531"/>
      <c r="D33" s="531"/>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31" t="str">
        <f>'Schedule 2L Adjustments'!B33:D33</f>
        <v/>
      </c>
      <c r="C34" s="531"/>
      <c r="D34" s="531"/>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31" t="str">
        <f>'Schedule 2L Adjustments'!B34:D34</f>
        <v/>
      </c>
      <c r="C35" s="531"/>
      <c r="D35" s="531"/>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31" t="str">
        <f>'Schedule 2L Adjustments'!B35:D35</f>
        <v/>
      </c>
      <c r="C36" s="531"/>
      <c r="D36" s="531"/>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31" t="str">
        <f>'Schedule 2L Adjustments'!B36:D36</f>
        <v/>
      </c>
      <c r="C37" s="531"/>
      <c r="D37" s="531"/>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31" t="str">
        <f>'Schedule 2L Adjustments'!B37:D37</f>
        <v/>
      </c>
      <c r="C38" s="531"/>
      <c r="D38" s="531"/>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31" t="str">
        <f>'Schedule 2L Adjustments'!B38:D38</f>
        <v/>
      </c>
      <c r="C39" s="531"/>
      <c r="D39" s="531"/>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31" t="str">
        <f>'Schedule 2L Adjustments'!B39:D39</f>
        <v/>
      </c>
      <c r="C40" s="531"/>
      <c r="D40" s="531"/>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31" t="str">
        <f>'Schedule 2L Adjustments'!B40:D40</f>
        <v/>
      </c>
      <c r="C41" s="531"/>
      <c r="D41" s="531"/>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31" t="str">
        <f>'Schedule 2L Adjustments'!B41:D41</f>
        <v/>
      </c>
      <c r="C42" s="531"/>
      <c r="D42" s="531"/>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31" t="str">
        <f>'Schedule 2L Adjustments'!B42:D42</f>
        <v/>
      </c>
      <c r="C43" s="531"/>
      <c r="D43" s="531"/>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31" t="str">
        <f>'Schedule 2L Adjustments'!B43:D43</f>
        <v/>
      </c>
      <c r="C44" s="531"/>
      <c r="D44" s="531"/>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31" t="str">
        <f>'Schedule 2L Adjustments'!B44:D44</f>
        <v/>
      </c>
      <c r="C45" s="531"/>
      <c r="D45" s="531"/>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31" t="str">
        <f>'Schedule 2L Adjustments'!B45:D45</f>
        <v/>
      </c>
      <c r="C46" s="531"/>
      <c r="D46" s="531"/>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31" t="str">
        <f>'Schedule 2L Adjustments'!B46:D46</f>
        <v/>
      </c>
      <c r="C47" s="531"/>
      <c r="D47" s="531"/>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31" t="str">
        <f>'Schedule 2L Adjustments'!B47:D47</f>
        <v/>
      </c>
      <c r="C48" s="531"/>
      <c r="D48" s="531"/>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31" t="str">
        <f>'Schedule 2L Adjustments'!B48:D48</f>
        <v/>
      </c>
      <c r="C49" s="531"/>
      <c r="D49" s="531"/>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31" t="str">
        <f>'Schedule 2L Adjustments'!B49:D49</f>
        <v/>
      </c>
      <c r="C50" s="531"/>
      <c r="D50" s="531"/>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31" t="str">
        <f>'Schedule 2L Adjustments'!B50:D50</f>
        <v/>
      </c>
      <c r="C51" s="531"/>
      <c r="D51" s="531"/>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31" t="str">
        <f>'Schedule 2L Adjustments'!B51:D51</f>
        <v/>
      </c>
      <c r="C52" s="531"/>
      <c r="D52" s="531"/>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31" t="str">
        <f>'Schedule 2L Adjustments'!B52:D52</f>
        <v/>
      </c>
      <c r="C53" s="531"/>
      <c r="D53" s="531"/>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31" t="str">
        <f>'Schedule 2L Adjustments'!B53:D53</f>
        <v/>
      </c>
      <c r="C54" s="531"/>
      <c r="D54" s="531"/>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31" t="str">
        <f>'Schedule 2L Adjustments'!B54:D54</f>
        <v/>
      </c>
      <c r="C55" s="531"/>
      <c r="D55" s="531"/>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31" t="str">
        <f>'Schedule 2L Adjustments'!B55:D55</f>
        <v/>
      </c>
      <c r="C56" s="531"/>
      <c r="D56" s="531"/>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31" t="str">
        <f>'Schedule 2L Adjustments'!B56:D56</f>
        <v/>
      </c>
      <c r="C57" s="531"/>
      <c r="D57" s="531"/>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31" t="str">
        <f>'Schedule 2L Adjustments'!B57:D57</f>
        <v/>
      </c>
      <c r="C58" s="531"/>
      <c r="D58" s="531"/>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31" t="str">
        <f>'Schedule 2L Adjustments'!B58:D58</f>
        <v/>
      </c>
      <c r="C59" s="531"/>
      <c r="D59" s="531"/>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31" t="str">
        <f>'Schedule 2L Adjustments'!B59:D59</f>
        <v/>
      </c>
      <c r="C60" s="531"/>
      <c r="D60" s="531"/>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31" t="str">
        <f>'Schedule 2L Adjustments'!B60:D60</f>
        <v/>
      </c>
      <c r="C61" s="531"/>
      <c r="D61" s="531"/>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31" t="str">
        <f>'Schedule 2L Adjustments'!B61:D61</f>
        <v/>
      </c>
      <c r="C62" s="531"/>
      <c r="D62" s="531"/>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31" t="str">
        <f>'Schedule 2L Adjustments'!B62:D62</f>
        <v/>
      </c>
      <c r="C63" s="531"/>
      <c r="D63" s="531"/>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31" t="str">
        <f>'Schedule 2L Adjustments'!B63:D63</f>
        <v/>
      </c>
      <c r="C64" s="531"/>
      <c r="D64" s="531"/>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31" t="str">
        <f>'Schedule 2L Adjustments'!B64:D64</f>
        <v/>
      </c>
      <c r="C65" s="531"/>
      <c r="D65" s="531"/>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31" t="str">
        <f>'Schedule 2L Adjustments'!B65:D65</f>
        <v/>
      </c>
      <c r="C66" s="531"/>
      <c r="D66" s="531"/>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31" t="str">
        <f>'Schedule 2L Adjustments'!B66:D66</f>
        <v/>
      </c>
      <c r="C67" s="531"/>
      <c r="D67" s="531"/>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31" t="str">
        <f>'Schedule 2L Adjustments'!B67:D67</f>
        <v/>
      </c>
      <c r="C68" s="531"/>
      <c r="D68" s="531"/>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31" t="str">
        <f>'Schedule 2L Adjustments'!B68:D68</f>
        <v/>
      </c>
      <c r="C69" s="531"/>
      <c r="D69" s="531"/>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31" t="str">
        <f>'Schedule 2L Adjustments'!B69:D69</f>
        <v/>
      </c>
      <c r="C70" s="531"/>
      <c r="D70" s="531"/>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31" t="str">
        <f>'Schedule 2L Adjustments'!B70:D70</f>
        <v/>
      </c>
      <c r="C71" s="531"/>
      <c r="D71" s="531"/>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31" t="str">
        <f>'Schedule 2L Adjustments'!B71:D71</f>
        <v/>
      </c>
      <c r="C72" s="531"/>
      <c r="D72" s="531"/>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31" t="str">
        <f>'Schedule 2L Adjustments'!B72:D72</f>
        <v/>
      </c>
      <c r="C73" s="531"/>
      <c r="D73" s="531"/>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855</v>
      </c>
      <c r="B3" s="5"/>
      <c r="C3" s="5"/>
      <c r="D3" s="5"/>
      <c r="E3" s="5"/>
      <c r="F3" s="5"/>
      <c r="G3" s="5"/>
      <c r="H3" s="5"/>
    </row>
    <row r="4" spans="1:15" ht="25" customHeight="1" x14ac:dyDescent="0.5">
      <c r="A4" s="242" t="s">
        <v>833</v>
      </c>
      <c r="B4" s="361"/>
      <c r="C4" s="361"/>
      <c r="D4" s="361"/>
      <c r="E4" s="361"/>
      <c r="F4" s="361"/>
      <c r="G4" s="361"/>
      <c r="H4" s="361"/>
    </row>
    <row r="5" spans="1:15" ht="21" x14ac:dyDescent="0.5">
      <c r="A5" s="243" t="str">
        <f>Results!A4</f>
        <v>Final Adjustments</v>
      </c>
    </row>
    <row r="6" spans="1:15" x14ac:dyDescent="0.35">
      <c r="A6" s="1" t="s">
        <v>772</v>
      </c>
      <c r="C6" s="421" t="str">
        <f>Results!$C$6</f>
        <v>Mind Springs Health</v>
      </c>
    </row>
    <row r="7" spans="1:15" x14ac:dyDescent="0.35">
      <c r="A7" s="1" t="s">
        <v>0</v>
      </c>
      <c r="C7" s="35">
        <f>Results!$C$7</f>
        <v>45473</v>
      </c>
      <c r="F7" s="35"/>
    </row>
    <row r="9" spans="1:15" x14ac:dyDescent="0.35">
      <c r="A9" s="1" t="s">
        <v>252</v>
      </c>
      <c r="B9" s="1" t="s">
        <v>834</v>
      </c>
      <c r="C9" s="1"/>
      <c r="J9" s="119" t="str">
        <f>'Schedule 2M Adjustments'!I8</f>
        <v>No</v>
      </c>
      <c r="K9" s="41" t="s">
        <v>258</v>
      </c>
    </row>
    <row r="11" spans="1:15" x14ac:dyDescent="0.35">
      <c r="A11" s="1" t="s">
        <v>253</v>
      </c>
      <c r="B11" s="1" t="s">
        <v>255</v>
      </c>
      <c r="C11" s="1"/>
    </row>
    <row r="12" spans="1:15" x14ac:dyDescent="0.35">
      <c r="B12" s="318" t="s">
        <v>597</v>
      </c>
    </row>
    <row r="13" spans="1:15" x14ac:dyDescent="0.35">
      <c r="B13" s="526">
        <v>1</v>
      </c>
      <c r="C13" s="526"/>
      <c r="D13" s="526"/>
      <c r="F13" s="23">
        <v>2</v>
      </c>
      <c r="G13" s="23">
        <v>3</v>
      </c>
      <c r="H13" s="23">
        <v>4</v>
      </c>
      <c r="J13" s="23">
        <v>5</v>
      </c>
      <c r="K13" s="23">
        <v>6</v>
      </c>
      <c r="L13" s="23">
        <v>7</v>
      </c>
      <c r="N13" s="23">
        <v>8</v>
      </c>
      <c r="O13" s="23">
        <v>9</v>
      </c>
    </row>
    <row r="14" spans="1:15" ht="15" customHeight="1" x14ac:dyDescent="0.35">
      <c r="B14" s="535" t="s">
        <v>611</v>
      </c>
      <c r="C14" s="536"/>
      <c r="D14" s="537"/>
      <c r="F14" s="529" t="s">
        <v>260</v>
      </c>
      <c r="G14" s="534"/>
      <c r="H14" s="530"/>
      <c r="J14" s="529" t="s">
        <v>261</v>
      </c>
      <c r="K14" s="534"/>
      <c r="L14" s="530"/>
      <c r="N14" s="532" t="s">
        <v>691</v>
      </c>
      <c r="O14" s="532" t="s">
        <v>692</v>
      </c>
    </row>
    <row r="15" spans="1:15" ht="55.5" customHeight="1" x14ac:dyDescent="0.35">
      <c r="B15" s="538"/>
      <c r="C15" s="539"/>
      <c r="D15" s="540"/>
      <c r="E15" s="48"/>
      <c r="F15" s="10" t="s">
        <v>688</v>
      </c>
      <c r="G15" s="151" t="s">
        <v>689</v>
      </c>
      <c r="H15" s="151" t="s">
        <v>690</v>
      </c>
      <c r="I15" s="100"/>
      <c r="J15" s="10" t="s">
        <v>688</v>
      </c>
      <c r="K15" s="151" t="s">
        <v>689</v>
      </c>
      <c r="L15" s="151" t="s">
        <v>690</v>
      </c>
      <c r="M15" s="48"/>
      <c r="N15" s="533"/>
      <c r="O15" s="533"/>
    </row>
    <row r="16" spans="1:15" x14ac:dyDescent="0.35">
      <c r="A16" s="24">
        <v>1</v>
      </c>
      <c r="B16" s="531" t="str">
        <f>'Schedule 2M Adjustments'!B15:D15</f>
        <v/>
      </c>
      <c r="C16" s="531"/>
      <c r="D16" s="531"/>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31" t="str">
        <f>'Schedule 2M Adjustments'!B16:D16</f>
        <v/>
      </c>
      <c r="C17" s="531"/>
      <c r="D17" s="531"/>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31" t="str">
        <f>'Schedule 2M Adjustments'!B17:D17</f>
        <v/>
      </c>
      <c r="C18" s="531"/>
      <c r="D18" s="531"/>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31" t="str">
        <f>'Schedule 2M Adjustments'!B18:D18</f>
        <v/>
      </c>
      <c r="C19" s="531"/>
      <c r="D19" s="531"/>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31" t="str">
        <f>'Schedule 2M Adjustments'!B19:D19</f>
        <v/>
      </c>
      <c r="C20" s="531"/>
      <c r="D20" s="531"/>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31" t="str">
        <f>'Schedule 2M Adjustments'!B20:D20</f>
        <v/>
      </c>
      <c r="C21" s="531"/>
      <c r="D21" s="531"/>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31" t="str">
        <f>'Schedule 2M Adjustments'!B21:D21</f>
        <v/>
      </c>
      <c r="C22" s="531"/>
      <c r="D22" s="531"/>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31" t="str">
        <f>'Schedule 2M Adjustments'!B22:D22</f>
        <v/>
      </c>
      <c r="C23" s="531"/>
      <c r="D23" s="531"/>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31" t="str">
        <f>'Schedule 2M Adjustments'!B23:D23</f>
        <v/>
      </c>
      <c r="C24" s="531"/>
      <c r="D24" s="531"/>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31" t="str">
        <f>'Schedule 2M Adjustments'!B24:D24</f>
        <v/>
      </c>
      <c r="C25" s="531"/>
      <c r="D25" s="531"/>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31" t="str">
        <f>'Schedule 2M Adjustments'!B25:D25</f>
        <v/>
      </c>
      <c r="C26" s="531"/>
      <c r="D26" s="531"/>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31" t="str">
        <f>'Schedule 2M Adjustments'!B26:D26</f>
        <v/>
      </c>
      <c r="C27" s="531"/>
      <c r="D27" s="531"/>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31" t="str">
        <f>'Schedule 2M Adjustments'!B27:D27</f>
        <v/>
      </c>
      <c r="C28" s="531"/>
      <c r="D28" s="531"/>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31" t="str">
        <f>'Schedule 2M Adjustments'!B28:D28</f>
        <v/>
      </c>
      <c r="C29" s="531"/>
      <c r="D29" s="531"/>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31" t="str">
        <f>'Schedule 2M Adjustments'!B29:D29</f>
        <v/>
      </c>
      <c r="C30" s="531"/>
      <c r="D30" s="531"/>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31" t="str">
        <f>'Schedule 2M Adjustments'!B30:D30</f>
        <v/>
      </c>
      <c r="C31" s="531"/>
      <c r="D31" s="531"/>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31" t="str">
        <f>'Schedule 2M Adjustments'!B31:D31</f>
        <v/>
      </c>
      <c r="C32" s="531"/>
      <c r="D32" s="531"/>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31" t="str">
        <f>'Schedule 2M Adjustments'!B32:D32</f>
        <v/>
      </c>
      <c r="C33" s="531"/>
      <c r="D33" s="531"/>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31" t="str">
        <f>'Schedule 2M Adjustments'!B33:D33</f>
        <v/>
      </c>
      <c r="C34" s="531"/>
      <c r="D34" s="531"/>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31" t="str">
        <f>'Schedule 2M Adjustments'!B34:D34</f>
        <v/>
      </c>
      <c r="C35" s="531"/>
      <c r="D35" s="531"/>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31" t="str">
        <f>'Schedule 2M Adjustments'!B35:D35</f>
        <v/>
      </c>
      <c r="C36" s="531"/>
      <c r="D36" s="531"/>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31" t="str">
        <f>'Schedule 2M Adjustments'!B36:D36</f>
        <v/>
      </c>
      <c r="C37" s="531"/>
      <c r="D37" s="531"/>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31" t="str">
        <f>'Schedule 2M Adjustments'!B37:D37</f>
        <v/>
      </c>
      <c r="C38" s="531"/>
      <c r="D38" s="531"/>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31" t="str">
        <f>'Schedule 2M Adjustments'!B38:D38</f>
        <v/>
      </c>
      <c r="C39" s="531"/>
      <c r="D39" s="531"/>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31" t="str">
        <f>'Schedule 2M Adjustments'!B39:D39</f>
        <v/>
      </c>
      <c r="C40" s="531"/>
      <c r="D40" s="531"/>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31" t="str">
        <f>'Schedule 2M Adjustments'!B40:D40</f>
        <v/>
      </c>
      <c r="C41" s="531"/>
      <c r="D41" s="531"/>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31" t="str">
        <f>'Schedule 2M Adjustments'!B41:D41</f>
        <v/>
      </c>
      <c r="C42" s="531"/>
      <c r="D42" s="531"/>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31" t="str">
        <f>'Schedule 2M Adjustments'!B42:D42</f>
        <v/>
      </c>
      <c r="C43" s="531"/>
      <c r="D43" s="531"/>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31" t="str">
        <f>'Schedule 2M Adjustments'!B43:D43</f>
        <v/>
      </c>
      <c r="C44" s="531"/>
      <c r="D44" s="531"/>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31" t="str">
        <f>'Schedule 2M Adjustments'!B44:D44</f>
        <v/>
      </c>
      <c r="C45" s="531"/>
      <c r="D45" s="531"/>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31" t="str">
        <f>'Schedule 2M Adjustments'!B45:D45</f>
        <v/>
      </c>
      <c r="C46" s="531"/>
      <c r="D46" s="531"/>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31" t="str">
        <f>'Schedule 2M Adjustments'!B46:D46</f>
        <v/>
      </c>
      <c r="C47" s="531"/>
      <c r="D47" s="531"/>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31" t="str">
        <f>'Schedule 2M Adjustments'!B47:D47</f>
        <v/>
      </c>
      <c r="C48" s="531"/>
      <c r="D48" s="531"/>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31" t="str">
        <f>'Schedule 2M Adjustments'!B48:D48</f>
        <v/>
      </c>
      <c r="C49" s="531"/>
      <c r="D49" s="531"/>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31" t="str">
        <f>'Schedule 2M Adjustments'!B49:D49</f>
        <v/>
      </c>
      <c r="C50" s="531"/>
      <c r="D50" s="531"/>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31" t="str">
        <f>'Schedule 2M Adjustments'!B50:D50</f>
        <v/>
      </c>
      <c r="C51" s="531"/>
      <c r="D51" s="531"/>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31" t="str">
        <f>'Schedule 2M Adjustments'!B51:D51</f>
        <v/>
      </c>
      <c r="C52" s="531"/>
      <c r="D52" s="531"/>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31" t="str">
        <f>'Schedule 2M Adjustments'!B52:D52</f>
        <v/>
      </c>
      <c r="C53" s="531"/>
      <c r="D53" s="531"/>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31" t="str">
        <f>'Schedule 2M Adjustments'!B53:D53</f>
        <v/>
      </c>
      <c r="C54" s="531"/>
      <c r="D54" s="531"/>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31" t="str">
        <f>'Schedule 2M Adjustments'!B54:D54</f>
        <v/>
      </c>
      <c r="C55" s="531"/>
      <c r="D55" s="531"/>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31" t="str">
        <f>'Schedule 2M Adjustments'!B55:D55</f>
        <v/>
      </c>
      <c r="C56" s="531"/>
      <c r="D56" s="531"/>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31" t="str">
        <f>'Schedule 2M Adjustments'!B56:D56</f>
        <v/>
      </c>
      <c r="C57" s="531"/>
      <c r="D57" s="531"/>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31" t="str">
        <f>'Schedule 2M Adjustments'!B57:D57</f>
        <v/>
      </c>
      <c r="C58" s="531"/>
      <c r="D58" s="531"/>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31" t="str">
        <f>'Schedule 2M Adjustments'!B58:D58</f>
        <v/>
      </c>
      <c r="C59" s="531"/>
      <c r="D59" s="531"/>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31" t="str">
        <f>'Schedule 2M Adjustments'!B59:D59</f>
        <v/>
      </c>
      <c r="C60" s="531"/>
      <c r="D60" s="531"/>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31" t="str">
        <f>'Schedule 2M Adjustments'!B60:D60</f>
        <v/>
      </c>
      <c r="C61" s="531"/>
      <c r="D61" s="531"/>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31" t="str">
        <f>'Schedule 2M Adjustments'!B61:D61</f>
        <v/>
      </c>
      <c r="C62" s="531"/>
      <c r="D62" s="531"/>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31" t="str">
        <f>'Schedule 2M Adjustments'!B62:D62</f>
        <v/>
      </c>
      <c r="C63" s="531"/>
      <c r="D63" s="531"/>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31" t="str">
        <f>'Schedule 2M Adjustments'!B63:D63</f>
        <v/>
      </c>
      <c r="C64" s="531"/>
      <c r="D64" s="531"/>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31" t="str">
        <f>'Schedule 2M Adjustments'!B64:D64</f>
        <v/>
      </c>
      <c r="C65" s="531"/>
      <c r="D65" s="531"/>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31" t="str">
        <f>'Schedule 2M Adjustments'!B65:D65</f>
        <v/>
      </c>
      <c r="C66" s="531"/>
      <c r="D66" s="531"/>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31" t="str">
        <f>'Schedule 2M Adjustments'!B66:D66</f>
        <v/>
      </c>
      <c r="C67" s="531"/>
      <c r="D67" s="531"/>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31" t="str">
        <f>'Schedule 2M Adjustments'!B67:D67</f>
        <v/>
      </c>
      <c r="C68" s="531"/>
      <c r="D68" s="531"/>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31" t="str">
        <f>'Schedule 2M Adjustments'!B68:D68</f>
        <v/>
      </c>
      <c r="C69" s="531"/>
      <c r="D69" s="531"/>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31" t="str">
        <f>'Schedule 2M Adjustments'!B69:D69</f>
        <v/>
      </c>
      <c r="C70" s="531"/>
      <c r="D70" s="531"/>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31" t="str">
        <f>'Schedule 2M Adjustments'!B70:D70</f>
        <v/>
      </c>
      <c r="C71" s="531"/>
      <c r="D71" s="531"/>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31" t="str">
        <f>'Schedule 2M Adjustments'!B71:D71</f>
        <v/>
      </c>
      <c r="C72" s="531"/>
      <c r="D72" s="531"/>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31" t="str">
        <f>'Schedule 2M Adjustments'!B72:D72</f>
        <v/>
      </c>
      <c r="C73" s="531"/>
      <c r="D73" s="531"/>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923</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772</v>
      </c>
      <c r="C6" s="421" t="str">
        <f>Results!$C$6</f>
        <v>Mind Springs Health</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478</v>
      </c>
      <c r="B9" s="100"/>
      <c r="C9" s="100"/>
      <c r="D9" s="100"/>
      <c r="E9" s="100"/>
      <c r="F9" s="100"/>
      <c r="G9" s="204"/>
      <c r="H9" s="113"/>
      <c r="I9" s="100"/>
      <c r="J9" s="206"/>
      <c r="K9" s="100"/>
      <c r="L9" s="100"/>
      <c r="T9" s="40"/>
      <c r="U9" s="40"/>
      <c r="V9" s="40"/>
    </row>
    <row r="10" spans="1:22" ht="15" customHeight="1" x14ac:dyDescent="0.35">
      <c r="A10" s="520" t="s">
        <v>479</v>
      </c>
      <c r="B10" s="520"/>
      <c r="C10" s="520"/>
      <c r="D10" s="520"/>
      <c r="E10" s="520"/>
      <c r="F10" s="520"/>
      <c r="G10" s="520"/>
      <c r="H10" s="520"/>
      <c r="I10" s="520"/>
      <c r="J10" s="520"/>
      <c r="K10" s="520"/>
      <c r="L10" s="100"/>
      <c r="T10" s="40"/>
      <c r="U10" s="40"/>
      <c r="V10" s="40"/>
    </row>
    <row r="11" spans="1:22" x14ac:dyDescent="0.35">
      <c r="A11" s="520"/>
      <c r="B11" s="520"/>
      <c r="C11" s="520"/>
      <c r="D11" s="520"/>
      <c r="E11" s="520"/>
      <c r="F11" s="520"/>
      <c r="G11" s="520"/>
      <c r="H11" s="520"/>
      <c r="I11" s="520"/>
      <c r="J11" s="520"/>
      <c r="K11" s="520"/>
      <c r="L11" s="100"/>
      <c r="T11" s="40"/>
      <c r="U11" s="40"/>
      <c r="V11" s="40"/>
    </row>
    <row r="12" spans="1:22" x14ac:dyDescent="0.35">
      <c r="A12" s="520"/>
      <c r="B12" s="520"/>
      <c r="C12" s="520"/>
      <c r="D12" s="520"/>
      <c r="E12" s="520"/>
      <c r="F12" s="520"/>
      <c r="G12" s="520"/>
      <c r="H12" s="520"/>
      <c r="I12" s="520"/>
      <c r="J12" s="520"/>
      <c r="K12" s="520"/>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14">
        <v>1</v>
      </c>
      <c r="C14" s="515"/>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47" t="s">
        <v>631</v>
      </c>
      <c r="C15" s="548"/>
      <c r="D15" s="544" t="s">
        <v>632</v>
      </c>
      <c r="E15" s="544" t="s">
        <v>633</v>
      </c>
      <c r="F15" s="544" t="s">
        <v>634</v>
      </c>
      <c r="G15" s="551" t="s">
        <v>757</v>
      </c>
      <c r="H15" s="551" t="s">
        <v>758</v>
      </c>
      <c r="I15" s="208"/>
      <c r="J15" s="208"/>
      <c r="K15" s="544" t="s">
        <v>696</v>
      </c>
      <c r="L15" s="544" t="s">
        <v>697</v>
      </c>
      <c r="M15" s="546" t="s">
        <v>168</v>
      </c>
      <c r="N15" s="546"/>
      <c r="O15" s="546" t="s">
        <v>34</v>
      </c>
      <c r="P15" s="546"/>
      <c r="Q15" s="546" t="s">
        <v>169</v>
      </c>
      <c r="R15" s="546"/>
    </row>
    <row r="16" spans="1:22" ht="60" customHeight="1" x14ac:dyDescent="0.35">
      <c r="A16" s="100"/>
      <c r="B16" s="549"/>
      <c r="C16" s="550"/>
      <c r="D16" s="545"/>
      <c r="E16" s="545"/>
      <c r="F16" s="545"/>
      <c r="G16" s="552"/>
      <c r="H16" s="552"/>
      <c r="I16" s="209" t="s">
        <v>453</v>
      </c>
      <c r="J16" s="209" t="s">
        <v>493</v>
      </c>
      <c r="K16" s="545"/>
      <c r="L16" s="545"/>
      <c r="M16" s="10" t="s">
        <v>698</v>
      </c>
      <c r="N16" s="10" t="s">
        <v>699</v>
      </c>
      <c r="O16" s="10" t="s">
        <v>700</v>
      </c>
      <c r="P16" s="10" t="s">
        <v>701</v>
      </c>
      <c r="Q16" s="10" t="s">
        <v>702</v>
      </c>
      <c r="R16" s="10" t="s">
        <v>703</v>
      </c>
    </row>
    <row r="17" spans="1:18" x14ac:dyDescent="0.35">
      <c r="A17" s="100"/>
      <c r="B17" s="318" t="s">
        <v>597</v>
      </c>
      <c r="C17" s="210"/>
      <c r="D17" s="97"/>
      <c r="E17" s="97"/>
      <c r="F17" s="97"/>
      <c r="G17" s="211"/>
      <c r="H17" s="211"/>
      <c r="I17" s="97"/>
      <c r="J17" s="97"/>
      <c r="K17" s="97"/>
      <c r="L17" s="97"/>
      <c r="M17" s="6"/>
      <c r="N17" s="6"/>
      <c r="O17" s="6"/>
      <c r="P17" s="6"/>
      <c r="Q17" s="6"/>
      <c r="R17" s="6"/>
    </row>
    <row r="18" spans="1:18" s="34" customFormat="1" x14ac:dyDescent="0.35">
      <c r="A18" s="212">
        <v>1</v>
      </c>
      <c r="B18" s="542" t="str">
        <f>'Schedule 3 Adjustments'!B17:C17</f>
        <v>Residential Facilities</v>
      </c>
      <c r="C18" s="543"/>
      <c r="D18" s="365" t="str">
        <f>'Schedule 3 Adjustments'!D17</f>
        <v>Residential</v>
      </c>
      <c r="E18" s="365">
        <f>'Schedule 3 Adjustments'!E17</f>
        <v>0</v>
      </c>
      <c r="F18" s="370">
        <f>'Schedule 3 Adjustments'!F17</f>
        <v>32</v>
      </c>
      <c r="G18" s="373">
        <f>'Schedule 3 Adjustments'!G17</f>
        <v>0</v>
      </c>
      <c r="H18" s="373">
        <f>'Schedule 3 Adjustments'!H17</f>
        <v>0</v>
      </c>
      <c r="I18" s="213">
        <f>IF(B18=0,"",IF(AND(G18=0,H18=0),365,IF(AND(G18&gt;0,H18=0),$C$7-G18+1,IF(AND(G18=0,H18&gt;0),H18-($C$7-365),H18-G18+1))))</f>
        <v>365</v>
      </c>
      <c r="J18" s="98"/>
      <c r="K18" s="214">
        <f>SUM(K19:K21)</f>
        <v>12938</v>
      </c>
      <c r="L18" s="215">
        <f>IF(K18&gt;0,K18/(F18*I18),"")</f>
        <v>1.1077054794520549</v>
      </c>
      <c r="M18" s="126">
        <f>'Schedule 3 Adjustments'!R17</f>
        <v>6628817.2220329689</v>
      </c>
      <c r="N18" s="85">
        <f>IFERROR(M18/K18,"")</f>
        <v>512.35254459985845</v>
      </c>
      <c r="O18" s="126">
        <f>'Schedule 3 Adjustments'!W17</f>
        <v>680170.82298516529</v>
      </c>
      <c r="P18" s="85">
        <f>IFERROR(O18/K18,"")</f>
        <v>52.571558431377746</v>
      </c>
      <c r="Q18" s="86">
        <f>IF(M18=0,"",M18-O18)</f>
        <v>5948646.3990478031</v>
      </c>
      <c r="R18" s="85">
        <f>IFERROR(Q18/K18,"")</f>
        <v>459.78098616848069</v>
      </c>
    </row>
    <row r="19" spans="1:18" x14ac:dyDescent="0.35">
      <c r="A19" s="216" t="s">
        <v>446</v>
      </c>
      <c r="B19" s="217"/>
      <c r="C19" s="217"/>
      <c r="D19" s="217"/>
      <c r="E19" s="217"/>
      <c r="F19" s="218"/>
      <c r="G19" s="219"/>
      <c r="H19" s="219"/>
      <c r="I19" s="220"/>
      <c r="J19" s="469" t="str">
        <f>'Schedule 3 Adjustments'!J18</f>
        <v>H21036</v>
      </c>
      <c r="K19" s="221">
        <f>'Schedule 3 Adjustments'!M18</f>
        <v>7711</v>
      </c>
      <c r="L19" s="222"/>
      <c r="M19" s="87"/>
      <c r="N19" s="87"/>
      <c r="O19" s="87"/>
      <c r="P19" s="87"/>
      <c r="Q19" s="87"/>
      <c r="R19" s="87"/>
    </row>
    <row r="20" spans="1:18" x14ac:dyDescent="0.35">
      <c r="A20" s="223" t="s">
        <v>447</v>
      </c>
      <c r="B20" s="224"/>
      <c r="C20" s="224"/>
      <c r="D20" s="224"/>
      <c r="E20" s="224"/>
      <c r="F20" s="225"/>
      <c r="G20" s="226"/>
      <c r="H20" s="226"/>
      <c r="I20" s="227"/>
      <c r="J20" s="482" t="str">
        <f>'Schedule 3 Adjustments'!J19</f>
        <v>H2036</v>
      </c>
      <c r="K20" s="228">
        <f>'Schedule 3 Adjustments'!M19</f>
        <v>5227</v>
      </c>
      <c r="L20" s="229"/>
      <c r="M20" s="88"/>
      <c r="N20" s="88"/>
      <c r="O20" s="88"/>
      <c r="P20" s="88"/>
      <c r="Q20" s="88"/>
      <c r="R20" s="88"/>
    </row>
    <row r="21" spans="1:18" x14ac:dyDescent="0.35">
      <c r="A21" s="230" t="s">
        <v>448</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42" t="str">
        <f>'Schedule 3 Adjustments'!B22:C22</f>
        <v>Withdrawal Management</v>
      </c>
      <c r="C23" s="543"/>
      <c r="D23" s="365" t="str">
        <f>'Schedule 3 Adjustments'!D22</f>
        <v>Withdrawal Mgmt</v>
      </c>
      <c r="E23" s="365">
        <f>'Schedule 3 Adjustments'!E22</f>
        <v>0</v>
      </c>
      <c r="F23" s="370">
        <f>'Schedule 3 Adjustments'!F22</f>
        <v>15</v>
      </c>
      <c r="G23" s="373">
        <f>'Schedule 3 Adjustments'!G22</f>
        <v>0</v>
      </c>
      <c r="H23" s="373">
        <f>'Schedule 3 Adjustments'!H22</f>
        <v>0</v>
      </c>
      <c r="I23" s="139">
        <f>IF(B23=0,"",IF(AND(G23=0,H23=0),365,IF(AND(G23&gt;0,H23=0),$C$7-G23+1,IF(AND(G23=0,H23&gt;0),H23-($C$7-365),H23-G23+1))))</f>
        <v>365</v>
      </c>
      <c r="J23" s="98"/>
      <c r="K23" s="8">
        <f>SUM(K24:K26)</f>
        <v>3505</v>
      </c>
      <c r="L23" s="91">
        <f>IF(K23&gt;0,K23/(F23*I23),"")</f>
        <v>0.64018264840182648</v>
      </c>
      <c r="M23" s="126">
        <f>'Schedule 3 Adjustments'!R22</f>
        <v>3710354.7318541314</v>
      </c>
      <c r="N23" s="85">
        <f>IFERROR(M23/K23,"")</f>
        <v>1058.5890818414071</v>
      </c>
      <c r="O23" s="126">
        <f>'Schedule 3 Adjustments'!W22</f>
        <v>756267.65443505091</v>
      </c>
      <c r="P23" s="85">
        <f>IFERROR(O23/K23,"")</f>
        <v>215.76823236378058</v>
      </c>
      <c r="Q23" s="86">
        <f>IF(M23=0,"",M23-O23)</f>
        <v>2954087.0774190808</v>
      </c>
      <c r="R23" s="85">
        <f>IFERROR(Q23/K23,"")</f>
        <v>842.82084947762644</v>
      </c>
    </row>
    <row r="24" spans="1:18" x14ac:dyDescent="0.35">
      <c r="A24" s="101" t="s">
        <v>446</v>
      </c>
      <c r="B24" s="87"/>
      <c r="C24" s="87"/>
      <c r="D24" s="87"/>
      <c r="E24" s="87"/>
      <c r="F24" s="132"/>
      <c r="G24" s="135"/>
      <c r="H24" s="135"/>
      <c r="I24" s="104"/>
      <c r="J24" s="469" t="str">
        <f>'Schedule 3 Adjustments'!J23</f>
        <v>H0010</v>
      </c>
      <c r="K24" s="221">
        <f>'Schedule 3 Adjustments'!M23</f>
        <v>3505</v>
      </c>
      <c r="L24" s="89"/>
      <c r="M24" s="87"/>
      <c r="N24" s="87"/>
      <c r="O24" s="87"/>
      <c r="P24" s="87"/>
      <c r="Q24" s="87"/>
      <c r="R24" s="87"/>
    </row>
    <row r="25" spans="1:18" x14ac:dyDescent="0.35">
      <c r="A25" s="102" t="s">
        <v>447</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448</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42" t="str">
        <f>'Schedule 3 Adjustments'!B27:C27</f>
        <v>West Springs Hospital</v>
      </c>
      <c r="C28" s="543"/>
      <c r="D28" s="365" t="str">
        <f>'Schedule 3 Adjustments'!D27</f>
        <v>Inpatient Hospital</v>
      </c>
      <c r="E28" s="365">
        <f>'Schedule 3 Adjustments'!E27</f>
        <v>0</v>
      </c>
      <c r="F28" s="370">
        <f>'Schedule 3 Adjustments'!F27</f>
        <v>48</v>
      </c>
      <c r="G28" s="373">
        <f>'Schedule 3 Adjustments'!G27</f>
        <v>0</v>
      </c>
      <c r="H28" s="373">
        <f>'Schedule 3 Adjustments'!H27</f>
        <v>0</v>
      </c>
      <c r="I28" s="139">
        <f>IF(B28=0,"",IF(AND(G28=0,H28=0),365,IF(AND(G28&gt;0,H28=0),$C$7-G28+1,IF(AND(G28=0,H28&gt;0),H28-($C$7-365),H28-G28+1))))</f>
        <v>365</v>
      </c>
      <c r="J28" s="98"/>
      <c r="K28" s="8">
        <f>SUM(K29:K31)</f>
        <v>10499</v>
      </c>
      <c r="L28" s="91">
        <f>IF(K28&gt;0,K28/(F28*I28),"")</f>
        <v>0.59925799086757991</v>
      </c>
      <c r="M28" s="126">
        <f>'Schedule 3 Adjustments'!R27</f>
        <v>28330507.136308901</v>
      </c>
      <c r="N28" s="85">
        <f>IFERROR(M28/K28,"")</f>
        <v>2698.4005273177349</v>
      </c>
      <c r="O28" s="126">
        <f>'Schedule 3 Adjustments'!W27</f>
        <v>3456706</v>
      </c>
      <c r="P28" s="85">
        <f>IFERROR(O28/K28,"")</f>
        <v>329.2414515668159</v>
      </c>
      <c r="Q28" s="86">
        <f>IF(M28=0,"",M28-O28)</f>
        <v>24873801.136308901</v>
      </c>
      <c r="R28" s="85">
        <f>IFERROR(Q28/K28,"")</f>
        <v>2369.1590757509193</v>
      </c>
    </row>
    <row r="29" spans="1:18" x14ac:dyDescent="0.35">
      <c r="A29" s="101" t="s">
        <v>446</v>
      </c>
      <c r="B29" s="87"/>
      <c r="C29" s="87"/>
      <c r="D29" s="87"/>
      <c r="E29" s="87"/>
      <c r="F29" s="132"/>
      <c r="G29" s="135"/>
      <c r="H29" s="135"/>
      <c r="I29" s="104"/>
      <c r="J29" s="369">
        <f>'Schedule 3 Adjustments'!J28</f>
        <v>0</v>
      </c>
      <c r="K29" s="221">
        <f>'Schedule 3 Adjustments'!M28</f>
        <v>10499</v>
      </c>
      <c r="L29" s="89"/>
      <c r="M29" s="87"/>
      <c r="N29" s="87"/>
      <c r="O29" s="87"/>
      <c r="P29" s="87"/>
      <c r="Q29" s="87"/>
      <c r="R29" s="87"/>
    </row>
    <row r="30" spans="1:18" x14ac:dyDescent="0.35">
      <c r="A30" s="102" t="s">
        <v>447</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448</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42">
        <f>'Schedule 3 Adjustments'!B32:C32</f>
        <v>0</v>
      </c>
      <c r="C33" s="543"/>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446</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447</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448</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42">
        <f>'Schedule 3 Adjustments'!B37:C37</f>
        <v>0</v>
      </c>
      <c r="C38" s="543"/>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446</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447</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448</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42">
        <f>'Schedule 3 Adjustments'!B42:C42</f>
        <v>0</v>
      </c>
      <c r="C43" s="543"/>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446</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447</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448</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42">
        <f>'Schedule 3 Adjustments'!B47:C47</f>
        <v>0</v>
      </c>
      <c r="C48" s="543"/>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446</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447</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448</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42">
        <f>'Schedule 3 Adjustments'!B52:C52</f>
        <v>0</v>
      </c>
      <c r="C53" s="543"/>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446</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447</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448</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42">
        <f>'Schedule 3 Adjustments'!B57:C57</f>
        <v>0</v>
      </c>
      <c r="C58" s="543"/>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446</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447</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448</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42">
        <f>'Schedule 3 Adjustments'!B62:C62</f>
        <v>0</v>
      </c>
      <c r="C63" s="543"/>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446</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447</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448</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42">
        <f>'Schedule 3 Adjustments'!B67:C67</f>
        <v>0</v>
      </c>
      <c r="C68" s="543"/>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446</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447</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448</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42">
        <f>'Schedule 3 Adjustments'!B72:C72</f>
        <v>0</v>
      </c>
      <c r="C73" s="543"/>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446</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447</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448</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42">
        <f>'Schedule 3 Adjustments'!B77:C77</f>
        <v>0</v>
      </c>
      <c r="C78" s="543"/>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446</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447</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448</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42">
        <f>'Schedule 3 Adjustments'!B82:C82</f>
        <v>0</v>
      </c>
      <c r="C83" s="543"/>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446</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447</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448</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42">
        <f>'Schedule 3 Adjustments'!B87:C87</f>
        <v>0</v>
      </c>
      <c r="C88" s="543"/>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446</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447</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448</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42">
        <f>'Schedule 3 Adjustments'!B92:C92</f>
        <v>0</v>
      </c>
      <c r="C93" s="543"/>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446</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447</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448</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42">
        <f>'Schedule 3 Adjustments'!B97:C97</f>
        <v>0</v>
      </c>
      <c r="C98" s="543"/>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446</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447</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448</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42">
        <f>'Schedule 3 Adjustments'!B102:C102</f>
        <v>0</v>
      </c>
      <c r="C103" s="543"/>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446</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447</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448</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42">
        <f>'Schedule 3 Adjustments'!B107:C107</f>
        <v>0</v>
      </c>
      <c r="C108" s="543"/>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446</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447</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448</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42">
        <f>'Schedule 3 Adjustments'!B112:C112</f>
        <v>0</v>
      </c>
      <c r="C113" s="543"/>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446</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447</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448</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42">
        <f>'Schedule 3 Adjustments'!B117:C117</f>
        <v>0</v>
      </c>
      <c r="C118" s="543"/>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446</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447</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448</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42">
        <f>'Schedule 3 Adjustments'!B122:C122</f>
        <v>0</v>
      </c>
      <c r="C123" s="543"/>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446</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447</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448</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42">
        <f>'Schedule 3 Adjustments'!B127:C127</f>
        <v>0</v>
      </c>
      <c r="C128" s="543"/>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446</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447</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448</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42">
        <f>'Schedule 3 Adjustments'!B132:C132</f>
        <v>0</v>
      </c>
      <c r="C133" s="543"/>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446</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447</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448</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42">
        <f>'Schedule 3 Adjustments'!B137:C137</f>
        <v>0</v>
      </c>
      <c r="C138" s="543"/>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446</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447</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448</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42">
        <f>'Schedule 3 Adjustments'!B142:C142</f>
        <v>0</v>
      </c>
      <c r="C143" s="543"/>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446</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447</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448</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42">
        <f>'Schedule 3 Adjustments'!B147:C147</f>
        <v>0</v>
      </c>
      <c r="C148" s="543"/>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446</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447</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448</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42">
        <f>'Schedule 3 Adjustments'!B152:C152</f>
        <v>0</v>
      </c>
      <c r="C153" s="543"/>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446</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447</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448</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42">
        <f>'Schedule 3 Adjustments'!B157:C157</f>
        <v>0</v>
      </c>
      <c r="C158" s="543"/>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446</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447</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448</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42">
        <f>'Schedule 3 Adjustments'!B162:C162</f>
        <v>0</v>
      </c>
      <c r="C163" s="543"/>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446</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447</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448</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41" t="s">
        <v>173</v>
      </c>
      <c r="C168" s="541"/>
      <c r="D168" s="541"/>
      <c r="E168" s="541"/>
      <c r="F168" s="27">
        <f>F163+F158+F153+F148+F143+F138+F133+F128+F123+F118+F113+F108+F103+F98+F93+F88+F83+F78+F73+F68+F63+F58+F53+F48+F43+F38+F33+F28+F23+F18</f>
        <v>95</v>
      </c>
      <c r="G168" s="32"/>
      <c r="H168" s="32"/>
      <c r="I168" s="32"/>
      <c r="J168" s="32"/>
      <c r="K168" s="27">
        <f>K163+K158+K153+K148+K143+K138+K133+K128+K123+K118+K113+K108+K103+K98+K93+K88+K83+K78+K73+K68+K63+K58+K53+K48+K43+K38+K33+K28+K23+K18</f>
        <v>26942</v>
      </c>
      <c r="L168" s="29">
        <f>IF(K168&gt;0,K168/(F168*365),"")</f>
        <v>0.77698630136986302</v>
      </c>
      <c r="M168" s="27">
        <f>M163+M158+M153+M148+M143+M138+M133+M128+M123+M118+M113+M108+M103+M98+M93+M88+M83+M78+M73+M68+M63+M58+M53+M48+M43+M38+M33+M28+M23+M18</f>
        <v>38669679.090196006</v>
      </c>
      <c r="N168" s="17">
        <f>IFERROR(M168/K168,"")</f>
        <v>1435.2935598766242</v>
      </c>
      <c r="O168" s="27">
        <f>O163+O158+O153+O148+O143+O138+O133+O128+O123+O118+O113+O108+O103+O98+O93+O88+O83+O78+O73+O68+O63+O58+O53+O48+O43+O38+O33+O28+O23+O18</f>
        <v>4893144.4774202164</v>
      </c>
      <c r="P168" s="17">
        <f t="shared" ref="P168" si="0">IFERROR(O168/K168,"")</f>
        <v>181.61771499592518</v>
      </c>
      <c r="Q168" s="30">
        <f t="shared" ref="Q168" si="1">IF(M168=0,"",M168-O168)</f>
        <v>33776534.612775788</v>
      </c>
      <c r="R168" s="17">
        <f t="shared" ref="R168" si="2">IFERROR(Q168/K168,"")</f>
        <v>1253.6758448806988</v>
      </c>
    </row>
    <row r="170" spans="1:18" x14ac:dyDescent="0.35">
      <c r="A170" s="19">
        <v>32</v>
      </c>
      <c r="L170" s="37" t="s">
        <v>198</v>
      </c>
      <c r="M170" s="39">
        <f>'Schedule 3 Adjustments'!R169</f>
        <v>33557299.909999996</v>
      </c>
    </row>
    <row r="171" spans="1:18" x14ac:dyDescent="0.35">
      <c r="A171" s="19">
        <v>33</v>
      </c>
      <c r="L171" s="37" t="s">
        <v>185</v>
      </c>
      <c r="M171" s="39">
        <f>'Schedule 3 Adjustments'!R170</f>
        <v>5112379.9422169961</v>
      </c>
    </row>
    <row r="172" spans="1:18" x14ac:dyDescent="0.35">
      <c r="A172" s="19">
        <v>34</v>
      </c>
      <c r="L172" s="37" t="s">
        <v>199</v>
      </c>
      <c r="M172" s="18">
        <f>SUM(M170:M171)</f>
        <v>38669679.852216989</v>
      </c>
    </row>
    <row r="173" spans="1:18" x14ac:dyDescent="0.35">
      <c r="A173" s="19">
        <v>35</v>
      </c>
      <c r="L173" s="37" t="s">
        <v>10</v>
      </c>
      <c r="M173" s="18">
        <f>M168-M172</f>
        <v>-0.76202098280191422</v>
      </c>
    </row>
    <row r="174" spans="1:18" x14ac:dyDescent="0.35">
      <c r="M174" s="38" t="str">
        <f>IF(M173&lt;&gt;0,"ERROR","")</f>
        <v>ERROR</v>
      </c>
    </row>
    <row r="175" spans="1:18" ht="39" customHeight="1" x14ac:dyDescent="0.35">
      <c r="J175" s="6" t="s">
        <v>40</v>
      </c>
      <c r="K175" s="6" t="s">
        <v>445</v>
      </c>
      <c r="L175" s="6" t="s">
        <v>444</v>
      </c>
      <c r="M175" s="78" t="s">
        <v>10</v>
      </c>
    </row>
    <row r="176" spans="1:18" x14ac:dyDescent="0.35">
      <c r="A176" s="19">
        <v>36</v>
      </c>
      <c r="J176" s="93" t="s">
        <v>441</v>
      </c>
      <c r="K176" s="27">
        <f>SUMIF($J$18:$J$168,"H0010 3.2 WM",$K$18:$K$168)</f>
        <v>0</v>
      </c>
      <c r="L176" s="27">
        <f>'Adjusted Schedule 4'!D123+'Adjusted Schedule 4'!H123</f>
        <v>386</v>
      </c>
      <c r="M176" s="27">
        <f>L176-K176</f>
        <v>386</v>
      </c>
      <c r="N176" s="92" t="str">
        <f>IF(M176&lt;&gt;0,"ERROR","")</f>
        <v>ERROR</v>
      </c>
    </row>
    <row r="177" spans="1:14" x14ac:dyDescent="0.35">
      <c r="A177" s="19">
        <v>37</v>
      </c>
      <c r="J177" s="94" t="s">
        <v>442</v>
      </c>
      <c r="K177" s="27">
        <f>SUMIF($J$18:$J$168,"H0011 3.7 WM",$K$18:$K$168)</f>
        <v>0</v>
      </c>
      <c r="L177" s="27">
        <f>'Adjusted Schedule 4'!D124+'Adjusted Schedule 4'!H124</f>
        <v>3736</v>
      </c>
      <c r="M177" s="27">
        <f t="shared" ref="M177:M180" si="3">L177-K177</f>
        <v>3736</v>
      </c>
      <c r="N177" s="92" t="str">
        <f t="shared" ref="N177:N180" si="4">IF(M177&lt;&gt;0,"ERROR","")</f>
        <v>ERROR</v>
      </c>
    </row>
    <row r="178" spans="1:14" x14ac:dyDescent="0.35">
      <c r="A178" s="19">
        <v>38</v>
      </c>
      <c r="C178" s="232" t="s">
        <v>475</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467</v>
      </c>
      <c r="D179" s="235"/>
      <c r="E179" s="235" t="s">
        <v>471</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476</v>
      </c>
      <c r="D180" s="235"/>
      <c r="E180" s="235" t="s">
        <v>473</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468</v>
      </c>
      <c r="D181" s="235"/>
      <c r="E181" s="235" t="s">
        <v>472</v>
      </c>
      <c r="F181" s="100"/>
      <c r="G181" s="146"/>
      <c r="J181" s="95" t="s">
        <v>439</v>
      </c>
      <c r="K181" s="106">
        <f t="shared" si="5"/>
        <v>0</v>
      </c>
      <c r="L181" s="89"/>
      <c r="M181" s="87"/>
    </row>
    <row r="182" spans="1:14" x14ac:dyDescent="0.35">
      <c r="A182" s="19">
        <v>42</v>
      </c>
      <c r="C182" s="234" t="s">
        <v>469</v>
      </c>
      <c r="D182" s="235"/>
      <c r="E182" s="235" t="s">
        <v>470</v>
      </c>
      <c r="F182" s="100"/>
      <c r="G182" s="146"/>
      <c r="J182" s="95" t="s">
        <v>443</v>
      </c>
      <c r="K182" s="108">
        <f t="shared" si="5"/>
        <v>0</v>
      </c>
      <c r="L182" s="90"/>
      <c r="M182" s="88"/>
    </row>
    <row r="183" spans="1:14" x14ac:dyDescent="0.35">
      <c r="A183" s="19">
        <v>43</v>
      </c>
      <c r="C183" s="236" t="s">
        <v>477</v>
      </c>
      <c r="D183" s="237"/>
      <c r="E183" s="237" t="s">
        <v>474</v>
      </c>
      <c r="F183" s="238"/>
      <c r="G183" s="147"/>
      <c r="J183" s="95" t="s">
        <v>438</v>
      </c>
      <c r="K183" s="108">
        <f t="shared" si="5"/>
        <v>0</v>
      </c>
      <c r="L183" s="109"/>
      <c r="M183" s="110"/>
    </row>
    <row r="184" spans="1:14" x14ac:dyDescent="0.35">
      <c r="A184" s="19">
        <v>44</v>
      </c>
      <c r="C184" s="100"/>
      <c r="D184" s="100"/>
      <c r="E184" s="100"/>
      <c r="F184" s="100"/>
      <c r="J184" s="96" t="s">
        <v>437</v>
      </c>
      <c r="K184" s="107">
        <f t="shared" si="5"/>
        <v>0</v>
      </c>
      <c r="L184" s="27">
        <f>'Adjusted Schedule 4'!D181+'Adjusted Schedule 4'!H181</f>
        <v>9375</v>
      </c>
      <c r="M184" s="27">
        <f>L184-SUM(K181:K184)</f>
        <v>9375</v>
      </c>
      <c r="N184" s="92" t="str">
        <f t="shared" ref="N184" si="6">IF(M184&lt;&gt;0,"ERROR","")</f>
        <v>ERROR</v>
      </c>
    </row>
    <row r="185" spans="1:14" x14ac:dyDescent="0.35">
      <c r="A185" s="19">
        <v>45</v>
      </c>
      <c r="C185" s="100"/>
      <c r="D185" s="100"/>
      <c r="E185" s="100"/>
      <c r="F185" s="100"/>
      <c r="J185" s="94" t="s">
        <v>480</v>
      </c>
      <c r="K185" s="27">
        <f t="shared" si="5"/>
        <v>0</v>
      </c>
      <c r="L185" s="90"/>
      <c r="M185" s="88"/>
    </row>
    <row r="186" spans="1:14" x14ac:dyDescent="0.35">
      <c r="C186" s="100"/>
      <c r="D186" s="100"/>
      <c r="E186" s="100"/>
      <c r="F186" s="100"/>
    </row>
    <row r="250" spans="4:10" ht="17.25" customHeight="1" x14ac:dyDescent="0.35"/>
    <row r="252" spans="4:10" hidden="1" x14ac:dyDescent="0.35">
      <c r="D252" t="s">
        <v>455</v>
      </c>
      <c r="E252" t="s">
        <v>159</v>
      </c>
      <c r="J252" s="111" t="s">
        <v>449</v>
      </c>
    </row>
    <row r="253" spans="4:10" hidden="1" x14ac:dyDescent="0.35">
      <c r="D253" t="s">
        <v>176</v>
      </c>
      <c r="E253" t="s">
        <v>455</v>
      </c>
      <c r="J253" s="112" t="s">
        <v>450</v>
      </c>
    </row>
    <row r="254" spans="4:10" hidden="1" x14ac:dyDescent="0.35">
      <c r="D254" t="s">
        <v>175</v>
      </c>
      <c r="E254" t="s">
        <v>466</v>
      </c>
      <c r="J254" s="112" t="s">
        <v>51</v>
      </c>
    </row>
    <row r="255" spans="4:10" hidden="1" x14ac:dyDescent="0.35">
      <c r="D255" t="s">
        <v>434</v>
      </c>
      <c r="E255" t="s">
        <v>465</v>
      </c>
      <c r="J255" s="112" t="s">
        <v>52</v>
      </c>
    </row>
    <row r="256" spans="4:10" hidden="1" x14ac:dyDescent="0.35">
      <c r="D256" t="s">
        <v>170</v>
      </c>
      <c r="E256" t="s">
        <v>174</v>
      </c>
      <c r="J256" s="112" t="s">
        <v>53</v>
      </c>
    </row>
    <row r="257" spans="4:10" hidden="1" x14ac:dyDescent="0.35">
      <c r="D257" t="s">
        <v>481</v>
      </c>
      <c r="E257" t="s">
        <v>172</v>
      </c>
      <c r="J257" s="112" t="s">
        <v>439</v>
      </c>
    </row>
    <row r="258" spans="4:10" hidden="1" x14ac:dyDescent="0.35">
      <c r="E258" t="s">
        <v>171</v>
      </c>
      <c r="J258" s="112" t="s">
        <v>443</v>
      </c>
    </row>
    <row r="259" spans="4:10" hidden="1" x14ac:dyDescent="0.35">
      <c r="E259" t="s">
        <v>464</v>
      </c>
      <c r="J259" s="112" t="s">
        <v>438</v>
      </c>
    </row>
    <row r="260" spans="4:10" hidden="1" x14ac:dyDescent="0.35">
      <c r="E260" t="s">
        <v>435</v>
      </c>
      <c r="J260" s="113" t="s">
        <v>437</v>
      </c>
    </row>
    <row r="261" spans="4:10" hidden="1" x14ac:dyDescent="0.35">
      <c r="J261" s="113" t="s">
        <v>480</v>
      </c>
    </row>
    <row r="262" spans="4:10" hidden="1" x14ac:dyDescent="0.35">
      <c r="J262"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customProperties>
    <customPr name="OrphanNamesChecke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927</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53"/>
      <c r="L5" s="553"/>
    </row>
    <row r="6" spans="1:12" ht="15" customHeight="1" x14ac:dyDescent="0.35">
      <c r="A6" s="1" t="s">
        <v>772</v>
      </c>
      <c r="C6" s="421" t="str">
        <f>Results!$C$6</f>
        <v>Mind Springs Health</v>
      </c>
      <c r="D6" s="55"/>
      <c r="E6" s="53"/>
      <c r="F6" s="53"/>
      <c r="G6" s="50"/>
      <c r="H6" s="50"/>
      <c r="K6" s="553"/>
      <c r="L6" s="553"/>
    </row>
    <row r="7" spans="1:12" x14ac:dyDescent="0.35">
      <c r="A7" s="1" t="s">
        <v>0</v>
      </c>
      <c r="C7" s="35">
        <f>Results!$C$7</f>
        <v>45473</v>
      </c>
      <c r="D7" s="35"/>
      <c r="E7" s="35"/>
      <c r="F7" s="35"/>
      <c r="K7" s="553"/>
      <c r="L7" s="553"/>
    </row>
    <row r="8" spans="1:12" x14ac:dyDescent="0.35">
      <c r="A8" s="1"/>
      <c r="C8" s="35"/>
      <c r="D8" s="23">
        <v>1</v>
      </c>
      <c r="E8" s="35"/>
      <c r="F8" s="23">
        <v>3</v>
      </c>
      <c r="H8" s="205"/>
      <c r="I8" s="175">
        <v>6</v>
      </c>
      <c r="J8" s="205"/>
      <c r="K8" s="175">
        <v>8</v>
      </c>
      <c r="L8" s="81"/>
    </row>
    <row r="9" spans="1:12" x14ac:dyDescent="0.35">
      <c r="A9" s="19">
        <v>1</v>
      </c>
      <c r="C9" s="46" t="s">
        <v>704</v>
      </c>
      <c r="D9" s="26">
        <f>'Adjusted Schedule 1'!F96</f>
        <v>21287302.233702369</v>
      </c>
      <c r="E9" s="46" t="s">
        <v>707</v>
      </c>
      <c r="F9" s="31">
        <f>F198</f>
        <v>151578.33999999997</v>
      </c>
      <c r="H9" s="427" t="s">
        <v>861</v>
      </c>
      <c r="I9" s="26">
        <f>'Adjusted Schedule 1'!F96</f>
        <v>21287302.233702369</v>
      </c>
      <c r="J9" s="427" t="s">
        <v>864</v>
      </c>
      <c r="K9" s="180">
        <f>'Schedule 4 Adjustments'!S8</f>
        <v>73843</v>
      </c>
      <c r="L9" s="25"/>
    </row>
    <row r="10" spans="1:12" x14ac:dyDescent="0.35">
      <c r="A10" s="19">
        <v>2</v>
      </c>
      <c r="C10" s="46" t="s">
        <v>705</v>
      </c>
      <c r="D10" s="117">
        <f>'Schedule 4 Adjustments'!F9</f>
        <v>0</v>
      </c>
      <c r="E10" s="46" t="s">
        <v>708</v>
      </c>
      <c r="F10" s="31">
        <f>J198</f>
        <v>125369.76999999995</v>
      </c>
      <c r="H10" s="427" t="s">
        <v>862</v>
      </c>
      <c r="I10" s="180">
        <f>'Schedule 4 Adjustments'!O9</f>
        <v>0</v>
      </c>
      <c r="J10" s="557"/>
      <c r="K10" s="557"/>
      <c r="L10" s="45"/>
    </row>
    <row r="11" spans="1:12" x14ac:dyDescent="0.35">
      <c r="A11" s="19">
        <v>3</v>
      </c>
      <c r="C11" s="42" t="s">
        <v>706</v>
      </c>
      <c r="D11" s="18">
        <f>D9-D10</f>
        <v>21287302.233702369</v>
      </c>
      <c r="E11" s="42" t="s">
        <v>709</v>
      </c>
      <c r="F11" s="9">
        <f>SUM(F9:F10)</f>
        <v>276948.10999999993</v>
      </c>
      <c r="H11" s="428" t="s">
        <v>863</v>
      </c>
      <c r="I11" s="185">
        <f>I9-I10</f>
        <v>21287302.233702369</v>
      </c>
      <c r="J11" s="557"/>
      <c r="K11" s="557"/>
      <c r="L11" s="45"/>
    </row>
    <row r="12" spans="1:12" x14ac:dyDescent="0.35">
      <c r="A12" s="1"/>
      <c r="H12" s="206"/>
      <c r="I12" s="206"/>
      <c r="J12" s="557"/>
      <c r="K12" s="558"/>
      <c r="L12" s="45"/>
    </row>
    <row r="13" spans="1:12" ht="18.5" x14ac:dyDescent="0.45">
      <c r="A13" s="19">
        <v>4</v>
      </c>
      <c r="E13" s="44" t="s">
        <v>710</v>
      </c>
      <c r="F13" s="43">
        <f>D11/F11</f>
        <v>76.863865341786862</v>
      </c>
      <c r="H13" s="206"/>
      <c r="I13" s="206"/>
      <c r="J13" s="429" t="s">
        <v>865</v>
      </c>
      <c r="K13" s="430">
        <f>I11/K9</f>
        <v>288.27786294844969</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54" t="s">
        <v>190</v>
      </c>
      <c r="E16" s="555"/>
      <c r="F16" s="555"/>
      <c r="G16" s="556"/>
      <c r="H16" s="554" t="s">
        <v>191</v>
      </c>
      <c r="I16" s="555"/>
      <c r="J16" s="555"/>
      <c r="K16" s="556"/>
    </row>
    <row r="17" spans="1:11" ht="43.5" x14ac:dyDescent="0.35">
      <c r="B17" s="208" t="s">
        <v>40</v>
      </c>
      <c r="C17" s="208" t="s">
        <v>11</v>
      </c>
      <c r="D17" s="208" t="s">
        <v>712</v>
      </c>
      <c r="E17" s="239" t="s">
        <v>711</v>
      </c>
      <c r="F17" s="377" t="s">
        <v>714</v>
      </c>
      <c r="G17" s="240" t="s">
        <v>713</v>
      </c>
      <c r="H17" s="240" t="s">
        <v>715</v>
      </c>
      <c r="I17" s="239" t="s">
        <v>483</v>
      </c>
      <c r="J17" s="16" t="s">
        <v>716</v>
      </c>
      <c r="K17" s="15" t="s">
        <v>717</v>
      </c>
    </row>
    <row r="18" spans="1:11" s="22" customFormat="1" x14ac:dyDescent="0.35">
      <c r="A18" s="19">
        <v>5</v>
      </c>
      <c r="B18" s="424" t="s">
        <v>786</v>
      </c>
      <c r="C18" s="20" t="s">
        <v>787</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2</v>
      </c>
      <c r="E19" s="410">
        <v>0</v>
      </c>
      <c r="F19" s="148">
        <f>D19*E19</f>
        <v>0</v>
      </c>
      <c r="G19" s="149">
        <f t="shared" si="0"/>
        <v>0</v>
      </c>
      <c r="H19" s="150">
        <f>'Schedule 4 Adjustments'!N18</f>
        <v>9</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318</v>
      </c>
      <c r="D22" s="116">
        <f>'Schedule 4 Adjustments'!F21</f>
        <v>0</v>
      </c>
      <c r="E22" s="410">
        <v>0.44</v>
      </c>
      <c r="F22" s="47">
        <f t="shared" si="4"/>
        <v>0</v>
      </c>
      <c r="G22" s="21">
        <f t="shared" si="0"/>
        <v>33.820100750386217</v>
      </c>
      <c r="H22" s="150">
        <f>'Schedule 4 Adjustments'!N21</f>
        <v>0</v>
      </c>
      <c r="I22" s="410">
        <v>0.39</v>
      </c>
      <c r="J22" s="47">
        <f t="shared" si="3"/>
        <v>0</v>
      </c>
      <c r="K22" s="21">
        <f t="shared" si="2"/>
        <v>29.976907483296877</v>
      </c>
    </row>
    <row r="23" spans="1:11" s="22" customFormat="1" x14ac:dyDescent="0.35">
      <c r="A23" s="19">
        <v>10</v>
      </c>
      <c r="B23" s="19">
        <v>90791</v>
      </c>
      <c r="C23" s="20" t="s">
        <v>319</v>
      </c>
      <c r="D23" s="116">
        <f>'Schedule 4 Adjustments'!F22</f>
        <v>1021</v>
      </c>
      <c r="E23" s="410">
        <v>5.17</v>
      </c>
      <c r="F23" s="47">
        <f t="shared" si="4"/>
        <v>5278.57</v>
      </c>
      <c r="G23" s="21">
        <f t="shared" si="0"/>
        <v>397.38618381703805</v>
      </c>
      <c r="H23" s="150">
        <f>'Schedule 4 Adjustments'!N22</f>
        <v>471</v>
      </c>
      <c r="I23" s="410">
        <v>4.43</v>
      </c>
      <c r="J23" s="47">
        <f t="shared" si="3"/>
        <v>2086.5299999999997</v>
      </c>
      <c r="K23" s="21">
        <f t="shared" si="2"/>
        <v>340.5069234641158</v>
      </c>
    </row>
    <row r="24" spans="1:11" s="22" customFormat="1" x14ac:dyDescent="0.35">
      <c r="A24" s="19">
        <v>11</v>
      </c>
      <c r="B24" s="19">
        <v>90792</v>
      </c>
      <c r="C24" s="20" t="s">
        <v>320</v>
      </c>
      <c r="D24" s="116">
        <f>'Schedule 4 Adjustments'!F23</f>
        <v>791</v>
      </c>
      <c r="E24" s="410">
        <v>5.82</v>
      </c>
      <c r="F24" s="47">
        <f t="shared" si="4"/>
        <v>4603.62</v>
      </c>
      <c r="G24" s="21">
        <f t="shared" si="0"/>
        <v>447.34769628919958</v>
      </c>
      <c r="H24" s="150">
        <f>'Schedule 4 Adjustments'!N23</f>
        <v>132</v>
      </c>
      <c r="I24" s="410">
        <v>5.08</v>
      </c>
      <c r="J24" s="47">
        <f t="shared" si="3"/>
        <v>670.56000000000006</v>
      </c>
      <c r="K24" s="21">
        <f t="shared" si="2"/>
        <v>390.46843593627727</v>
      </c>
    </row>
    <row r="25" spans="1:11" s="22" customFormat="1" x14ac:dyDescent="0.35">
      <c r="A25" s="19">
        <v>12</v>
      </c>
      <c r="B25" s="19">
        <v>90832</v>
      </c>
      <c r="C25" s="20" t="s">
        <v>324</v>
      </c>
      <c r="D25" s="116">
        <f>'Schedule 4 Adjustments'!F24</f>
        <v>952</v>
      </c>
      <c r="E25" s="410">
        <v>2.35</v>
      </c>
      <c r="F25" s="47">
        <f t="shared" si="4"/>
        <v>2237.2000000000003</v>
      </c>
      <c r="G25" s="21">
        <f t="shared" si="0"/>
        <v>180.63008355319914</v>
      </c>
      <c r="H25" s="150">
        <f>'Schedule 4 Adjustments'!N24</f>
        <v>329</v>
      </c>
      <c r="I25" s="410">
        <v>2.0499999999999998</v>
      </c>
      <c r="J25" s="47">
        <f t="shared" si="3"/>
        <v>674.44999999999993</v>
      </c>
      <c r="K25" s="21">
        <f t="shared" si="2"/>
        <v>157.57092395066306</v>
      </c>
    </row>
    <row r="26" spans="1:11" s="22" customFormat="1" x14ac:dyDescent="0.35">
      <c r="A26" s="19">
        <v>13</v>
      </c>
      <c r="B26" s="19">
        <v>90833</v>
      </c>
      <c r="C26" s="20" t="s">
        <v>321</v>
      </c>
      <c r="D26" s="116">
        <f>'Schedule 4 Adjustments'!F25</f>
        <v>0</v>
      </c>
      <c r="E26" s="410">
        <v>2.16</v>
      </c>
      <c r="F26" s="47">
        <f t="shared" si="4"/>
        <v>0</v>
      </c>
      <c r="G26" s="21">
        <f t="shared" si="0"/>
        <v>166.02594913825965</v>
      </c>
      <c r="H26" s="150">
        <f>'Schedule 4 Adjustments'!N25</f>
        <v>0</v>
      </c>
      <c r="I26" s="410">
        <v>1.92</v>
      </c>
      <c r="J26" s="47">
        <f t="shared" si="3"/>
        <v>0</v>
      </c>
      <c r="K26" s="21">
        <f t="shared" si="2"/>
        <v>147.57862145623076</v>
      </c>
    </row>
    <row r="27" spans="1:11" s="22" customFormat="1" x14ac:dyDescent="0.35">
      <c r="A27" s="19">
        <v>14</v>
      </c>
      <c r="B27" s="19">
        <v>90834</v>
      </c>
      <c r="C27" s="20" t="s">
        <v>322</v>
      </c>
      <c r="D27" s="116">
        <f>'Schedule 4 Adjustments'!F26</f>
        <v>1016</v>
      </c>
      <c r="E27" s="410">
        <v>3.1</v>
      </c>
      <c r="F27" s="47">
        <f t="shared" si="4"/>
        <v>3149.6</v>
      </c>
      <c r="G27" s="21">
        <f t="shared" si="0"/>
        <v>238.27798255953928</v>
      </c>
      <c r="H27" s="150">
        <f>'Schedule 4 Adjustments'!N26</f>
        <v>564</v>
      </c>
      <c r="I27" s="410">
        <v>2.71</v>
      </c>
      <c r="J27" s="47">
        <f t="shared" si="3"/>
        <v>1528.44</v>
      </c>
      <c r="K27" s="21">
        <f t="shared" si="2"/>
        <v>208.3010750762424</v>
      </c>
    </row>
    <row r="28" spans="1:11" s="22" customFormat="1" x14ac:dyDescent="0.35">
      <c r="A28" s="19">
        <v>15</v>
      </c>
      <c r="B28" s="19">
        <v>90836</v>
      </c>
      <c r="C28" s="20" t="s">
        <v>325</v>
      </c>
      <c r="D28" s="116">
        <f>'Schedule 4 Adjustments'!F27</f>
        <v>0</v>
      </c>
      <c r="E28" s="410">
        <v>2.73</v>
      </c>
      <c r="F28" s="47">
        <f t="shared" si="4"/>
        <v>0</v>
      </c>
      <c r="G28" s="21">
        <f t="shared" si="0"/>
        <v>209.83835238307813</v>
      </c>
      <c r="H28" s="150">
        <f>'Schedule 4 Adjustments'!N27</f>
        <v>0</v>
      </c>
      <c r="I28" s="410">
        <v>2.4300000000000002</v>
      </c>
      <c r="J28" s="47">
        <f t="shared" si="3"/>
        <v>0</v>
      </c>
      <c r="K28" s="21">
        <f t="shared" si="2"/>
        <v>186.77919278054208</v>
      </c>
    </row>
    <row r="29" spans="1:11" s="22" customFormat="1" x14ac:dyDescent="0.35">
      <c r="A29" s="19">
        <v>16</v>
      </c>
      <c r="B29" s="19">
        <v>90837</v>
      </c>
      <c r="C29" s="20" t="s">
        <v>323</v>
      </c>
      <c r="D29" s="116">
        <f>'Schedule 4 Adjustments'!F28</f>
        <v>4693</v>
      </c>
      <c r="E29" s="410">
        <v>4.57</v>
      </c>
      <c r="F29" s="47">
        <f t="shared" si="4"/>
        <v>21447.010000000002</v>
      </c>
      <c r="G29" s="21">
        <f t="shared" si="0"/>
        <v>351.26786461196599</v>
      </c>
      <c r="H29" s="150">
        <f>'Schedule 4 Adjustments'!N28</f>
        <v>5676</v>
      </c>
      <c r="I29" s="410">
        <v>4</v>
      </c>
      <c r="J29" s="47">
        <f t="shared" si="3"/>
        <v>22704</v>
      </c>
      <c r="K29" s="21">
        <f t="shared" si="2"/>
        <v>307.45546136714745</v>
      </c>
    </row>
    <row r="30" spans="1:11" s="22" customFormat="1" x14ac:dyDescent="0.35">
      <c r="A30" s="19">
        <v>17</v>
      </c>
      <c r="B30" s="19">
        <v>90838</v>
      </c>
      <c r="C30" s="20" t="s">
        <v>326</v>
      </c>
      <c r="D30" s="116">
        <f>'Schedule 4 Adjustments'!F29</f>
        <v>0</v>
      </c>
      <c r="E30" s="410">
        <v>3.62</v>
      </c>
      <c r="F30" s="47">
        <f t="shared" si="4"/>
        <v>0</v>
      </c>
      <c r="G30" s="21">
        <f t="shared" si="0"/>
        <v>278.24719253726846</v>
      </c>
      <c r="H30" s="150">
        <f>'Schedule 4 Adjustments'!N29</f>
        <v>0</v>
      </c>
      <c r="I30" s="410">
        <v>3.22</v>
      </c>
      <c r="J30" s="47">
        <f t="shared" si="3"/>
        <v>0</v>
      </c>
      <c r="K30" s="21">
        <f t="shared" si="2"/>
        <v>247.50164640055371</v>
      </c>
    </row>
    <row r="31" spans="1:11" s="22" customFormat="1" x14ac:dyDescent="0.35">
      <c r="A31" s="19">
        <v>18</v>
      </c>
      <c r="B31" s="19">
        <v>90839</v>
      </c>
      <c r="C31" s="20" t="s">
        <v>328</v>
      </c>
      <c r="D31" s="116">
        <f>'Schedule 4 Adjustments'!F30</f>
        <v>189</v>
      </c>
      <c r="E31" s="410">
        <v>4.4000000000000004</v>
      </c>
      <c r="F31" s="47">
        <f t="shared" si="4"/>
        <v>831.6</v>
      </c>
      <c r="G31" s="21">
        <f t="shared" si="0"/>
        <v>338.20100750386223</v>
      </c>
      <c r="H31" s="150">
        <f>'Schedule 4 Adjustments'!N30</f>
        <v>51</v>
      </c>
      <c r="I31" s="410">
        <v>3.87</v>
      </c>
      <c r="J31" s="47">
        <f t="shared" si="3"/>
        <v>197.37</v>
      </c>
      <c r="K31" s="21">
        <f t="shared" si="2"/>
        <v>297.46315887271516</v>
      </c>
    </row>
    <row r="32" spans="1:11" s="22" customFormat="1" x14ac:dyDescent="0.35">
      <c r="A32" s="19">
        <v>19</v>
      </c>
      <c r="B32" s="19">
        <v>90840</v>
      </c>
      <c r="C32" s="20" t="s">
        <v>327</v>
      </c>
      <c r="D32" s="116">
        <f>'Schedule 4 Adjustments'!F31</f>
        <v>46</v>
      </c>
      <c r="E32" s="410">
        <v>2.1800000000000002</v>
      </c>
      <c r="F32" s="47">
        <f t="shared" si="4"/>
        <v>100.28</v>
      </c>
      <c r="G32" s="21">
        <f t="shared" si="0"/>
        <v>167.56322644509538</v>
      </c>
      <c r="H32" s="150">
        <f>'Schedule 4 Adjustments'!N31</f>
        <v>18</v>
      </c>
      <c r="I32" s="410">
        <v>1.94</v>
      </c>
      <c r="J32" s="47">
        <f t="shared" si="3"/>
        <v>34.92</v>
      </c>
      <c r="K32" s="21">
        <f t="shared" si="2"/>
        <v>149.1158987630665</v>
      </c>
    </row>
    <row r="33" spans="1:11" s="22" customFormat="1" x14ac:dyDescent="0.35">
      <c r="A33" s="19">
        <v>20</v>
      </c>
      <c r="B33" s="19">
        <v>90846</v>
      </c>
      <c r="C33" s="20" t="s">
        <v>113</v>
      </c>
      <c r="D33" s="116">
        <f>'Schedule 4 Adjustments'!F32</f>
        <v>78</v>
      </c>
      <c r="E33" s="410">
        <v>2.93</v>
      </c>
      <c r="F33" s="47">
        <f t="shared" si="4"/>
        <v>228.54000000000002</v>
      </c>
      <c r="G33" s="21">
        <f t="shared" si="0"/>
        <v>225.21112545143552</v>
      </c>
      <c r="H33" s="150">
        <f>'Schedule 4 Adjustments'!N32</f>
        <v>40</v>
      </c>
      <c r="I33" s="410">
        <v>2.92</v>
      </c>
      <c r="J33" s="47">
        <f t="shared" si="3"/>
        <v>116.8</v>
      </c>
      <c r="K33" s="21">
        <f t="shared" si="2"/>
        <v>224.44248679801763</v>
      </c>
    </row>
    <row r="34" spans="1:11" s="22" customFormat="1" x14ac:dyDescent="0.35">
      <c r="A34" s="19">
        <v>21</v>
      </c>
      <c r="B34" s="19">
        <v>90847</v>
      </c>
      <c r="C34" s="20" t="s">
        <v>114</v>
      </c>
      <c r="D34" s="116">
        <f>'Schedule 4 Adjustments'!F33</f>
        <v>188</v>
      </c>
      <c r="E34" s="410">
        <v>3.07</v>
      </c>
      <c r="F34" s="47">
        <f t="shared" si="4"/>
        <v>577.16</v>
      </c>
      <c r="G34" s="21">
        <f t="shared" si="0"/>
        <v>235.97206659928565</v>
      </c>
      <c r="H34" s="150">
        <f>'Schedule 4 Adjustments'!N33</f>
        <v>222</v>
      </c>
      <c r="I34" s="410">
        <v>3.05</v>
      </c>
      <c r="J34" s="47">
        <f t="shared" si="3"/>
        <v>677.09999999999991</v>
      </c>
      <c r="K34" s="21">
        <f t="shared" si="2"/>
        <v>234.43478929244992</v>
      </c>
    </row>
    <row r="35" spans="1:11" s="22" customFormat="1" x14ac:dyDescent="0.35">
      <c r="A35" s="19">
        <v>22</v>
      </c>
      <c r="B35" s="19">
        <v>90849</v>
      </c>
      <c r="C35" s="20" t="s">
        <v>115</v>
      </c>
      <c r="D35" s="116">
        <f>'Schedule 4 Adjustments'!F34</f>
        <v>0</v>
      </c>
      <c r="E35" s="410">
        <v>1.1299999999999999</v>
      </c>
      <c r="F35" s="47">
        <f t="shared" si="4"/>
        <v>0</v>
      </c>
      <c r="G35" s="21">
        <f t="shared" si="0"/>
        <v>86.856167836219143</v>
      </c>
      <c r="H35" s="150">
        <f>'Schedule 4 Adjustments'!N34</f>
        <v>0</v>
      </c>
      <c r="I35" s="410">
        <v>0.88</v>
      </c>
      <c r="J35" s="47">
        <f t="shared" si="3"/>
        <v>0</v>
      </c>
      <c r="K35" s="21">
        <f t="shared" si="2"/>
        <v>67.640201500772434</v>
      </c>
    </row>
    <row r="36" spans="1:11" s="22" customFormat="1" x14ac:dyDescent="0.35">
      <c r="A36" s="19">
        <v>23</v>
      </c>
      <c r="B36" s="19">
        <v>90853</v>
      </c>
      <c r="C36" s="20" t="s">
        <v>116</v>
      </c>
      <c r="D36" s="116">
        <f>'Schedule 4 Adjustments'!F35</f>
        <v>140</v>
      </c>
      <c r="E36" s="410">
        <v>0.83</v>
      </c>
      <c r="F36" s="47">
        <f t="shared" si="4"/>
        <v>116.19999999999999</v>
      </c>
      <c r="G36" s="21">
        <f t="shared" si="0"/>
        <v>63.797008233683094</v>
      </c>
      <c r="H36" s="150">
        <f>'Schedule 4 Adjustments'!N35</f>
        <v>628</v>
      </c>
      <c r="I36" s="410">
        <v>0.72</v>
      </c>
      <c r="J36" s="47">
        <f t="shared" si="3"/>
        <v>452.15999999999997</v>
      </c>
      <c r="K36" s="21">
        <f t="shared" si="2"/>
        <v>55.34198304608654</v>
      </c>
    </row>
    <row r="37" spans="1:11" s="22" customFormat="1" x14ac:dyDescent="0.35">
      <c r="A37" s="19">
        <v>24</v>
      </c>
      <c r="B37" s="19">
        <v>90870</v>
      </c>
      <c r="C37" s="20" t="s">
        <v>117</v>
      </c>
      <c r="D37" s="116">
        <f>'Schedule 4 Adjustments'!F36</f>
        <v>0</v>
      </c>
      <c r="E37" s="410">
        <v>5.18</v>
      </c>
      <c r="F37" s="47">
        <f t="shared" si="4"/>
        <v>0</v>
      </c>
      <c r="G37" s="21">
        <f t="shared" si="0"/>
        <v>398.15482247045594</v>
      </c>
      <c r="H37" s="150">
        <f>'Schedule 4 Adjustments'!N36</f>
        <v>0</v>
      </c>
      <c r="I37" s="410">
        <v>3.12</v>
      </c>
      <c r="J37" s="47">
        <f t="shared" si="3"/>
        <v>0</v>
      </c>
      <c r="K37" s="21">
        <f t="shared" si="2"/>
        <v>239.81525986637502</v>
      </c>
    </row>
    <row r="38" spans="1:11" s="22" customFormat="1" x14ac:dyDescent="0.35">
      <c r="A38" s="19">
        <v>25</v>
      </c>
      <c r="B38" s="19">
        <v>90875</v>
      </c>
      <c r="C38" s="20" t="s">
        <v>152</v>
      </c>
      <c r="D38" s="116">
        <f>'Schedule 4 Adjustments'!F37</f>
        <v>0</v>
      </c>
      <c r="E38" s="410">
        <v>1.75</v>
      </c>
      <c r="F38" s="47">
        <f t="shared" si="4"/>
        <v>0</v>
      </c>
      <c r="G38" s="21">
        <f t="shared" si="0"/>
        <v>134.511764348127</v>
      </c>
      <c r="H38" s="150">
        <f>'Schedule 4 Adjustments'!N37</f>
        <v>0</v>
      </c>
      <c r="I38" s="410">
        <v>1.74</v>
      </c>
      <c r="J38" s="47">
        <f t="shared" si="3"/>
        <v>0</v>
      </c>
      <c r="K38" s="21">
        <f t="shared" si="2"/>
        <v>133.74312569470914</v>
      </c>
    </row>
    <row r="39" spans="1:11" s="22" customFormat="1" x14ac:dyDescent="0.35">
      <c r="A39" s="19">
        <v>26</v>
      </c>
      <c r="B39" s="19">
        <v>90876</v>
      </c>
      <c r="C39" s="20" t="s">
        <v>153</v>
      </c>
      <c r="D39" s="116">
        <f>'Schedule 4 Adjustments'!F38</f>
        <v>0</v>
      </c>
      <c r="E39" s="410">
        <v>3.08</v>
      </c>
      <c r="F39" s="47">
        <f t="shared" si="4"/>
        <v>0</v>
      </c>
      <c r="G39" s="21">
        <f t="shared" si="0"/>
        <v>236.74070525270355</v>
      </c>
      <c r="H39" s="150">
        <f>'Schedule 4 Adjustments'!N38</f>
        <v>0</v>
      </c>
      <c r="I39" s="410">
        <v>2.76</v>
      </c>
      <c r="J39" s="47">
        <f t="shared" si="3"/>
        <v>0</v>
      </c>
      <c r="K39" s="21">
        <f t="shared" si="2"/>
        <v>212.14426834333173</v>
      </c>
    </row>
    <row r="40" spans="1:11" s="22" customFormat="1" x14ac:dyDescent="0.35">
      <c r="A40" s="19">
        <v>27</v>
      </c>
      <c r="B40" s="19">
        <v>90887</v>
      </c>
      <c r="C40" s="20" t="s">
        <v>329</v>
      </c>
      <c r="D40" s="116">
        <f>'Schedule 4 Adjustments'!F39</f>
        <v>0</v>
      </c>
      <c r="E40" s="410">
        <v>2.56</v>
      </c>
      <c r="F40" s="47">
        <f t="shared" si="4"/>
        <v>0</v>
      </c>
      <c r="G40" s="21">
        <f t="shared" si="0"/>
        <v>196.77149527497437</v>
      </c>
      <c r="H40" s="150">
        <f>'Schedule 4 Adjustments'!N39</f>
        <v>0</v>
      </c>
      <c r="I40" s="410">
        <v>2.14</v>
      </c>
      <c r="J40" s="47">
        <f t="shared" si="3"/>
        <v>0</v>
      </c>
      <c r="K40" s="21">
        <f t="shared" si="2"/>
        <v>164.48867183142389</v>
      </c>
    </row>
    <row r="41" spans="1:11" s="22" customFormat="1" x14ac:dyDescent="0.35">
      <c r="A41" s="19">
        <v>28</v>
      </c>
      <c r="B41" s="19">
        <v>96116</v>
      </c>
      <c r="C41" s="20" t="s">
        <v>340</v>
      </c>
      <c r="D41" s="116">
        <f>'Schedule 4 Adjustments'!F40</f>
        <v>0</v>
      </c>
      <c r="E41" s="410">
        <v>2.76</v>
      </c>
      <c r="F41" s="47">
        <f t="shared" si="4"/>
        <v>0</v>
      </c>
      <c r="G41" s="21">
        <f t="shared" si="0"/>
        <v>212.14426834333173</v>
      </c>
      <c r="H41" s="150">
        <f>'Schedule 4 Adjustments'!N40</f>
        <v>0</v>
      </c>
      <c r="I41" s="410">
        <v>2.37</v>
      </c>
      <c r="J41" s="47">
        <f t="shared" si="3"/>
        <v>0</v>
      </c>
      <c r="K41" s="21">
        <f t="shared" si="2"/>
        <v>182.16736086003488</v>
      </c>
    </row>
    <row r="42" spans="1:11" s="22" customFormat="1" x14ac:dyDescent="0.35">
      <c r="A42" s="19">
        <v>29</v>
      </c>
      <c r="B42" s="19">
        <v>96121</v>
      </c>
      <c r="C42" s="20" t="s">
        <v>339</v>
      </c>
      <c r="D42" s="116">
        <f>'Schedule 4 Adjustments'!F41</f>
        <v>0</v>
      </c>
      <c r="E42" s="410">
        <v>2.25</v>
      </c>
      <c r="F42" s="47">
        <f t="shared" si="4"/>
        <v>0</v>
      </c>
      <c r="G42" s="21">
        <f t="shared" si="0"/>
        <v>172.94369701902045</v>
      </c>
      <c r="H42" s="150">
        <f>'Schedule 4 Adjustments'!N41</f>
        <v>0</v>
      </c>
      <c r="I42" s="410">
        <v>1.97</v>
      </c>
      <c r="J42" s="47">
        <f t="shared" si="3"/>
        <v>0</v>
      </c>
      <c r="K42" s="21">
        <f t="shared" si="2"/>
        <v>151.42181472332013</v>
      </c>
    </row>
    <row r="43" spans="1:11" s="22" customFormat="1" x14ac:dyDescent="0.35">
      <c r="A43" s="19">
        <v>30</v>
      </c>
      <c r="B43" s="19">
        <v>96130</v>
      </c>
      <c r="C43" s="20" t="s">
        <v>337</v>
      </c>
      <c r="D43" s="116">
        <f>'Schedule 4 Adjustments'!F42</f>
        <v>0</v>
      </c>
      <c r="E43" s="410">
        <v>3.6</v>
      </c>
      <c r="F43" s="47">
        <f t="shared" si="4"/>
        <v>0</v>
      </c>
      <c r="G43" s="21">
        <f t="shared" si="0"/>
        <v>276.70991523043273</v>
      </c>
      <c r="H43" s="150">
        <f>'Schedule 4 Adjustments'!N42</f>
        <v>0</v>
      </c>
      <c r="I43" s="410">
        <v>3.25</v>
      </c>
      <c r="J43" s="47">
        <f t="shared" si="3"/>
        <v>0</v>
      </c>
      <c r="K43" s="21">
        <f t="shared" si="2"/>
        <v>249.80756236080731</v>
      </c>
    </row>
    <row r="44" spans="1:11" s="22" customFormat="1" x14ac:dyDescent="0.35">
      <c r="A44" s="19">
        <v>31</v>
      </c>
      <c r="B44" s="19">
        <v>96131</v>
      </c>
      <c r="C44" s="20" t="s">
        <v>338</v>
      </c>
      <c r="D44" s="116">
        <f>'Schedule 4 Adjustments'!F43</f>
        <v>0</v>
      </c>
      <c r="E44" s="410">
        <v>2.57</v>
      </c>
      <c r="F44" s="47">
        <f t="shared" si="4"/>
        <v>0</v>
      </c>
      <c r="G44" s="21">
        <f t="shared" si="0"/>
        <v>197.54013392839224</v>
      </c>
      <c r="H44" s="150">
        <f>'Schedule 4 Adjustments'!N43</f>
        <v>0</v>
      </c>
      <c r="I44" s="410">
        <v>2.25</v>
      </c>
      <c r="J44" s="47">
        <f t="shared" si="3"/>
        <v>0</v>
      </c>
      <c r="K44" s="21">
        <f t="shared" si="2"/>
        <v>172.94369701902045</v>
      </c>
    </row>
    <row r="45" spans="1:11" s="22" customFormat="1" x14ac:dyDescent="0.35">
      <c r="A45" s="19">
        <v>32</v>
      </c>
      <c r="B45" s="19">
        <v>96132</v>
      </c>
      <c r="C45" s="20" t="s">
        <v>331</v>
      </c>
      <c r="D45" s="116">
        <f>'Schedule 4 Adjustments'!F44</f>
        <v>0</v>
      </c>
      <c r="E45" s="410">
        <v>3.85</v>
      </c>
      <c r="F45" s="47">
        <f t="shared" si="4"/>
        <v>0</v>
      </c>
      <c r="G45" s="21">
        <f t="shared" si="0"/>
        <v>295.92588156587942</v>
      </c>
      <c r="H45" s="150">
        <f>'Schedule 4 Adjustments'!N44</f>
        <v>0</v>
      </c>
      <c r="I45" s="410">
        <v>3.14</v>
      </c>
      <c r="J45" s="47">
        <f t="shared" si="3"/>
        <v>0</v>
      </c>
      <c r="K45" s="21">
        <f t="shared" si="2"/>
        <v>241.35253717321075</v>
      </c>
    </row>
    <row r="46" spans="1:11" s="22" customFormat="1" x14ac:dyDescent="0.35">
      <c r="A46" s="19">
        <v>33</v>
      </c>
      <c r="B46" s="19">
        <v>96133</v>
      </c>
      <c r="C46" s="20" t="s">
        <v>332</v>
      </c>
      <c r="D46" s="116">
        <f>'Schedule 4 Adjustments'!F45</f>
        <v>0</v>
      </c>
      <c r="E46" s="410">
        <v>2.92</v>
      </c>
      <c r="F46" s="47">
        <f t="shared" si="4"/>
        <v>0</v>
      </c>
      <c r="G46" s="21">
        <f t="shared" si="0"/>
        <v>224.44248679801763</v>
      </c>
      <c r="H46" s="150">
        <f>'Schedule 4 Adjustments'!N45</f>
        <v>0</v>
      </c>
      <c r="I46" s="410">
        <v>2.2599999999999998</v>
      </c>
      <c r="J46" s="47">
        <f t="shared" si="3"/>
        <v>0</v>
      </c>
      <c r="K46" s="21">
        <f t="shared" si="2"/>
        <v>173.71233567243829</v>
      </c>
    </row>
    <row r="47" spans="1:11" s="22" customFormat="1" x14ac:dyDescent="0.35">
      <c r="A47" s="19">
        <v>34</v>
      </c>
      <c r="B47" s="19">
        <v>96136</v>
      </c>
      <c r="C47" s="20" t="s">
        <v>333</v>
      </c>
      <c r="D47" s="116">
        <f>'Schedule 4 Adjustments'!F46</f>
        <v>0</v>
      </c>
      <c r="E47" s="410">
        <v>1.25</v>
      </c>
      <c r="F47" s="47">
        <f t="shared" si="4"/>
        <v>0</v>
      </c>
      <c r="G47" s="21">
        <f t="shared" si="0"/>
        <v>96.079831677233585</v>
      </c>
      <c r="H47" s="150">
        <f>'Schedule 4 Adjustments'!N46</f>
        <v>0</v>
      </c>
      <c r="I47" s="410">
        <v>0.69</v>
      </c>
      <c r="J47" s="47">
        <f t="shared" si="3"/>
        <v>0</v>
      </c>
      <c r="K47" s="21">
        <f t="shared" si="2"/>
        <v>53.036067085832933</v>
      </c>
    </row>
    <row r="48" spans="1:11" s="22" customFormat="1" x14ac:dyDescent="0.35">
      <c r="A48" s="19">
        <v>35</v>
      </c>
      <c r="B48" s="19">
        <v>96137</v>
      </c>
      <c r="C48" s="20" t="s">
        <v>334</v>
      </c>
      <c r="D48" s="116">
        <f>'Schedule 4 Adjustments'!F47</f>
        <v>0</v>
      </c>
      <c r="E48" s="410">
        <v>1.1299999999999999</v>
      </c>
      <c r="F48" s="47">
        <f t="shared" si="4"/>
        <v>0</v>
      </c>
      <c r="G48" s="21">
        <f t="shared" si="0"/>
        <v>86.856167836219143</v>
      </c>
      <c r="H48" s="150">
        <f>'Schedule 4 Adjustments'!N47</f>
        <v>0</v>
      </c>
      <c r="I48" s="410">
        <v>0.53</v>
      </c>
      <c r="J48" s="47">
        <f t="shared" si="3"/>
        <v>0</v>
      </c>
      <c r="K48" s="21">
        <f t="shared" si="2"/>
        <v>40.737848631147038</v>
      </c>
    </row>
    <row r="49" spans="1:11" s="22" customFormat="1" x14ac:dyDescent="0.35">
      <c r="A49" s="19">
        <v>36</v>
      </c>
      <c r="B49" s="19">
        <v>96138</v>
      </c>
      <c r="C49" s="20" t="s">
        <v>335</v>
      </c>
      <c r="D49" s="116">
        <f>'Schedule 4 Adjustments'!F48</f>
        <v>0</v>
      </c>
      <c r="E49" s="410">
        <v>1.03</v>
      </c>
      <c r="F49" s="47">
        <f t="shared" si="4"/>
        <v>0</v>
      </c>
      <c r="G49" s="21">
        <f t="shared" si="0"/>
        <v>79.169781302040477</v>
      </c>
      <c r="H49" s="150">
        <f>'Schedule 4 Adjustments'!N48</f>
        <v>0</v>
      </c>
      <c r="I49" s="410">
        <v>0.56999999999999995</v>
      </c>
      <c r="J49" s="47">
        <f t="shared" si="3"/>
        <v>0</v>
      </c>
      <c r="K49" s="21">
        <f t="shared" si="2"/>
        <v>43.812403244818505</v>
      </c>
    </row>
    <row r="50" spans="1:11" s="22" customFormat="1" x14ac:dyDescent="0.35">
      <c r="A50" s="19">
        <v>37</v>
      </c>
      <c r="B50" s="19">
        <v>96139</v>
      </c>
      <c r="C50" s="20" t="s">
        <v>336</v>
      </c>
      <c r="D50" s="116">
        <f>'Schedule 4 Adjustments'!F49</f>
        <v>0</v>
      </c>
      <c r="E50" s="410">
        <v>1.06</v>
      </c>
      <c r="F50" s="47">
        <f t="shared" si="4"/>
        <v>0</v>
      </c>
      <c r="G50" s="21">
        <f t="shared" si="0"/>
        <v>81.475697262294076</v>
      </c>
      <c r="H50" s="150">
        <f>'Schedule 4 Adjustments'!N49</f>
        <v>0</v>
      </c>
      <c r="I50" s="410">
        <v>0.5</v>
      </c>
      <c r="J50" s="47">
        <f t="shared" si="3"/>
        <v>0</v>
      </c>
      <c r="K50" s="21">
        <f t="shared" si="2"/>
        <v>38.431932670893431</v>
      </c>
    </row>
    <row r="51" spans="1:11" s="22" customFormat="1" x14ac:dyDescent="0.35">
      <c r="A51" s="19">
        <v>38</v>
      </c>
      <c r="B51" s="19">
        <v>96146</v>
      </c>
      <c r="C51" s="20" t="s">
        <v>330</v>
      </c>
      <c r="D51" s="116">
        <f>'Schedule 4 Adjustments'!F50</f>
        <v>0</v>
      </c>
      <c r="E51" s="410">
        <v>7.0000000000000007E-2</v>
      </c>
      <c r="F51" s="47">
        <f t="shared" si="4"/>
        <v>0</v>
      </c>
      <c r="G51" s="21">
        <f t="shared" si="0"/>
        <v>5.3804705739250807</v>
      </c>
      <c r="H51" s="150">
        <f>'Schedule 4 Adjustments'!N50</f>
        <v>0</v>
      </c>
      <c r="I51" s="410">
        <v>7.0000000000000007E-2</v>
      </c>
      <c r="J51" s="47">
        <f t="shared" si="3"/>
        <v>0</v>
      </c>
      <c r="K51" s="21">
        <f t="shared" si="2"/>
        <v>5.3804705739250807</v>
      </c>
    </row>
    <row r="52" spans="1:11" s="22" customFormat="1" x14ac:dyDescent="0.35">
      <c r="A52" s="19">
        <v>39</v>
      </c>
      <c r="B52" s="19">
        <v>96372</v>
      </c>
      <c r="C52" s="20" t="s">
        <v>118</v>
      </c>
      <c r="D52" s="116">
        <f>'Schedule 4 Adjustments'!F51</f>
        <v>148</v>
      </c>
      <c r="E52" s="410">
        <v>0.43</v>
      </c>
      <c r="F52" s="47">
        <f t="shared" si="4"/>
        <v>63.64</v>
      </c>
      <c r="G52" s="21">
        <f t="shared" si="0"/>
        <v>33.051462096968351</v>
      </c>
      <c r="H52" s="150">
        <f>'Schedule 4 Adjustments'!N51</f>
        <v>184</v>
      </c>
      <c r="I52" s="410">
        <v>0.43</v>
      </c>
      <c r="J52" s="47">
        <f t="shared" si="3"/>
        <v>79.12</v>
      </c>
      <c r="K52" s="21">
        <f t="shared" si="2"/>
        <v>33.051462096968351</v>
      </c>
    </row>
    <row r="53" spans="1:11" s="22" customFormat="1" x14ac:dyDescent="0.35">
      <c r="A53" s="19">
        <v>40</v>
      </c>
      <c r="B53" s="19">
        <v>97535</v>
      </c>
      <c r="C53" s="20" t="s">
        <v>119</v>
      </c>
      <c r="D53" s="116">
        <f>'Schedule 4 Adjustments'!F52</f>
        <v>0</v>
      </c>
      <c r="E53" s="410">
        <v>0.98</v>
      </c>
      <c r="F53" s="47">
        <f t="shared" si="4"/>
        <v>0</v>
      </c>
      <c r="G53" s="21">
        <f t="shared" si="0"/>
        <v>75.326588034951129</v>
      </c>
      <c r="H53" s="150">
        <f>'Schedule 4 Adjustments'!N52</f>
        <v>0</v>
      </c>
      <c r="I53" s="410">
        <v>0.98</v>
      </c>
      <c r="J53" s="47">
        <f t="shared" si="3"/>
        <v>0</v>
      </c>
      <c r="K53" s="21">
        <f t="shared" si="2"/>
        <v>75.326588034951129</v>
      </c>
    </row>
    <row r="54" spans="1:11" s="22" customFormat="1" x14ac:dyDescent="0.35">
      <c r="A54" s="19">
        <v>41</v>
      </c>
      <c r="B54" s="19">
        <v>97537</v>
      </c>
      <c r="C54" s="20" t="s">
        <v>120</v>
      </c>
      <c r="D54" s="116">
        <f>'Schedule 4 Adjustments'!F53</f>
        <v>0</v>
      </c>
      <c r="E54" s="410">
        <v>0.95</v>
      </c>
      <c r="F54" s="47">
        <f t="shared" si="4"/>
        <v>0</v>
      </c>
      <c r="G54" s="21">
        <f t="shared" si="0"/>
        <v>73.020672074697515</v>
      </c>
      <c r="H54" s="150">
        <f>'Schedule 4 Adjustments'!N53</f>
        <v>0</v>
      </c>
      <c r="I54" s="410">
        <v>0.95</v>
      </c>
      <c r="J54" s="47">
        <f t="shared" si="3"/>
        <v>0</v>
      </c>
      <c r="K54" s="21">
        <f t="shared" si="2"/>
        <v>73.020672074697515</v>
      </c>
    </row>
    <row r="55" spans="1:11" s="22" customFormat="1" x14ac:dyDescent="0.35">
      <c r="A55" s="19">
        <v>42</v>
      </c>
      <c r="B55" s="19">
        <v>98966</v>
      </c>
      <c r="C55" s="20" t="s">
        <v>341</v>
      </c>
      <c r="D55" s="116">
        <f>'Schedule 4 Adjustments'!F54</f>
        <v>0</v>
      </c>
      <c r="E55" s="410">
        <v>0.39</v>
      </c>
      <c r="F55" s="47">
        <f t="shared" si="4"/>
        <v>0</v>
      </c>
      <c r="G55" s="21">
        <f t="shared" si="0"/>
        <v>29.976907483296877</v>
      </c>
      <c r="H55" s="150">
        <f>'Schedule 4 Adjustments'!N54</f>
        <v>0</v>
      </c>
      <c r="I55" s="410">
        <v>0.34</v>
      </c>
      <c r="J55" s="47">
        <f t="shared" si="3"/>
        <v>0</v>
      </c>
      <c r="K55" s="21">
        <f t="shared" si="2"/>
        <v>26.133714216207537</v>
      </c>
    </row>
    <row r="56" spans="1:11" s="22" customFormat="1" x14ac:dyDescent="0.35">
      <c r="A56" s="19">
        <v>43</v>
      </c>
      <c r="B56" s="19">
        <v>98967</v>
      </c>
      <c r="C56" s="20" t="s">
        <v>342</v>
      </c>
      <c r="D56" s="116">
        <f>'Schedule 4 Adjustments'!F55</f>
        <v>0</v>
      </c>
      <c r="E56" s="410">
        <v>0.72</v>
      </c>
      <c r="F56" s="47">
        <f t="shared" si="4"/>
        <v>0</v>
      </c>
      <c r="G56" s="21">
        <f t="shared" si="0"/>
        <v>55.34198304608654</v>
      </c>
      <c r="H56" s="150">
        <f>'Schedule 4 Adjustments'!N55</f>
        <v>0</v>
      </c>
      <c r="I56" s="410">
        <v>0.66</v>
      </c>
      <c r="J56" s="47">
        <f t="shared" si="3"/>
        <v>0</v>
      </c>
      <c r="K56" s="21">
        <f t="shared" si="2"/>
        <v>50.730151125579333</v>
      </c>
    </row>
    <row r="57" spans="1:11" s="22" customFormat="1" x14ac:dyDescent="0.35">
      <c r="A57" s="19">
        <v>44</v>
      </c>
      <c r="B57" s="19">
        <v>98968</v>
      </c>
      <c r="C57" s="20" t="s">
        <v>343</v>
      </c>
      <c r="D57" s="116">
        <f>'Schedule 4 Adjustments'!F56</f>
        <v>0</v>
      </c>
      <c r="E57" s="410">
        <v>0.99</v>
      </c>
      <c r="F57" s="47">
        <f t="shared" si="4"/>
        <v>0</v>
      </c>
      <c r="G57" s="21">
        <f t="shared" si="0"/>
        <v>76.095226688368996</v>
      </c>
      <c r="H57" s="150">
        <f>'Schedule 4 Adjustments'!N56</f>
        <v>0</v>
      </c>
      <c r="I57" s="410">
        <v>0.92</v>
      </c>
      <c r="J57" s="47">
        <f t="shared" si="3"/>
        <v>0</v>
      </c>
      <c r="K57" s="21">
        <f t="shared" si="2"/>
        <v>70.714756114443915</v>
      </c>
    </row>
    <row r="58" spans="1:11" s="22" customFormat="1" x14ac:dyDescent="0.35">
      <c r="A58" s="19">
        <v>45</v>
      </c>
      <c r="B58" s="19">
        <v>99202</v>
      </c>
      <c r="C58" s="20" t="s">
        <v>154</v>
      </c>
      <c r="D58" s="116">
        <f>'Schedule 4 Adjustments'!F57</f>
        <v>1</v>
      </c>
      <c r="E58" s="410">
        <v>2.17</v>
      </c>
      <c r="F58" s="47">
        <f t="shared" si="4"/>
        <v>2.17</v>
      </c>
      <c r="G58" s="21">
        <f t="shared" si="0"/>
        <v>166.79458779167749</v>
      </c>
      <c r="H58" s="150">
        <f>'Schedule 4 Adjustments'!N57</f>
        <v>0</v>
      </c>
      <c r="I58" s="410">
        <v>1.41</v>
      </c>
      <c r="J58" s="47">
        <f t="shared" si="3"/>
        <v>0</v>
      </c>
      <c r="K58" s="21">
        <f t="shared" si="2"/>
        <v>108.37805013191947</v>
      </c>
    </row>
    <row r="59" spans="1:11" s="22" customFormat="1" x14ac:dyDescent="0.35">
      <c r="A59" s="19">
        <v>46</v>
      </c>
      <c r="B59" s="19">
        <v>99203</v>
      </c>
      <c r="C59" s="20" t="s">
        <v>154</v>
      </c>
      <c r="D59" s="116">
        <f>'Schedule 4 Adjustments'!F58</f>
        <v>2</v>
      </c>
      <c r="E59" s="410">
        <v>3.35</v>
      </c>
      <c r="F59" s="47">
        <f t="shared" si="4"/>
        <v>6.7</v>
      </c>
      <c r="G59" s="21">
        <f t="shared" si="0"/>
        <v>257.49394889498598</v>
      </c>
      <c r="H59" s="150">
        <f>'Schedule 4 Adjustments'!N58</f>
        <v>0</v>
      </c>
      <c r="I59" s="410">
        <v>2.44</v>
      </c>
      <c r="J59" s="47">
        <f t="shared" si="3"/>
        <v>0</v>
      </c>
      <c r="K59" s="21">
        <f t="shared" si="2"/>
        <v>187.54783143395994</v>
      </c>
    </row>
    <row r="60" spans="1:11" s="22" customFormat="1" x14ac:dyDescent="0.35">
      <c r="A60" s="19">
        <v>47</v>
      </c>
      <c r="B60" s="19">
        <v>99204</v>
      </c>
      <c r="C60" s="20" t="s">
        <v>154</v>
      </c>
      <c r="D60" s="116">
        <f>'Schedule 4 Adjustments'!F59</f>
        <v>21</v>
      </c>
      <c r="E60" s="410">
        <v>5.0199999999999996</v>
      </c>
      <c r="F60" s="47">
        <f t="shared" si="4"/>
        <v>105.41999999999999</v>
      </c>
      <c r="G60" s="21">
        <f t="shared" si="0"/>
        <v>385.85660401577002</v>
      </c>
      <c r="H60" s="150">
        <f>'Schedule 4 Adjustments'!N59</f>
        <v>4</v>
      </c>
      <c r="I60" s="410">
        <v>3.97</v>
      </c>
      <c r="J60" s="47">
        <f t="shared" si="3"/>
        <v>15.88</v>
      </c>
      <c r="K60" s="21">
        <f t="shared" si="2"/>
        <v>305.14954540689388</v>
      </c>
    </row>
    <row r="61" spans="1:11" s="22" customFormat="1" x14ac:dyDescent="0.35">
      <c r="A61" s="19">
        <v>48</v>
      </c>
      <c r="B61" s="19">
        <v>99205</v>
      </c>
      <c r="C61" s="20" t="s">
        <v>154</v>
      </c>
      <c r="D61" s="116">
        <f>'Schedule 4 Adjustments'!F60</f>
        <v>11</v>
      </c>
      <c r="E61" s="410">
        <v>6.62</v>
      </c>
      <c r="F61" s="47">
        <f t="shared" si="4"/>
        <v>72.820000000000007</v>
      </c>
      <c r="G61" s="21">
        <f t="shared" si="0"/>
        <v>508.83878856262902</v>
      </c>
      <c r="H61" s="150">
        <f>'Schedule 4 Adjustments'!N60</f>
        <v>2</v>
      </c>
      <c r="I61" s="410">
        <v>5.4</v>
      </c>
      <c r="J61" s="47">
        <f t="shared" si="3"/>
        <v>10.8</v>
      </c>
      <c r="K61" s="21">
        <f t="shared" si="2"/>
        <v>415.06487284564906</v>
      </c>
    </row>
    <row r="62" spans="1:11" s="22" customFormat="1" ht="43.5" x14ac:dyDescent="0.35">
      <c r="A62" s="19">
        <v>49</v>
      </c>
      <c r="B62" s="19">
        <v>99211</v>
      </c>
      <c r="C62" s="20" t="s">
        <v>344</v>
      </c>
      <c r="D62" s="116">
        <f>'Schedule 4 Adjustments'!F61</f>
        <v>0</v>
      </c>
      <c r="E62" s="410">
        <v>0.7</v>
      </c>
      <c r="F62" s="47">
        <f t="shared" si="4"/>
        <v>0</v>
      </c>
      <c r="G62" s="21">
        <f t="shared" si="0"/>
        <v>53.804705739250799</v>
      </c>
      <c r="H62" s="150">
        <f>'Schedule 4 Adjustments'!N61</f>
        <v>0</v>
      </c>
      <c r="I62" s="410">
        <v>0.26</v>
      </c>
      <c r="J62" s="47">
        <f t="shared" si="3"/>
        <v>0</v>
      </c>
      <c r="K62" s="21">
        <f t="shared" si="2"/>
        <v>19.984604988864586</v>
      </c>
    </row>
    <row r="63" spans="1:11" s="22" customFormat="1" x14ac:dyDescent="0.35">
      <c r="A63" s="19">
        <v>50</v>
      </c>
      <c r="B63" s="19">
        <v>99212</v>
      </c>
      <c r="C63" s="20" t="s">
        <v>155</v>
      </c>
      <c r="D63" s="116">
        <f>'Schedule 4 Adjustments'!F62</f>
        <v>274</v>
      </c>
      <c r="E63" s="410">
        <v>1.7</v>
      </c>
      <c r="F63" s="47">
        <f t="shared" si="4"/>
        <v>465.8</v>
      </c>
      <c r="G63" s="21">
        <f t="shared" si="0"/>
        <v>130.66857108103767</v>
      </c>
      <c r="H63" s="150">
        <f>'Schedule 4 Adjustments'!N62</f>
        <v>29</v>
      </c>
      <c r="I63" s="410">
        <v>1.05</v>
      </c>
      <c r="J63" s="47">
        <f t="shared" si="3"/>
        <v>30.450000000000003</v>
      </c>
      <c r="K63" s="21">
        <f t="shared" si="2"/>
        <v>80.70705860887621</v>
      </c>
    </row>
    <row r="64" spans="1:11" s="22" customFormat="1" x14ac:dyDescent="0.35">
      <c r="A64" s="19">
        <v>51</v>
      </c>
      <c r="B64" s="19">
        <v>99213</v>
      </c>
      <c r="C64" s="20" t="s">
        <v>155</v>
      </c>
      <c r="D64" s="116">
        <f>'Schedule 4 Adjustments'!F63</f>
        <v>2214</v>
      </c>
      <c r="E64" s="410">
        <v>2.73</v>
      </c>
      <c r="F64" s="47">
        <f t="shared" si="4"/>
        <v>6044.22</v>
      </c>
      <c r="G64" s="21">
        <f t="shared" si="0"/>
        <v>209.83835238307813</v>
      </c>
      <c r="H64" s="150">
        <f>'Schedule 4 Adjustments'!N63</f>
        <v>139</v>
      </c>
      <c r="I64" s="410">
        <v>1.96</v>
      </c>
      <c r="J64" s="47">
        <f t="shared" si="3"/>
        <v>272.44</v>
      </c>
      <c r="K64" s="21">
        <f t="shared" si="2"/>
        <v>150.65317606990226</v>
      </c>
    </row>
    <row r="65" spans="1:11" s="22" customFormat="1" x14ac:dyDescent="0.35">
      <c r="A65" s="19">
        <v>52</v>
      </c>
      <c r="B65" s="19">
        <v>99214</v>
      </c>
      <c r="C65" s="20" t="s">
        <v>155</v>
      </c>
      <c r="D65" s="116">
        <f>'Schedule 4 Adjustments'!F64</f>
        <v>13376</v>
      </c>
      <c r="E65" s="410">
        <v>3.85</v>
      </c>
      <c r="F65" s="47">
        <f t="shared" si="4"/>
        <v>51497.599999999999</v>
      </c>
      <c r="G65" s="21">
        <f t="shared" si="0"/>
        <v>295.92588156587942</v>
      </c>
      <c r="H65" s="150">
        <f>'Schedule 4 Adjustments'!N64</f>
        <v>3134</v>
      </c>
      <c r="I65" s="410">
        <v>2.89</v>
      </c>
      <c r="J65" s="47">
        <f t="shared" si="3"/>
        <v>9057.26</v>
      </c>
      <c r="K65" s="21">
        <f t="shared" si="2"/>
        <v>222.13657083776405</v>
      </c>
    </row>
    <row r="66" spans="1:11" s="22" customFormat="1" x14ac:dyDescent="0.35">
      <c r="A66" s="19">
        <v>53</v>
      </c>
      <c r="B66" s="19">
        <v>99215</v>
      </c>
      <c r="C66" s="20" t="s">
        <v>155</v>
      </c>
      <c r="D66" s="116">
        <f>'Schedule 4 Adjustments'!F65</f>
        <v>1540</v>
      </c>
      <c r="E66" s="410">
        <v>5.42</v>
      </c>
      <c r="F66" s="47">
        <f t="shared" si="4"/>
        <v>8346.7999999999993</v>
      </c>
      <c r="G66" s="21">
        <f t="shared" si="0"/>
        <v>416.6021501524848</v>
      </c>
      <c r="H66" s="150">
        <f>'Schedule 4 Adjustments'!N65</f>
        <v>238</v>
      </c>
      <c r="I66" s="410">
        <v>4.29</v>
      </c>
      <c r="J66" s="47">
        <f t="shared" si="3"/>
        <v>1021.02</v>
      </c>
      <c r="K66" s="21">
        <f t="shared" si="2"/>
        <v>329.74598231626567</v>
      </c>
    </row>
    <row r="67" spans="1:11" s="22" customFormat="1" x14ac:dyDescent="0.35">
      <c r="A67" s="19">
        <v>54</v>
      </c>
      <c r="B67" s="19">
        <v>99221</v>
      </c>
      <c r="C67" s="20" t="s">
        <v>121</v>
      </c>
      <c r="D67" s="116">
        <f>'Schedule 4 Adjustments'!F66</f>
        <v>0</v>
      </c>
      <c r="E67" s="410">
        <v>2.46</v>
      </c>
      <c r="F67" s="47">
        <f t="shared" si="4"/>
        <v>0</v>
      </c>
      <c r="G67" s="21">
        <f t="shared" si="0"/>
        <v>189.08510874079568</v>
      </c>
      <c r="H67" s="150">
        <f>'Schedule 4 Adjustments'!N66</f>
        <v>56</v>
      </c>
      <c r="I67" s="410">
        <v>2.46</v>
      </c>
      <c r="J67" s="47">
        <f t="shared" si="3"/>
        <v>137.76</v>
      </c>
      <c r="K67" s="21">
        <f t="shared" si="2"/>
        <v>189.08510874079568</v>
      </c>
    </row>
    <row r="68" spans="1:11" s="22" customFormat="1" x14ac:dyDescent="0.35">
      <c r="A68" s="19">
        <v>55</v>
      </c>
      <c r="B68" s="19">
        <v>99222</v>
      </c>
      <c r="C68" s="20" t="s">
        <v>122</v>
      </c>
      <c r="D68" s="116">
        <f>'Schedule 4 Adjustments'!F67</f>
        <v>0</v>
      </c>
      <c r="E68" s="410">
        <v>3.88</v>
      </c>
      <c r="F68" s="47">
        <f t="shared" si="4"/>
        <v>0</v>
      </c>
      <c r="G68" s="21">
        <f t="shared" si="0"/>
        <v>298.23179752613299</v>
      </c>
      <c r="H68" s="150">
        <f>'Schedule 4 Adjustments'!N67</f>
        <v>153</v>
      </c>
      <c r="I68" s="410">
        <v>3.88</v>
      </c>
      <c r="J68" s="47">
        <f t="shared" si="3"/>
        <v>593.64</v>
      </c>
      <c r="K68" s="21">
        <f t="shared" si="2"/>
        <v>298.23179752613299</v>
      </c>
    </row>
    <row r="69" spans="1:11" s="22" customFormat="1" x14ac:dyDescent="0.35">
      <c r="A69" s="19">
        <v>56</v>
      </c>
      <c r="B69" s="19">
        <v>99223</v>
      </c>
      <c r="C69" s="20" t="s">
        <v>123</v>
      </c>
      <c r="D69" s="116">
        <f>'Schedule 4 Adjustments'!F68</f>
        <v>0</v>
      </c>
      <c r="E69" s="410">
        <v>5.14</v>
      </c>
      <c r="F69" s="47">
        <f t="shared" si="4"/>
        <v>0</v>
      </c>
      <c r="G69" s="21">
        <f t="shared" si="0"/>
        <v>395.08026785678447</v>
      </c>
      <c r="H69" s="150">
        <f>'Schedule 4 Adjustments'!N68</f>
        <v>1654</v>
      </c>
      <c r="I69" s="410">
        <v>5.14</v>
      </c>
      <c r="J69" s="47">
        <f t="shared" si="3"/>
        <v>8501.56</v>
      </c>
      <c r="K69" s="21">
        <f t="shared" si="2"/>
        <v>395.08026785678447</v>
      </c>
    </row>
    <row r="70" spans="1:11" s="22" customFormat="1" x14ac:dyDescent="0.35">
      <c r="A70" s="19">
        <v>57</v>
      </c>
      <c r="B70" s="19">
        <v>99231</v>
      </c>
      <c r="C70" s="20" t="s">
        <v>124</v>
      </c>
      <c r="D70" s="116">
        <f>'Schedule 4 Adjustments'!F69</f>
        <v>0</v>
      </c>
      <c r="E70" s="410">
        <v>1.47</v>
      </c>
      <c r="F70" s="47">
        <f t="shared" si="4"/>
        <v>0</v>
      </c>
      <c r="G70" s="21">
        <f t="shared" si="0"/>
        <v>112.98988205242668</v>
      </c>
      <c r="H70" s="150">
        <f>'Schedule 4 Adjustments'!N69</f>
        <v>2399</v>
      </c>
      <c r="I70" s="410">
        <v>1.47</v>
      </c>
      <c r="J70" s="47">
        <f t="shared" si="3"/>
        <v>3526.5299999999997</v>
      </c>
      <c r="K70" s="21">
        <f t="shared" si="2"/>
        <v>112.98988205242668</v>
      </c>
    </row>
    <row r="71" spans="1:11" s="22" customFormat="1" x14ac:dyDescent="0.35">
      <c r="A71" s="19">
        <v>58</v>
      </c>
      <c r="B71" s="19">
        <v>99232</v>
      </c>
      <c r="C71" s="20" t="s">
        <v>125</v>
      </c>
      <c r="D71" s="116">
        <f>'Schedule 4 Adjustments'!F70</f>
        <v>0</v>
      </c>
      <c r="E71" s="410">
        <v>2.34</v>
      </c>
      <c r="F71" s="47">
        <f t="shared" si="4"/>
        <v>0</v>
      </c>
      <c r="G71" s="21">
        <f t="shared" si="0"/>
        <v>179.86144489978125</v>
      </c>
      <c r="H71" s="150">
        <f>'Schedule 4 Adjustments'!N70</f>
        <v>3416</v>
      </c>
      <c r="I71" s="410">
        <v>2.34</v>
      </c>
      <c r="J71" s="47">
        <f t="shared" si="3"/>
        <v>7993.44</v>
      </c>
      <c r="K71" s="21">
        <f t="shared" si="2"/>
        <v>179.86144489978125</v>
      </c>
    </row>
    <row r="72" spans="1:11" s="22" customFormat="1" x14ac:dyDescent="0.35">
      <c r="A72" s="19">
        <v>59</v>
      </c>
      <c r="B72" s="19">
        <v>99233</v>
      </c>
      <c r="C72" s="20" t="s">
        <v>126</v>
      </c>
      <c r="D72" s="116">
        <f>'Schedule 4 Adjustments'!F71</f>
        <v>0</v>
      </c>
      <c r="E72" s="410">
        <v>3.52</v>
      </c>
      <c r="F72" s="47">
        <f t="shared" si="4"/>
        <v>0</v>
      </c>
      <c r="G72" s="21">
        <f t="shared" si="0"/>
        <v>270.56080600308974</v>
      </c>
      <c r="H72" s="150">
        <f>'Schedule 4 Adjustments'!N71</f>
        <v>403</v>
      </c>
      <c r="I72" s="410">
        <v>3.52</v>
      </c>
      <c r="J72" s="47">
        <f t="shared" si="3"/>
        <v>1418.56</v>
      </c>
      <c r="K72" s="21">
        <f t="shared" si="2"/>
        <v>270.56080600308974</v>
      </c>
    </row>
    <row r="73" spans="1:11" s="22" customFormat="1" ht="29" x14ac:dyDescent="0.35">
      <c r="A73" s="19">
        <v>60</v>
      </c>
      <c r="B73" s="19">
        <v>99234</v>
      </c>
      <c r="C73" s="20" t="s">
        <v>359</v>
      </c>
      <c r="D73" s="116">
        <f>'Schedule 4 Adjustments'!F72</f>
        <v>0</v>
      </c>
      <c r="E73" s="410">
        <v>2.9</v>
      </c>
      <c r="F73" s="47">
        <f t="shared" si="4"/>
        <v>0</v>
      </c>
      <c r="G73" s="21">
        <f t="shared" si="0"/>
        <v>222.90520949118189</v>
      </c>
      <c r="H73" s="150">
        <f>'Schedule 4 Adjustments'!N72</f>
        <v>1</v>
      </c>
      <c r="I73" s="410">
        <v>2.9</v>
      </c>
      <c r="J73" s="47">
        <f t="shared" si="3"/>
        <v>2.9</v>
      </c>
      <c r="K73" s="21">
        <f t="shared" si="2"/>
        <v>222.90520949118189</v>
      </c>
    </row>
    <row r="74" spans="1:11" s="22" customFormat="1" ht="29" x14ac:dyDescent="0.35">
      <c r="A74" s="19">
        <v>61</v>
      </c>
      <c r="B74" s="19">
        <v>99235</v>
      </c>
      <c r="C74" s="20" t="s">
        <v>360</v>
      </c>
      <c r="D74" s="116">
        <f>'Schedule 4 Adjustments'!F73</f>
        <v>0</v>
      </c>
      <c r="E74" s="410">
        <v>4.7300000000000004</v>
      </c>
      <c r="F74" s="47">
        <f t="shared" si="4"/>
        <v>0</v>
      </c>
      <c r="G74" s="21">
        <f t="shared" si="0"/>
        <v>363.56608306665191</v>
      </c>
      <c r="H74" s="150">
        <f>'Schedule 4 Adjustments'!N73</f>
        <v>6</v>
      </c>
      <c r="I74" s="410">
        <v>4.7300000000000004</v>
      </c>
      <c r="J74" s="47">
        <f t="shared" si="3"/>
        <v>28.380000000000003</v>
      </c>
      <c r="K74" s="21">
        <f t="shared" si="2"/>
        <v>363.56608306665191</v>
      </c>
    </row>
    <row r="75" spans="1:11" s="22" customFormat="1" ht="29" x14ac:dyDescent="0.35">
      <c r="A75" s="19">
        <v>62</v>
      </c>
      <c r="B75" s="19">
        <v>99236</v>
      </c>
      <c r="C75" s="20" t="s">
        <v>361</v>
      </c>
      <c r="D75" s="116">
        <f>'Schedule 4 Adjustments'!F74</f>
        <v>0</v>
      </c>
      <c r="E75" s="410">
        <v>6.18</v>
      </c>
      <c r="F75" s="47">
        <f t="shared" si="4"/>
        <v>0</v>
      </c>
      <c r="G75" s="21">
        <f t="shared" si="0"/>
        <v>475.01868781224277</v>
      </c>
      <c r="H75" s="150">
        <f>'Schedule 4 Adjustments'!N74</f>
        <v>2</v>
      </c>
      <c r="I75" s="410">
        <v>6.18</v>
      </c>
      <c r="J75" s="47">
        <f t="shared" si="3"/>
        <v>12.36</v>
      </c>
      <c r="K75" s="21">
        <f t="shared" si="2"/>
        <v>475.01868781224277</v>
      </c>
    </row>
    <row r="76" spans="1:11" s="22" customFormat="1" x14ac:dyDescent="0.35">
      <c r="A76" s="19">
        <v>63</v>
      </c>
      <c r="B76" s="19">
        <v>99238</v>
      </c>
      <c r="C76" s="20" t="s">
        <v>345</v>
      </c>
      <c r="D76" s="116">
        <f>'Schedule 4 Adjustments'!F75</f>
        <v>0</v>
      </c>
      <c r="E76" s="410">
        <v>2.41</v>
      </c>
      <c r="F76" s="47">
        <f t="shared" si="4"/>
        <v>0</v>
      </c>
      <c r="G76" s="21">
        <f t="shared" si="0"/>
        <v>185.24191547370634</v>
      </c>
      <c r="H76" s="150">
        <f>'Schedule 4 Adjustments'!N75</f>
        <v>1290</v>
      </c>
      <c r="I76" s="410">
        <v>2.41</v>
      </c>
      <c r="J76" s="47">
        <f t="shared" si="3"/>
        <v>3108.9</v>
      </c>
      <c r="K76" s="21">
        <f t="shared" si="2"/>
        <v>185.24191547370634</v>
      </c>
    </row>
    <row r="77" spans="1:11" s="22" customFormat="1" x14ac:dyDescent="0.35">
      <c r="A77" s="19">
        <v>64</v>
      </c>
      <c r="B77" s="19">
        <v>99239</v>
      </c>
      <c r="C77" s="20" t="s">
        <v>127</v>
      </c>
      <c r="D77" s="116">
        <f>'Schedule 4 Adjustments'!F76</f>
        <v>0</v>
      </c>
      <c r="E77" s="410">
        <v>3.4</v>
      </c>
      <c r="F77" s="47">
        <f t="shared" si="4"/>
        <v>0</v>
      </c>
      <c r="G77" s="21">
        <f t="shared" si="0"/>
        <v>261.33714216207534</v>
      </c>
      <c r="H77" s="150">
        <f>'Schedule 4 Adjustments'!N76</f>
        <v>450</v>
      </c>
      <c r="I77" s="410">
        <v>3.4</v>
      </c>
      <c r="J77" s="47">
        <f t="shared" si="3"/>
        <v>1530</v>
      </c>
      <c r="K77" s="21">
        <f t="shared" si="2"/>
        <v>261.33714216207534</v>
      </c>
    </row>
    <row r="78" spans="1:11" s="22" customFormat="1" x14ac:dyDescent="0.35">
      <c r="A78" s="19">
        <v>65</v>
      </c>
      <c r="B78" s="19">
        <v>99242</v>
      </c>
      <c r="C78" s="20" t="s">
        <v>346</v>
      </c>
      <c r="D78" s="116">
        <f>'Schedule 4 Adjustments'!F77</f>
        <v>0</v>
      </c>
      <c r="E78" s="410">
        <v>2.25</v>
      </c>
      <c r="F78" s="148">
        <f t="shared" si="4"/>
        <v>0</v>
      </c>
      <c r="G78" s="149">
        <f t="shared" si="0"/>
        <v>172.94369701902045</v>
      </c>
      <c r="H78" s="150">
        <f>'Schedule 4 Adjustments'!N77</f>
        <v>0</v>
      </c>
      <c r="I78" s="410">
        <v>1.66</v>
      </c>
      <c r="J78" s="47">
        <f t="shared" si="3"/>
        <v>0</v>
      </c>
      <c r="K78" s="21">
        <f t="shared" si="2"/>
        <v>127.59401646736619</v>
      </c>
    </row>
    <row r="79" spans="1:11" s="22" customFormat="1" x14ac:dyDescent="0.35">
      <c r="A79" s="19">
        <v>66</v>
      </c>
      <c r="B79" s="19">
        <v>99243</v>
      </c>
      <c r="C79" s="20" t="s">
        <v>347</v>
      </c>
      <c r="D79" s="116">
        <f>'Schedule 4 Adjustments'!F78</f>
        <v>0</v>
      </c>
      <c r="E79" s="410">
        <v>3.37</v>
      </c>
      <c r="F79" s="47">
        <f t="shared" si="4"/>
        <v>0</v>
      </c>
      <c r="G79" s="21">
        <f t="shared" si="0"/>
        <v>259.03122620182171</v>
      </c>
      <c r="H79" s="150">
        <f>'Schedule 4 Adjustments'!N78</f>
        <v>0</v>
      </c>
      <c r="I79" s="410">
        <v>2.62</v>
      </c>
      <c r="J79" s="47">
        <f t="shared" si="3"/>
        <v>0</v>
      </c>
      <c r="K79" s="21">
        <f t="shared" si="2"/>
        <v>201.3833271954816</v>
      </c>
    </row>
    <row r="80" spans="1:11" s="22" customFormat="1" x14ac:dyDescent="0.35">
      <c r="A80" s="19">
        <v>67</v>
      </c>
      <c r="B80" s="19">
        <v>99244</v>
      </c>
      <c r="C80" s="20" t="s">
        <v>348</v>
      </c>
      <c r="D80" s="116">
        <f>'Schedule 4 Adjustments'!F79</f>
        <v>0</v>
      </c>
      <c r="E80" s="410">
        <v>4.8099999999999996</v>
      </c>
      <c r="F80" s="47">
        <f t="shared" si="4"/>
        <v>0</v>
      </c>
      <c r="G80" s="21">
        <f t="shared" si="0"/>
        <v>369.71519229399479</v>
      </c>
      <c r="H80" s="150">
        <f>'Schedule 4 Adjustments'!N79</f>
        <v>0</v>
      </c>
      <c r="I80" s="410">
        <v>3.99</v>
      </c>
      <c r="J80" s="47">
        <f t="shared" si="3"/>
        <v>0</v>
      </c>
      <c r="K80" s="21">
        <f t="shared" si="2"/>
        <v>306.68682271372961</v>
      </c>
    </row>
    <row r="81" spans="1:11" s="22" customFormat="1" x14ac:dyDescent="0.35">
      <c r="A81" s="19">
        <v>68</v>
      </c>
      <c r="B81" s="19">
        <v>99245</v>
      </c>
      <c r="C81" s="20" t="s">
        <v>349</v>
      </c>
      <c r="D81" s="116">
        <f>'Schedule 4 Adjustments'!F80</f>
        <v>0</v>
      </c>
      <c r="E81" s="410">
        <v>6.28</v>
      </c>
      <c r="F81" s="47">
        <f t="shared" si="4"/>
        <v>0</v>
      </c>
      <c r="G81" s="21">
        <f t="shared" si="0"/>
        <v>482.7050743464215</v>
      </c>
      <c r="H81" s="150">
        <f>'Schedule 4 Adjustments'!N80</f>
        <v>0</v>
      </c>
      <c r="I81" s="410">
        <v>5.36</v>
      </c>
      <c r="J81" s="47">
        <f t="shared" si="3"/>
        <v>0</v>
      </c>
      <c r="K81" s="21">
        <f t="shared" si="2"/>
        <v>411.9903182319776</v>
      </c>
    </row>
    <row r="82" spans="1:11" s="22" customFormat="1" x14ac:dyDescent="0.35">
      <c r="A82" s="19">
        <v>69</v>
      </c>
      <c r="B82" s="19">
        <v>99252</v>
      </c>
      <c r="C82" s="20" t="s">
        <v>350</v>
      </c>
      <c r="D82" s="116">
        <f>'Schedule 4 Adjustments'!F81</f>
        <v>0</v>
      </c>
      <c r="E82" s="410">
        <v>2.11</v>
      </c>
      <c r="F82" s="47">
        <f t="shared" si="4"/>
        <v>0</v>
      </c>
      <c r="G82" s="21">
        <f t="shared" si="0"/>
        <v>162.18275587117026</v>
      </c>
      <c r="H82" s="150">
        <f>'Schedule 4 Adjustments'!N81</f>
        <v>0</v>
      </c>
      <c r="I82" s="410">
        <v>2.11</v>
      </c>
      <c r="J82" s="47">
        <f t="shared" si="3"/>
        <v>0</v>
      </c>
      <c r="K82" s="21">
        <f t="shared" si="2"/>
        <v>162.18275587117026</v>
      </c>
    </row>
    <row r="83" spans="1:11" s="22" customFormat="1" x14ac:dyDescent="0.35">
      <c r="A83" s="19">
        <v>70</v>
      </c>
      <c r="B83" s="19">
        <v>99253</v>
      </c>
      <c r="C83" s="20" t="s">
        <v>351</v>
      </c>
      <c r="D83" s="116">
        <f>'Schedule 4 Adjustments'!F82</f>
        <v>0</v>
      </c>
      <c r="E83" s="410">
        <v>2.96</v>
      </c>
      <c r="F83" s="47">
        <f t="shared" si="4"/>
        <v>0</v>
      </c>
      <c r="G83" s="21">
        <f t="shared" ref="G83:G146" si="5">E83*$F$13</f>
        <v>227.51704141168912</v>
      </c>
      <c r="H83" s="150">
        <f>'Schedule 4 Adjustments'!N82</f>
        <v>0</v>
      </c>
      <c r="I83" s="410">
        <v>2.96</v>
      </c>
      <c r="J83" s="47">
        <f t="shared" si="3"/>
        <v>0</v>
      </c>
      <c r="K83" s="21">
        <f t="shared" ref="K83:K146" si="6">I83*$F$13</f>
        <v>227.51704141168912</v>
      </c>
    </row>
    <row r="84" spans="1:11" s="22" customFormat="1" x14ac:dyDescent="0.35">
      <c r="A84" s="19">
        <v>71</v>
      </c>
      <c r="B84" s="19">
        <v>99254</v>
      </c>
      <c r="C84" s="20" t="s">
        <v>352</v>
      </c>
      <c r="D84" s="116">
        <f>'Schedule 4 Adjustments'!F83</f>
        <v>0</v>
      </c>
      <c r="E84" s="410">
        <v>4.1100000000000003</v>
      </c>
      <c r="F84" s="47">
        <f t="shared" si="4"/>
        <v>0</v>
      </c>
      <c r="G84" s="21">
        <f t="shared" si="5"/>
        <v>315.91048655474401</v>
      </c>
      <c r="H84" s="150">
        <f>'Schedule 4 Adjustments'!N83</f>
        <v>0</v>
      </c>
      <c r="I84" s="410">
        <v>4.1100000000000003</v>
      </c>
      <c r="J84" s="47">
        <f t="shared" ref="J84:J147" si="7">H84*I84</f>
        <v>0</v>
      </c>
      <c r="K84" s="21">
        <f t="shared" si="6"/>
        <v>315.91048655474401</v>
      </c>
    </row>
    <row r="85" spans="1:11" s="22" customFormat="1" x14ac:dyDescent="0.35">
      <c r="A85" s="19">
        <v>72</v>
      </c>
      <c r="B85" s="19">
        <v>99255</v>
      </c>
      <c r="C85" s="20" t="s">
        <v>353</v>
      </c>
      <c r="D85" s="116">
        <f>'Schedule 4 Adjustments'!F84</f>
        <v>0</v>
      </c>
      <c r="E85" s="410">
        <v>5.53</v>
      </c>
      <c r="F85" s="47">
        <f t="shared" ref="F85:F148" si="8">D85*E85</f>
        <v>0</v>
      </c>
      <c r="G85" s="21">
        <f t="shared" si="5"/>
        <v>425.05717534008136</v>
      </c>
      <c r="H85" s="150">
        <f>'Schedule 4 Adjustments'!N84</f>
        <v>0</v>
      </c>
      <c r="I85" s="410">
        <v>5.53</v>
      </c>
      <c r="J85" s="47">
        <f t="shared" si="7"/>
        <v>0</v>
      </c>
      <c r="K85" s="21">
        <f t="shared" si="6"/>
        <v>425.05717534008136</v>
      </c>
    </row>
    <row r="86" spans="1:11" s="22" customFormat="1" x14ac:dyDescent="0.35">
      <c r="A86" s="19">
        <v>73</v>
      </c>
      <c r="B86" s="19">
        <v>99281</v>
      </c>
      <c r="C86" s="20" t="s">
        <v>354</v>
      </c>
      <c r="D86" s="116">
        <f>'Schedule 4 Adjustments'!F85</f>
        <v>8</v>
      </c>
      <c r="E86" s="410">
        <v>0.34</v>
      </c>
      <c r="F86" s="47">
        <f t="shared" si="8"/>
        <v>2.72</v>
      </c>
      <c r="G86" s="21">
        <f t="shared" si="5"/>
        <v>26.133714216207537</v>
      </c>
      <c r="H86" s="150">
        <f>'Schedule 4 Adjustments'!N85</f>
        <v>66</v>
      </c>
      <c r="I86" s="410">
        <v>0.34</v>
      </c>
      <c r="J86" s="47">
        <f t="shared" si="7"/>
        <v>22.44</v>
      </c>
      <c r="K86" s="21">
        <f t="shared" si="6"/>
        <v>26.133714216207537</v>
      </c>
    </row>
    <row r="87" spans="1:11" s="22" customFormat="1" x14ac:dyDescent="0.35">
      <c r="A87" s="19">
        <v>74</v>
      </c>
      <c r="B87" s="19">
        <v>99282</v>
      </c>
      <c r="C87" s="20" t="s">
        <v>355</v>
      </c>
      <c r="D87" s="116">
        <f>'Schedule 4 Adjustments'!F86</f>
        <v>75</v>
      </c>
      <c r="E87" s="410">
        <v>1.24</v>
      </c>
      <c r="F87" s="47">
        <f t="shared" si="8"/>
        <v>93</v>
      </c>
      <c r="G87" s="21">
        <f t="shared" si="5"/>
        <v>95.311193023815704</v>
      </c>
      <c r="H87" s="150">
        <f>'Schedule 4 Adjustments'!N86</f>
        <v>1032</v>
      </c>
      <c r="I87" s="410">
        <v>1.24</v>
      </c>
      <c r="J87" s="47">
        <f t="shared" si="7"/>
        <v>1279.68</v>
      </c>
      <c r="K87" s="21">
        <f t="shared" si="6"/>
        <v>95.311193023815704</v>
      </c>
    </row>
    <row r="88" spans="1:11" s="22" customFormat="1" x14ac:dyDescent="0.35">
      <c r="A88" s="19">
        <v>75</v>
      </c>
      <c r="B88" s="19">
        <v>99283</v>
      </c>
      <c r="C88" s="20" t="s">
        <v>356</v>
      </c>
      <c r="D88" s="116">
        <f>'Schedule 4 Adjustments'!F87</f>
        <v>297</v>
      </c>
      <c r="E88" s="410">
        <v>2.11</v>
      </c>
      <c r="F88" s="47">
        <f t="shared" si="8"/>
        <v>626.66999999999996</v>
      </c>
      <c r="G88" s="21">
        <f t="shared" si="5"/>
        <v>162.18275587117026</v>
      </c>
      <c r="H88" s="150">
        <f>'Schedule 4 Adjustments'!N87</f>
        <v>477</v>
      </c>
      <c r="I88" s="410">
        <v>2.11</v>
      </c>
      <c r="J88" s="47">
        <f t="shared" si="7"/>
        <v>1006.4699999999999</v>
      </c>
      <c r="K88" s="21">
        <f t="shared" si="6"/>
        <v>162.18275587117026</v>
      </c>
    </row>
    <row r="89" spans="1:11" s="22" customFormat="1" x14ac:dyDescent="0.35">
      <c r="A89" s="19">
        <v>76</v>
      </c>
      <c r="B89" s="19">
        <v>99284</v>
      </c>
      <c r="C89" s="20" t="s">
        <v>357</v>
      </c>
      <c r="D89" s="116">
        <f>'Schedule 4 Adjustments'!F88</f>
        <v>165</v>
      </c>
      <c r="E89" s="410">
        <v>3.59</v>
      </c>
      <c r="F89" s="47">
        <f t="shared" si="8"/>
        <v>592.35</v>
      </c>
      <c r="G89" s="21">
        <f t="shared" si="5"/>
        <v>275.94127657701483</v>
      </c>
      <c r="H89" s="150">
        <f>'Schedule 4 Adjustments'!N88</f>
        <v>297</v>
      </c>
      <c r="I89" s="410">
        <v>3.59</v>
      </c>
      <c r="J89" s="47">
        <f t="shared" si="7"/>
        <v>1066.23</v>
      </c>
      <c r="K89" s="21">
        <f t="shared" si="6"/>
        <v>275.94127657701483</v>
      </c>
    </row>
    <row r="90" spans="1:11" s="22" customFormat="1" x14ac:dyDescent="0.35">
      <c r="A90" s="19">
        <v>77</v>
      </c>
      <c r="B90" s="19">
        <v>99285</v>
      </c>
      <c r="C90" s="20" t="s">
        <v>358</v>
      </c>
      <c r="D90" s="116">
        <f>'Schedule 4 Adjustments'!F89</f>
        <v>42</v>
      </c>
      <c r="E90" s="410">
        <v>5.2</v>
      </c>
      <c r="F90" s="47">
        <f t="shared" si="8"/>
        <v>218.4</v>
      </c>
      <c r="G90" s="21">
        <f t="shared" si="5"/>
        <v>399.69209977729167</v>
      </c>
      <c r="H90" s="150">
        <f>'Schedule 4 Adjustments'!N89</f>
        <v>22</v>
      </c>
      <c r="I90" s="410">
        <v>5.2</v>
      </c>
      <c r="J90" s="47">
        <f t="shared" si="7"/>
        <v>114.4</v>
      </c>
      <c r="K90" s="21">
        <f t="shared" si="6"/>
        <v>399.69209977729167</v>
      </c>
    </row>
    <row r="91" spans="1:11" s="22" customFormat="1" x14ac:dyDescent="0.35">
      <c r="A91" s="19">
        <v>78</v>
      </c>
      <c r="B91" s="19">
        <v>99304</v>
      </c>
      <c r="C91" s="20" t="s">
        <v>362</v>
      </c>
      <c r="D91" s="116">
        <f>'Schedule 4 Adjustments'!F90</f>
        <v>0</v>
      </c>
      <c r="E91" s="410">
        <v>2.39</v>
      </c>
      <c r="F91" s="47">
        <f t="shared" si="8"/>
        <v>0</v>
      </c>
      <c r="G91" s="21">
        <f t="shared" si="5"/>
        <v>183.70463816687061</v>
      </c>
      <c r="H91" s="150">
        <f>'Schedule 4 Adjustments'!N90</f>
        <v>0</v>
      </c>
      <c r="I91" s="410">
        <v>2.39</v>
      </c>
      <c r="J91" s="47">
        <f t="shared" si="7"/>
        <v>0</v>
      </c>
      <c r="K91" s="21">
        <f t="shared" si="6"/>
        <v>183.70463816687061</v>
      </c>
    </row>
    <row r="92" spans="1:11" s="22" customFormat="1" x14ac:dyDescent="0.35">
      <c r="A92" s="19">
        <v>79</v>
      </c>
      <c r="B92" s="19">
        <v>99305</v>
      </c>
      <c r="C92" s="20" t="s">
        <v>363</v>
      </c>
      <c r="D92" s="116">
        <f>'Schedule 4 Adjustments'!F91</f>
        <v>0</v>
      </c>
      <c r="E92" s="410">
        <v>3.97</v>
      </c>
      <c r="F92" s="47">
        <f t="shared" si="8"/>
        <v>0</v>
      </c>
      <c r="G92" s="21">
        <f t="shared" si="5"/>
        <v>305.14954540689388</v>
      </c>
      <c r="H92" s="150">
        <f>'Schedule 4 Adjustments'!N91</f>
        <v>0</v>
      </c>
      <c r="I92" s="410">
        <v>3.97</v>
      </c>
      <c r="J92" s="47">
        <f t="shared" si="7"/>
        <v>0</v>
      </c>
      <c r="K92" s="21">
        <f t="shared" si="6"/>
        <v>305.14954540689388</v>
      </c>
    </row>
    <row r="93" spans="1:11" s="22" customFormat="1" x14ac:dyDescent="0.35">
      <c r="A93" s="19">
        <v>80</v>
      </c>
      <c r="B93" s="19">
        <v>99306</v>
      </c>
      <c r="C93" s="20" t="s">
        <v>364</v>
      </c>
      <c r="D93" s="116">
        <f>'Schedule 4 Adjustments'!F92</f>
        <v>0</v>
      </c>
      <c r="E93" s="410">
        <v>5.42</v>
      </c>
      <c r="F93" s="47">
        <f t="shared" si="8"/>
        <v>0</v>
      </c>
      <c r="G93" s="21">
        <f t="shared" si="5"/>
        <v>416.6021501524848</v>
      </c>
      <c r="H93" s="150">
        <f>'Schedule 4 Adjustments'!N92</f>
        <v>0</v>
      </c>
      <c r="I93" s="410">
        <v>5.42</v>
      </c>
      <c r="J93" s="47">
        <f t="shared" si="7"/>
        <v>0</v>
      </c>
      <c r="K93" s="21">
        <f t="shared" si="6"/>
        <v>416.6021501524848</v>
      </c>
    </row>
    <row r="94" spans="1:11" s="22" customFormat="1" x14ac:dyDescent="0.35">
      <c r="A94" s="19">
        <v>81</v>
      </c>
      <c r="B94" s="19">
        <v>99307</v>
      </c>
      <c r="C94" s="20" t="s">
        <v>365</v>
      </c>
      <c r="D94" s="116">
        <f>'Schedule 4 Adjustments'!F93</f>
        <v>0</v>
      </c>
      <c r="E94" s="410">
        <v>1.2</v>
      </c>
      <c r="F94" s="47">
        <f t="shared" si="8"/>
        <v>0</v>
      </c>
      <c r="G94" s="21">
        <f t="shared" si="5"/>
        <v>92.236638410144238</v>
      </c>
      <c r="H94" s="150">
        <f>'Schedule 4 Adjustments'!N93</f>
        <v>0</v>
      </c>
      <c r="I94" s="410">
        <v>1.2</v>
      </c>
      <c r="J94" s="47">
        <f t="shared" si="7"/>
        <v>0</v>
      </c>
      <c r="K94" s="21">
        <f t="shared" si="6"/>
        <v>92.236638410144238</v>
      </c>
    </row>
    <row r="95" spans="1:11" s="22" customFormat="1" x14ac:dyDescent="0.35">
      <c r="A95" s="19">
        <v>82</v>
      </c>
      <c r="B95" s="19">
        <v>99308</v>
      </c>
      <c r="C95" s="20" t="s">
        <v>366</v>
      </c>
      <c r="D95" s="116">
        <f>'Schedule 4 Adjustments'!F94</f>
        <v>0</v>
      </c>
      <c r="E95" s="410">
        <v>2.2200000000000002</v>
      </c>
      <c r="F95" s="47">
        <f t="shared" si="8"/>
        <v>0</v>
      </c>
      <c r="G95" s="21">
        <f t="shared" si="5"/>
        <v>170.63778105876685</v>
      </c>
      <c r="H95" s="150">
        <f>'Schedule 4 Adjustments'!N94</f>
        <v>0</v>
      </c>
      <c r="I95" s="410">
        <v>2.2200000000000002</v>
      </c>
      <c r="J95" s="47">
        <f t="shared" si="7"/>
        <v>0</v>
      </c>
      <c r="K95" s="21">
        <f t="shared" si="6"/>
        <v>170.63778105876685</v>
      </c>
    </row>
    <row r="96" spans="1:11" s="22" customFormat="1" x14ac:dyDescent="0.35">
      <c r="A96" s="19">
        <v>83</v>
      </c>
      <c r="B96" s="19">
        <v>99309</v>
      </c>
      <c r="C96" s="20" t="s">
        <v>367</v>
      </c>
      <c r="D96" s="116">
        <f>'Schedule 4 Adjustments'!F95</f>
        <v>0</v>
      </c>
      <c r="E96" s="410">
        <v>3.21</v>
      </c>
      <c r="F96" s="47">
        <f t="shared" si="8"/>
        <v>0</v>
      </c>
      <c r="G96" s="21">
        <f t="shared" si="5"/>
        <v>246.73300774713582</v>
      </c>
      <c r="H96" s="150">
        <f>'Schedule 4 Adjustments'!N95</f>
        <v>0</v>
      </c>
      <c r="I96" s="410">
        <v>3.21</v>
      </c>
      <c r="J96" s="47">
        <f t="shared" si="7"/>
        <v>0</v>
      </c>
      <c r="K96" s="21">
        <f t="shared" si="6"/>
        <v>246.73300774713582</v>
      </c>
    </row>
    <row r="97" spans="1:11" s="22" customFormat="1" x14ac:dyDescent="0.35">
      <c r="A97" s="19">
        <v>84</v>
      </c>
      <c r="B97" s="19">
        <v>99310</v>
      </c>
      <c r="C97" s="20" t="s">
        <v>368</v>
      </c>
      <c r="D97" s="116">
        <f>'Schedule 4 Adjustments'!F96</f>
        <v>0</v>
      </c>
      <c r="E97" s="410">
        <v>4.58</v>
      </c>
      <c r="F97" s="47">
        <f t="shared" si="8"/>
        <v>0</v>
      </c>
      <c r="G97" s="21">
        <f t="shared" si="5"/>
        <v>352.03650326538383</v>
      </c>
      <c r="H97" s="150">
        <f>'Schedule 4 Adjustments'!N96</f>
        <v>0</v>
      </c>
      <c r="I97" s="410">
        <v>4.58</v>
      </c>
      <c r="J97" s="47">
        <f t="shared" si="7"/>
        <v>0</v>
      </c>
      <c r="K97" s="21">
        <f t="shared" si="6"/>
        <v>352.03650326538383</v>
      </c>
    </row>
    <row r="98" spans="1:11" s="22" customFormat="1" x14ac:dyDescent="0.35">
      <c r="A98" s="19">
        <v>85</v>
      </c>
      <c r="B98" s="19">
        <v>99315</v>
      </c>
      <c r="C98" s="20" t="s">
        <v>369</v>
      </c>
      <c r="D98" s="116">
        <f>'Schedule 4 Adjustments'!F97</f>
        <v>0</v>
      </c>
      <c r="E98" s="410">
        <v>2.4300000000000002</v>
      </c>
      <c r="F98" s="47">
        <f t="shared" si="8"/>
        <v>0</v>
      </c>
      <c r="G98" s="21">
        <f t="shared" si="5"/>
        <v>186.77919278054208</v>
      </c>
      <c r="H98" s="150">
        <f>'Schedule 4 Adjustments'!N97</f>
        <v>0</v>
      </c>
      <c r="I98" s="410">
        <v>2.4300000000000002</v>
      </c>
      <c r="J98" s="47">
        <f t="shared" si="7"/>
        <v>0</v>
      </c>
      <c r="K98" s="21">
        <f t="shared" si="6"/>
        <v>186.77919278054208</v>
      </c>
    </row>
    <row r="99" spans="1:11" s="22" customFormat="1" x14ac:dyDescent="0.35">
      <c r="A99" s="19">
        <v>86</v>
      </c>
      <c r="B99" s="19">
        <v>99316</v>
      </c>
      <c r="C99" s="20" t="s">
        <v>128</v>
      </c>
      <c r="D99" s="116">
        <f>'Schedule 4 Adjustments'!F98</f>
        <v>0</v>
      </c>
      <c r="E99" s="410">
        <v>3.9</v>
      </c>
      <c r="F99" s="47">
        <f t="shared" si="8"/>
        <v>0</v>
      </c>
      <c r="G99" s="21">
        <f t="shared" si="5"/>
        <v>299.76907483296878</v>
      </c>
      <c r="H99" s="150">
        <f>'Schedule 4 Adjustments'!N98</f>
        <v>0</v>
      </c>
      <c r="I99" s="410">
        <v>3.9</v>
      </c>
      <c r="J99" s="47">
        <f t="shared" si="7"/>
        <v>0</v>
      </c>
      <c r="K99" s="21">
        <f t="shared" si="6"/>
        <v>299.76907483296878</v>
      </c>
    </row>
    <row r="100" spans="1:11" s="22" customFormat="1" x14ac:dyDescent="0.35">
      <c r="A100" s="19">
        <v>87</v>
      </c>
      <c r="B100" s="19">
        <v>99341</v>
      </c>
      <c r="C100" s="20" t="s">
        <v>370</v>
      </c>
      <c r="D100" s="116">
        <f>'Schedule 4 Adjustments'!F99</f>
        <v>0</v>
      </c>
      <c r="E100" s="410">
        <v>1.47</v>
      </c>
      <c r="F100" s="47">
        <f t="shared" si="8"/>
        <v>0</v>
      </c>
      <c r="G100" s="21">
        <f t="shared" si="5"/>
        <v>112.98988205242668</v>
      </c>
      <c r="H100" s="150">
        <f>'Schedule 4 Adjustments'!N99</f>
        <v>0</v>
      </c>
      <c r="I100" s="410">
        <v>1.47</v>
      </c>
      <c r="J100" s="47">
        <f t="shared" si="7"/>
        <v>0</v>
      </c>
      <c r="K100" s="21">
        <f t="shared" si="6"/>
        <v>112.98988205242668</v>
      </c>
    </row>
    <row r="101" spans="1:11" s="22" customFormat="1" x14ac:dyDescent="0.35">
      <c r="A101" s="19">
        <v>88</v>
      </c>
      <c r="B101" s="19">
        <v>99342</v>
      </c>
      <c r="C101" s="20" t="s">
        <v>371</v>
      </c>
      <c r="D101" s="116">
        <f>'Schedule 4 Adjustments'!F100</f>
        <v>0</v>
      </c>
      <c r="E101" s="410">
        <v>2.33</v>
      </c>
      <c r="F101" s="47">
        <f t="shared" si="8"/>
        <v>0</v>
      </c>
      <c r="G101" s="21">
        <f t="shared" si="5"/>
        <v>179.09280624636341</v>
      </c>
      <c r="H101" s="150">
        <f>'Schedule 4 Adjustments'!N100</f>
        <v>0</v>
      </c>
      <c r="I101" s="410">
        <v>2.33</v>
      </c>
      <c r="J101" s="47">
        <f t="shared" si="7"/>
        <v>0</v>
      </c>
      <c r="K101" s="21">
        <f t="shared" si="6"/>
        <v>179.09280624636341</v>
      </c>
    </row>
    <row r="102" spans="1:11" s="22" customFormat="1" x14ac:dyDescent="0.35">
      <c r="A102" s="19">
        <v>89</v>
      </c>
      <c r="B102" s="19">
        <v>99344</v>
      </c>
      <c r="C102" s="20" t="s">
        <v>372</v>
      </c>
      <c r="D102" s="116">
        <f>'Schedule 4 Adjustments'!F101</f>
        <v>0</v>
      </c>
      <c r="E102" s="410">
        <v>4.2300000000000004</v>
      </c>
      <c r="F102" s="47">
        <f t="shared" si="8"/>
        <v>0</v>
      </c>
      <c r="G102" s="21">
        <f t="shared" si="5"/>
        <v>325.13415039575847</v>
      </c>
      <c r="H102" s="150">
        <f>'Schedule 4 Adjustments'!N101</f>
        <v>0</v>
      </c>
      <c r="I102" s="410">
        <v>4.2300000000000004</v>
      </c>
      <c r="J102" s="47">
        <f t="shared" si="7"/>
        <v>0</v>
      </c>
      <c r="K102" s="21">
        <f t="shared" si="6"/>
        <v>325.13415039575847</v>
      </c>
    </row>
    <row r="103" spans="1:11" s="22" customFormat="1" x14ac:dyDescent="0.35">
      <c r="A103" s="19">
        <v>90</v>
      </c>
      <c r="B103" s="19">
        <v>99345</v>
      </c>
      <c r="C103" s="20" t="s">
        <v>373</v>
      </c>
      <c r="D103" s="116">
        <f>'Schedule 4 Adjustments'!F102</f>
        <v>0</v>
      </c>
      <c r="E103" s="410">
        <v>6.01</v>
      </c>
      <c r="F103" s="47">
        <f t="shared" si="8"/>
        <v>0</v>
      </c>
      <c r="G103" s="21">
        <f t="shared" si="5"/>
        <v>461.95183070413901</v>
      </c>
      <c r="H103" s="150">
        <f>'Schedule 4 Adjustments'!N102</f>
        <v>0</v>
      </c>
      <c r="I103" s="410">
        <v>6.01</v>
      </c>
      <c r="J103" s="47">
        <f t="shared" si="7"/>
        <v>0</v>
      </c>
      <c r="K103" s="21">
        <f t="shared" si="6"/>
        <v>461.95183070413901</v>
      </c>
    </row>
    <row r="104" spans="1:11" s="22" customFormat="1" x14ac:dyDescent="0.35">
      <c r="A104" s="19">
        <v>91</v>
      </c>
      <c r="B104" s="19">
        <v>99347</v>
      </c>
      <c r="C104" s="20" t="s">
        <v>374</v>
      </c>
      <c r="D104" s="116">
        <f>'Schedule 4 Adjustments'!F103</f>
        <v>15</v>
      </c>
      <c r="E104" s="410">
        <v>1.35</v>
      </c>
      <c r="F104" s="47">
        <f t="shared" si="8"/>
        <v>20.25</v>
      </c>
      <c r="G104" s="21">
        <f t="shared" si="5"/>
        <v>103.76621821141227</v>
      </c>
      <c r="H104" s="150">
        <f>'Schedule 4 Adjustments'!N103</f>
        <v>0</v>
      </c>
      <c r="I104" s="410">
        <v>1.35</v>
      </c>
      <c r="J104" s="47">
        <f t="shared" si="7"/>
        <v>0</v>
      </c>
      <c r="K104" s="21">
        <f t="shared" si="6"/>
        <v>103.76621821141227</v>
      </c>
    </row>
    <row r="105" spans="1:11" s="22" customFormat="1" x14ac:dyDescent="0.35">
      <c r="A105" s="19">
        <v>92</v>
      </c>
      <c r="B105" s="19">
        <v>99348</v>
      </c>
      <c r="C105" s="20" t="s">
        <v>375</v>
      </c>
      <c r="D105" s="116">
        <f>'Schedule 4 Adjustments'!F104</f>
        <v>2</v>
      </c>
      <c r="E105" s="410">
        <v>2.2799999999999998</v>
      </c>
      <c r="F105" s="47">
        <f t="shared" si="8"/>
        <v>4.5599999999999996</v>
      </c>
      <c r="G105" s="21">
        <f t="shared" si="5"/>
        <v>175.24961297927402</v>
      </c>
      <c r="H105" s="150">
        <f>'Schedule 4 Adjustments'!N104</f>
        <v>0</v>
      </c>
      <c r="I105" s="410">
        <v>2.2799999999999998</v>
      </c>
      <c r="J105" s="47">
        <f t="shared" si="7"/>
        <v>0</v>
      </c>
      <c r="K105" s="21">
        <f t="shared" si="6"/>
        <v>175.24961297927402</v>
      </c>
    </row>
    <row r="106" spans="1:11" s="22" customFormat="1" x14ac:dyDescent="0.35">
      <c r="A106" s="19">
        <v>93</v>
      </c>
      <c r="B106" s="19">
        <v>99349</v>
      </c>
      <c r="C106" s="20" t="s">
        <v>376</v>
      </c>
      <c r="D106" s="116">
        <f>'Schedule 4 Adjustments'!F105</f>
        <v>91</v>
      </c>
      <c r="E106" s="410">
        <v>3.79</v>
      </c>
      <c r="F106" s="47">
        <f t="shared" si="8"/>
        <v>344.89</v>
      </c>
      <c r="G106" s="21">
        <f t="shared" si="5"/>
        <v>291.31404964537222</v>
      </c>
      <c r="H106" s="150">
        <f>'Schedule 4 Adjustments'!N105</f>
        <v>1</v>
      </c>
      <c r="I106" s="410">
        <v>3.79</v>
      </c>
      <c r="J106" s="47">
        <f t="shared" si="7"/>
        <v>3.79</v>
      </c>
      <c r="K106" s="21">
        <f t="shared" si="6"/>
        <v>291.31404964537222</v>
      </c>
    </row>
    <row r="107" spans="1:11" s="22" customFormat="1" x14ac:dyDescent="0.35">
      <c r="A107" s="19">
        <v>94</v>
      </c>
      <c r="B107" s="19">
        <v>99350</v>
      </c>
      <c r="C107" s="20" t="s">
        <v>377</v>
      </c>
      <c r="D107" s="116">
        <f>'Schedule 4 Adjustments'!F106</f>
        <v>3</v>
      </c>
      <c r="E107" s="410">
        <v>5.52</v>
      </c>
      <c r="F107" s="47">
        <f t="shared" si="8"/>
        <v>16.559999999999999</v>
      </c>
      <c r="G107" s="21">
        <f t="shared" si="5"/>
        <v>424.28853668666346</v>
      </c>
      <c r="H107" s="150">
        <f>'Schedule 4 Adjustments'!N106</f>
        <v>0</v>
      </c>
      <c r="I107" s="410">
        <v>5.52</v>
      </c>
      <c r="J107" s="47">
        <f t="shared" si="7"/>
        <v>0</v>
      </c>
      <c r="K107" s="21">
        <f t="shared" si="6"/>
        <v>424.28853668666346</v>
      </c>
    </row>
    <row r="108" spans="1:11" s="22" customFormat="1" x14ac:dyDescent="0.35">
      <c r="A108" s="19">
        <v>95</v>
      </c>
      <c r="B108" s="19">
        <v>99366</v>
      </c>
      <c r="C108" s="20" t="s">
        <v>378</v>
      </c>
      <c r="D108" s="116">
        <f>'Schedule 4 Adjustments'!F107</f>
        <v>0</v>
      </c>
      <c r="E108" s="410">
        <v>1.22</v>
      </c>
      <c r="F108" s="47">
        <f t="shared" si="8"/>
        <v>0</v>
      </c>
      <c r="G108" s="21">
        <f t="shared" si="5"/>
        <v>93.773915716979971</v>
      </c>
      <c r="H108" s="150">
        <f>'Schedule 4 Adjustments'!N107</f>
        <v>0</v>
      </c>
      <c r="I108" s="410">
        <v>1.19</v>
      </c>
      <c r="J108" s="47">
        <f t="shared" si="7"/>
        <v>0</v>
      </c>
      <c r="K108" s="21">
        <f t="shared" si="6"/>
        <v>91.467999756726357</v>
      </c>
    </row>
    <row r="109" spans="1:11" s="22" customFormat="1" x14ac:dyDescent="0.35">
      <c r="A109" s="19">
        <v>96</v>
      </c>
      <c r="B109" s="19">
        <v>99367</v>
      </c>
      <c r="C109" s="20" t="s">
        <v>379</v>
      </c>
      <c r="D109" s="116">
        <f>'Schedule 4 Adjustments'!F108</f>
        <v>0</v>
      </c>
      <c r="E109" s="410">
        <v>1.6</v>
      </c>
      <c r="F109" s="47">
        <f t="shared" si="8"/>
        <v>0</v>
      </c>
      <c r="G109" s="21">
        <f t="shared" si="5"/>
        <v>122.98218454685899</v>
      </c>
      <c r="H109" s="150">
        <f>'Schedule 4 Adjustments'!N108</f>
        <v>0</v>
      </c>
      <c r="I109" s="410">
        <v>1.6</v>
      </c>
      <c r="J109" s="47">
        <f t="shared" si="7"/>
        <v>0</v>
      </c>
      <c r="K109" s="21">
        <f t="shared" si="6"/>
        <v>122.98218454685899</v>
      </c>
    </row>
    <row r="110" spans="1:11" s="22" customFormat="1" x14ac:dyDescent="0.35">
      <c r="A110" s="19">
        <v>97</v>
      </c>
      <c r="B110" s="19">
        <v>99368</v>
      </c>
      <c r="C110" s="20" t="s">
        <v>380</v>
      </c>
      <c r="D110" s="116">
        <f>'Schedule 4 Adjustments'!F109</f>
        <v>0</v>
      </c>
      <c r="E110" s="410">
        <v>1.04</v>
      </c>
      <c r="F110" s="47">
        <f t="shared" si="8"/>
        <v>0</v>
      </c>
      <c r="G110" s="21">
        <f t="shared" si="5"/>
        <v>79.938419955458343</v>
      </c>
      <c r="H110" s="150">
        <f>'Schedule 4 Adjustments'!N109</f>
        <v>0</v>
      </c>
      <c r="I110" s="410">
        <v>1.04</v>
      </c>
      <c r="J110" s="47">
        <f t="shared" si="7"/>
        <v>0</v>
      </c>
      <c r="K110" s="21">
        <f t="shared" si="6"/>
        <v>79.938419955458343</v>
      </c>
    </row>
    <row r="111" spans="1:11" s="22" customFormat="1" x14ac:dyDescent="0.35">
      <c r="A111" s="19">
        <v>98</v>
      </c>
      <c r="B111" s="19">
        <v>99441</v>
      </c>
      <c r="C111" s="20" t="s">
        <v>381</v>
      </c>
      <c r="D111" s="116">
        <f>'Schedule 4 Adjustments'!F110</f>
        <v>0</v>
      </c>
      <c r="E111" s="410">
        <v>1.69</v>
      </c>
      <c r="F111" s="47">
        <f t="shared" si="8"/>
        <v>0</v>
      </c>
      <c r="G111" s="21">
        <f t="shared" si="5"/>
        <v>129.8999324276198</v>
      </c>
      <c r="H111" s="150">
        <f>'Schedule 4 Adjustments'!N110</f>
        <v>0</v>
      </c>
      <c r="I111" s="410">
        <v>1.04</v>
      </c>
      <c r="J111" s="47">
        <f t="shared" si="7"/>
        <v>0</v>
      </c>
      <c r="K111" s="21">
        <f t="shared" si="6"/>
        <v>79.938419955458343</v>
      </c>
    </row>
    <row r="112" spans="1:11" s="22" customFormat="1" x14ac:dyDescent="0.35">
      <c r="A112" s="19">
        <v>99</v>
      </c>
      <c r="B112" s="19">
        <v>99442</v>
      </c>
      <c r="C112" s="20" t="s">
        <v>382</v>
      </c>
      <c r="D112" s="116">
        <f>'Schedule 4 Adjustments'!F111</f>
        <v>0</v>
      </c>
      <c r="E112" s="410">
        <v>2.72</v>
      </c>
      <c r="F112" s="47">
        <f t="shared" si="8"/>
        <v>0</v>
      </c>
      <c r="G112" s="21">
        <f t="shared" si="5"/>
        <v>209.06971372966029</v>
      </c>
      <c r="H112" s="150">
        <f>'Schedule 4 Adjustments'!N111</f>
        <v>0</v>
      </c>
      <c r="I112" s="410">
        <v>1.95</v>
      </c>
      <c r="J112" s="47">
        <f t="shared" si="7"/>
        <v>0</v>
      </c>
      <c r="K112" s="21">
        <f t="shared" si="6"/>
        <v>149.88453741648439</v>
      </c>
    </row>
    <row r="113" spans="1:11" s="22" customFormat="1" x14ac:dyDescent="0.35">
      <c r="A113" s="19">
        <v>100</v>
      </c>
      <c r="B113" s="19">
        <v>99443</v>
      </c>
      <c r="C113" s="20" t="s">
        <v>383</v>
      </c>
      <c r="D113" s="116">
        <f>'Schedule 4 Adjustments'!F112</f>
        <v>0</v>
      </c>
      <c r="E113" s="410">
        <v>3.85</v>
      </c>
      <c r="F113" s="47">
        <f t="shared" si="8"/>
        <v>0</v>
      </c>
      <c r="G113" s="21">
        <f t="shared" si="5"/>
        <v>295.92588156587942</v>
      </c>
      <c r="H113" s="150">
        <f>'Schedule 4 Adjustments'!N112</f>
        <v>0</v>
      </c>
      <c r="I113" s="410">
        <v>2.89</v>
      </c>
      <c r="J113" s="47">
        <f t="shared" si="7"/>
        <v>0</v>
      </c>
      <c r="K113" s="21">
        <f t="shared" si="6"/>
        <v>222.13657083776405</v>
      </c>
    </row>
    <row r="114" spans="1:11" s="22" customFormat="1" ht="34.5" customHeight="1" x14ac:dyDescent="0.35">
      <c r="A114" s="19">
        <v>101</v>
      </c>
      <c r="B114" s="19" t="s">
        <v>42</v>
      </c>
      <c r="C114" s="20" t="s">
        <v>384</v>
      </c>
      <c r="D114" s="116">
        <f>'Schedule 4 Adjustments'!F113</f>
        <v>0</v>
      </c>
      <c r="E114" s="410">
        <v>1.27</v>
      </c>
      <c r="F114" s="47">
        <f t="shared" si="8"/>
        <v>0</v>
      </c>
      <c r="G114" s="21">
        <f t="shared" si="5"/>
        <v>97.617108984069318</v>
      </c>
      <c r="H114" s="150">
        <f>'Schedule 4 Adjustments'!N113</f>
        <v>0</v>
      </c>
      <c r="I114" s="410">
        <v>1.1100000000000001</v>
      </c>
      <c r="J114" s="47">
        <f t="shared" si="7"/>
        <v>0</v>
      </c>
      <c r="K114" s="21">
        <f t="shared" si="6"/>
        <v>85.318890529383424</v>
      </c>
    </row>
    <row r="115" spans="1:11" s="22" customFormat="1" ht="29" x14ac:dyDescent="0.35">
      <c r="A115" s="19">
        <v>102</v>
      </c>
      <c r="B115" s="19" t="s">
        <v>43</v>
      </c>
      <c r="C115" s="20" t="s">
        <v>385</v>
      </c>
      <c r="D115" s="116">
        <f>'Schedule 4 Adjustments'!F114</f>
        <v>0</v>
      </c>
      <c r="E115" s="410">
        <v>0.75</v>
      </c>
      <c r="F115" s="47">
        <f t="shared" si="8"/>
        <v>0</v>
      </c>
      <c r="G115" s="21">
        <f t="shared" si="5"/>
        <v>57.647899006340147</v>
      </c>
      <c r="H115" s="150">
        <f>'Schedule 4 Adjustments'!N114</f>
        <v>0</v>
      </c>
      <c r="I115" s="410">
        <v>0.37</v>
      </c>
      <c r="J115" s="47">
        <f t="shared" si="7"/>
        <v>0</v>
      </c>
      <c r="K115" s="21">
        <f t="shared" si="6"/>
        <v>28.43963017646114</v>
      </c>
    </row>
    <row r="116" spans="1:11" s="22" customFormat="1" x14ac:dyDescent="0.35">
      <c r="A116" s="19">
        <v>103</v>
      </c>
      <c r="B116" s="19" t="s">
        <v>44</v>
      </c>
      <c r="C116" s="20" t="s">
        <v>129</v>
      </c>
      <c r="D116" s="116">
        <f>'Schedule 4 Adjustments'!F115</f>
        <v>68</v>
      </c>
      <c r="E116" s="410">
        <v>5.17</v>
      </c>
      <c r="F116" s="47">
        <f t="shared" si="8"/>
        <v>351.56</v>
      </c>
      <c r="G116" s="21">
        <f t="shared" si="5"/>
        <v>397.38618381703805</v>
      </c>
      <c r="H116" s="150">
        <f>'Schedule 4 Adjustments'!N115</f>
        <v>112</v>
      </c>
      <c r="I116" s="410">
        <v>4.43</v>
      </c>
      <c r="J116" s="47">
        <f t="shared" si="7"/>
        <v>496.15999999999997</v>
      </c>
      <c r="K116" s="21">
        <f t="shared" si="6"/>
        <v>340.5069234641158</v>
      </c>
    </row>
    <row r="117" spans="1:11" s="22" customFormat="1" x14ac:dyDescent="0.35">
      <c r="A117" s="19">
        <v>104</v>
      </c>
      <c r="B117" s="19" t="s">
        <v>45</v>
      </c>
      <c r="C117" s="20" t="s">
        <v>386</v>
      </c>
      <c r="D117" s="116">
        <f>'Schedule 4 Adjustments'!F116</f>
        <v>936</v>
      </c>
      <c r="E117" s="410">
        <v>0.72</v>
      </c>
      <c r="F117" s="47">
        <f t="shared" si="8"/>
        <v>673.92</v>
      </c>
      <c r="G117" s="21">
        <f t="shared" si="5"/>
        <v>55.34198304608654</v>
      </c>
      <c r="H117" s="150">
        <f>'Schedule 4 Adjustments'!N116</f>
        <v>1937</v>
      </c>
      <c r="I117" s="410">
        <v>0.66</v>
      </c>
      <c r="J117" s="47">
        <f t="shared" si="7"/>
        <v>1278.42</v>
      </c>
      <c r="K117" s="21">
        <f t="shared" si="6"/>
        <v>50.730151125579333</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17678</v>
      </c>
      <c r="E119" s="410">
        <v>1.18</v>
      </c>
      <c r="F119" s="47">
        <f t="shared" si="8"/>
        <v>20860.039999999997</v>
      </c>
      <c r="G119" s="21">
        <f t="shared" si="5"/>
        <v>90.69936110330849</v>
      </c>
      <c r="H119" s="150">
        <f>'Schedule 4 Adjustments'!N118</f>
        <v>16968</v>
      </c>
      <c r="I119" s="410">
        <v>1.03</v>
      </c>
      <c r="J119" s="47">
        <f t="shared" si="7"/>
        <v>17477.04</v>
      </c>
      <c r="K119" s="21">
        <f t="shared" si="6"/>
        <v>79.169781302040477</v>
      </c>
    </row>
    <row r="120" spans="1:11" s="22" customFormat="1" x14ac:dyDescent="0.35">
      <c r="A120" s="19">
        <v>107</v>
      </c>
      <c r="B120" s="19" t="s">
        <v>47</v>
      </c>
      <c r="C120" s="20" t="s">
        <v>131</v>
      </c>
      <c r="D120" s="116">
        <f>'Schedule 4 Adjustments'!F119</f>
        <v>4389</v>
      </c>
      <c r="E120" s="410">
        <v>0.83</v>
      </c>
      <c r="F120" s="47">
        <f t="shared" si="8"/>
        <v>3642.87</v>
      </c>
      <c r="G120" s="21">
        <f t="shared" si="5"/>
        <v>63.797008233683094</v>
      </c>
      <c r="H120" s="150">
        <f>'Schedule 4 Adjustments'!N119</f>
        <v>12769</v>
      </c>
      <c r="I120" s="410">
        <v>0.72</v>
      </c>
      <c r="J120" s="47">
        <f t="shared" si="7"/>
        <v>9193.68</v>
      </c>
      <c r="K120" s="21">
        <f t="shared" si="6"/>
        <v>55.34198304608654</v>
      </c>
    </row>
    <row r="121" spans="1:11" s="22" customFormat="1" x14ac:dyDescent="0.35">
      <c r="A121" s="19">
        <v>108</v>
      </c>
      <c r="B121" s="19" t="s">
        <v>48</v>
      </c>
      <c r="C121" s="20" t="s">
        <v>132</v>
      </c>
      <c r="D121" s="116">
        <f>'Schedule 4 Adjustments'!F120</f>
        <v>498</v>
      </c>
      <c r="E121" s="410">
        <v>0.64</v>
      </c>
      <c r="F121" s="47">
        <f t="shared" si="8"/>
        <v>318.72000000000003</v>
      </c>
      <c r="G121" s="21">
        <f t="shared" si="5"/>
        <v>49.192873818743593</v>
      </c>
      <c r="H121" s="150">
        <f>'Schedule 4 Adjustments'!N120</f>
        <v>4179</v>
      </c>
      <c r="I121" s="410">
        <v>0.6</v>
      </c>
      <c r="J121" s="47">
        <f t="shared" si="7"/>
        <v>2507.4</v>
      </c>
      <c r="K121" s="21">
        <f t="shared" si="6"/>
        <v>46.118319205072119</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387</v>
      </c>
      <c r="D123" s="116">
        <f>'Schedule 4 Adjustments'!F122</f>
        <v>0</v>
      </c>
      <c r="E123" s="410">
        <v>0</v>
      </c>
      <c r="F123" s="47">
        <f t="shared" si="8"/>
        <v>0</v>
      </c>
      <c r="G123" s="21">
        <f t="shared" si="5"/>
        <v>0</v>
      </c>
      <c r="H123" s="150">
        <f>'Schedule 4 Adjustments'!N122</f>
        <v>386</v>
      </c>
      <c r="I123" s="410">
        <v>0</v>
      </c>
      <c r="J123" s="47">
        <f t="shared" si="7"/>
        <v>0</v>
      </c>
      <c r="K123" s="21">
        <f t="shared" si="6"/>
        <v>0</v>
      </c>
    </row>
    <row r="124" spans="1:11" s="22" customFormat="1" ht="29" x14ac:dyDescent="0.35">
      <c r="A124" s="19">
        <v>111</v>
      </c>
      <c r="B124" s="19" t="s">
        <v>33</v>
      </c>
      <c r="C124" s="20" t="s">
        <v>388</v>
      </c>
      <c r="D124" s="116">
        <f>'Schedule 4 Adjustments'!F123</f>
        <v>0</v>
      </c>
      <c r="E124" s="410">
        <v>0</v>
      </c>
      <c r="F124" s="47">
        <f t="shared" si="8"/>
        <v>0</v>
      </c>
      <c r="G124" s="21">
        <f t="shared" si="5"/>
        <v>0</v>
      </c>
      <c r="H124" s="150">
        <f>'Schedule 4 Adjustments'!N123</f>
        <v>3736</v>
      </c>
      <c r="I124" s="410">
        <v>0</v>
      </c>
      <c r="J124" s="47">
        <f t="shared" si="7"/>
        <v>0</v>
      </c>
      <c r="K124" s="21">
        <f t="shared" si="6"/>
        <v>0</v>
      </c>
    </row>
    <row r="125" spans="1:11" s="22" customFormat="1" x14ac:dyDescent="0.35">
      <c r="A125" s="19">
        <v>112</v>
      </c>
      <c r="B125" s="19" t="s">
        <v>50</v>
      </c>
      <c r="C125" s="20" t="s">
        <v>389</v>
      </c>
      <c r="D125" s="116">
        <f>'Schedule 4 Adjustments'!F124</f>
        <v>0</v>
      </c>
      <c r="E125" s="410">
        <v>2.64</v>
      </c>
      <c r="F125" s="47">
        <f t="shared" si="8"/>
        <v>0</v>
      </c>
      <c r="G125" s="21">
        <f t="shared" si="5"/>
        <v>202.92060450231733</v>
      </c>
      <c r="H125" s="150">
        <f>'Schedule 4 Adjustments'!N124</f>
        <v>0</v>
      </c>
      <c r="I125" s="410">
        <v>2.64</v>
      </c>
      <c r="J125" s="47">
        <f t="shared" si="7"/>
        <v>0</v>
      </c>
      <c r="K125" s="21">
        <f t="shared" si="6"/>
        <v>202.92060450231733</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390</v>
      </c>
      <c r="D129" s="116">
        <f>'Schedule 4 Adjustments'!F128</f>
        <v>0</v>
      </c>
      <c r="E129" s="410">
        <v>1.02</v>
      </c>
      <c r="F129" s="47">
        <f t="shared" si="8"/>
        <v>0</v>
      </c>
      <c r="G129" s="21">
        <f t="shared" si="5"/>
        <v>78.401142648622596</v>
      </c>
      <c r="H129" s="150">
        <f>'Schedule 4 Adjustments'!N128</f>
        <v>0</v>
      </c>
      <c r="I129" s="410">
        <v>0.94</v>
      </c>
      <c r="J129" s="47">
        <f t="shared" si="7"/>
        <v>0</v>
      </c>
      <c r="K129" s="21">
        <f t="shared" si="6"/>
        <v>72.252033421279648</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391</v>
      </c>
      <c r="D131" s="116">
        <f>'Schedule 4 Adjustments'!F130</f>
        <v>0</v>
      </c>
      <c r="E131" s="410">
        <v>0.12</v>
      </c>
      <c r="F131" s="47">
        <f t="shared" si="8"/>
        <v>0</v>
      </c>
      <c r="G131" s="21">
        <f t="shared" si="5"/>
        <v>9.2236638410144227</v>
      </c>
      <c r="H131" s="150">
        <f>'Schedule 4 Adjustments'!N130</f>
        <v>0</v>
      </c>
      <c r="I131" s="410">
        <v>0.09</v>
      </c>
      <c r="J131" s="47">
        <f t="shared" si="7"/>
        <v>0</v>
      </c>
      <c r="K131" s="21">
        <f t="shared" si="6"/>
        <v>6.9177478807608175</v>
      </c>
    </row>
    <row r="132" spans="1:11" s="22" customFormat="1" x14ac:dyDescent="0.35">
      <c r="A132" s="19">
        <v>119</v>
      </c>
      <c r="B132" s="19" t="s">
        <v>56</v>
      </c>
      <c r="C132" s="20" t="s">
        <v>392</v>
      </c>
      <c r="D132" s="116">
        <f>'Schedule 4 Adjustments'!F131</f>
        <v>0</v>
      </c>
      <c r="E132" s="410">
        <v>0.59</v>
      </c>
      <c r="F132" s="47">
        <f t="shared" si="8"/>
        <v>0</v>
      </c>
      <c r="G132" s="21">
        <f t="shared" si="5"/>
        <v>45.349680551654245</v>
      </c>
      <c r="H132" s="150">
        <f>'Schedule 4 Adjustments'!N131</f>
        <v>0</v>
      </c>
      <c r="I132" s="410">
        <v>0.55000000000000004</v>
      </c>
      <c r="J132" s="47">
        <f t="shared" si="7"/>
        <v>0</v>
      </c>
      <c r="K132" s="21">
        <f t="shared" si="6"/>
        <v>42.275125937982779</v>
      </c>
    </row>
    <row r="133" spans="1:11" s="22" customFormat="1" ht="29" x14ac:dyDescent="0.35">
      <c r="A133" s="19">
        <v>120</v>
      </c>
      <c r="B133" s="19" t="s">
        <v>57</v>
      </c>
      <c r="C133" s="20" t="s">
        <v>136</v>
      </c>
      <c r="D133" s="116">
        <f>'Schedule 4 Adjustments'!F132</f>
        <v>0</v>
      </c>
      <c r="E133" s="410">
        <v>0.75</v>
      </c>
      <c r="F133" s="47">
        <f t="shared" si="8"/>
        <v>0</v>
      </c>
      <c r="G133" s="21">
        <f t="shared" si="5"/>
        <v>57.647899006340147</v>
      </c>
      <c r="H133" s="150">
        <f>'Schedule 4 Adjustments'!N132</f>
        <v>0</v>
      </c>
      <c r="I133" s="410">
        <v>0.37</v>
      </c>
      <c r="J133" s="47">
        <f t="shared" si="7"/>
        <v>0</v>
      </c>
      <c r="K133" s="21">
        <f t="shared" si="6"/>
        <v>28.43963017646114</v>
      </c>
    </row>
    <row r="134" spans="1:11" s="22" customFormat="1" ht="29" x14ac:dyDescent="0.35">
      <c r="A134" s="19">
        <v>121</v>
      </c>
      <c r="B134" s="19" t="s">
        <v>58</v>
      </c>
      <c r="C134" s="20" t="s">
        <v>137</v>
      </c>
      <c r="D134" s="116">
        <f>'Schedule 4 Adjustments'!F133</f>
        <v>0</v>
      </c>
      <c r="E134" s="410">
        <v>0.75</v>
      </c>
      <c r="F134" s="47">
        <f t="shared" si="8"/>
        <v>0</v>
      </c>
      <c r="G134" s="21">
        <f t="shared" si="5"/>
        <v>57.647899006340147</v>
      </c>
      <c r="H134" s="150">
        <f>'Schedule 4 Adjustments'!N133</f>
        <v>0</v>
      </c>
      <c r="I134" s="410">
        <v>0.37</v>
      </c>
      <c r="J134" s="47">
        <f t="shared" si="7"/>
        <v>0</v>
      </c>
      <c r="K134" s="21">
        <f t="shared" si="6"/>
        <v>28.43963017646114</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394</v>
      </c>
      <c r="D139" s="116">
        <f>'Schedule 4 Adjustments'!F138</f>
        <v>536</v>
      </c>
      <c r="E139" s="410">
        <v>3.27</v>
      </c>
      <c r="F139" s="47">
        <f t="shared" si="8"/>
        <v>1752.72</v>
      </c>
      <c r="G139" s="21">
        <f t="shared" si="5"/>
        <v>251.34483966764304</v>
      </c>
      <c r="H139" s="150">
        <f>'Schedule 4 Adjustments'!N138</f>
        <v>381</v>
      </c>
      <c r="I139" s="410">
        <v>2.17</v>
      </c>
      <c r="J139" s="47">
        <f t="shared" si="7"/>
        <v>826.77</v>
      </c>
      <c r="K139" s="21">
        <f t="shared" si="6"/>
        <v>166.79458779167749</v>
      </c>
    </row>
    <row r="140" spans="1:11" s="22" customFormat="1" x14ac:dyDescent="0.35">
      <c r="A140" s="19">
        <v>127</v>
      </c>
      <c r="B140" s="19" t="s">
        <v>60</v>
      </c>
      <c r="C140" s="20" t="s">
        <v>393</v>
      </c>
      <c r="D140" s="116">
        <f>'Schedule 4 Adjustments'!F139</f>
        <v>137</v>
      </c>
      <c r="E140" s="410">
        <v>1.1499999999999999</v>
      </c>
      <c r="F140" s="47">
        <f t="shared" si="8"/>
        <v>157.54999999999998</v>
      </c>
      <c r="G140" s="21">
        <f t="shared" si="5"/>
        <v>88.39344514305489</v>
      </c>
      <c r="H140" s="150">
        <f>'Schedule 4 Adjustments'!N139</f>
        <v>76</v>
      </c>
      <c r="I140" s="410">
        <v>0.7</v>
      </c>
      <c r="J140" s="47">
        <f t="shared" si="7"/>
        <v>53.199999999999996</v>
      </c>
      <c r="K140" s="21">
        <f t="shared" si="6"/>
        <v>53.804705739250799</v>
      </c>
    </row>
    <row r="141" spans="1:11" s="22" customFormat="1" x14ac:dyDescent="0.35">
      <c r="A141" s="19">
        <v>128</v>
      </c>
      <c r="B141" s="19" t="s">
        <v>61</v>
      </c>
      <c r="C141" s="20" t="s">
        <v>141</v>
      </c>
      <c r="D141" s="116">
        <f>'Schedule 4 Adjustments'!F140</f>
        <v>0</v>
      </c>
      <c r="E141" s="410">
        <v>0.44</v>
      </c>
      <c r="F141" s="47">
        <f t="shared" si="8"/>
        <v>0</v>
      </c>
      <c r="G141" s="21">
        <f t="shared" si="5"/>
        <v>33.820100750386217</v>
      </c>
      <c r="H141" s="150">
        <f>'Schedule 4 Adjustments'!N140</f>
        <v>0</v>
      </c>
      <c r="I141" s="410">
        <v>0.44</v>
      </c>
      <c r="J141" s="47">
        <f t="shared" si="7"/>
        <v>0</v>
      </c>
      <c r="K141" s="21">
        <f t="shared" si="6"/>
        <v>33.820100750386217</v>
      </c>
    </row>
    <row r="142" spans="1:11" s="22" customFormat="1" x14ac:dyDescent="0.35">
      <c r="A142" s="19">
        <v>129</v>
      </c>
      <c r="B142" s="19" t="s">
        <v>62</v>
      </c>
      <c r="C142" s="20" t="s">
        <v>395</v>
      </c>
      <c r="D142" s="116">
        <f>'Schedule 4 Adjustments'!F141</f>
        <v>0</v>
      </c>
      <c r="E142" s="410">
        <v>0.92</v>
      </c>
      <c r="F142" s="47">
        <f t="shared" si="8"/>
        <v>0</v>
      </c>
      <c r="G142" s="21">
        <f t="shared" si="5"/>
        <v>70.714756114443915</v>
      </c>
      <c r="H142" s="150">
        <f>'Schedule 4 Adjustments'!N141</f>
        <v>0</v>
      </c>
      <c r="I142" s="410">
        <v>0.92</v>
      </c>
      <c r="J142" s="47">
        <f t="shared" si="7"/>
        <v>0</v>
      </c>
      <c r="K142" s="21">
        <f t="shared" si="6"/>
        <v>70.714756114443915</v>
      </c>
    </row>
    <row r="143" spans="1:11" s="22" customFormat="1" x14ac:dyDescent="0.35">
      <c r="A143" s="19">
        <v>130</v>
      </c>
      <c r="B143" s="19" t="s">
        <v>63</v>
      </c>
      <c r="C143" s="20" t="s">
        <v>396</v>
      </c>
      <c r="D143" s="116">
        <f>'Schedule 4 Adjustments'!F142</f>
        <v>0</v>
      </c>
      <c r="E143" s="410">
        <v>5.28</v>
      </c>
      <c r="F143" s="47">
        <f t="shared" si="8"/>
        <v>0</v>
      </c>
      <c r="G143" s="21">
        <f t="shared" si="5"/>
        <v>405.84120900463466</v>
      </c>
      <c r="H143" s="150">
        <f>'Schedule 4 Adjustments'!N142</f>
        <v>0</v>
      </c>
      <c r="I143" s="410">
        <v>5.28</v>
      </c>
      <c r="J143" s="47">
        <f t="shared" si="7"/>
        <v>0</v>
      </c>
      <c r="K143" s="21">
        <f t="shared" si="6"/>
        <v>405.84120900463466</v>
      </c>
    </row>
    <row r="144" spans="1:11" s="22" customFormat="1" x14ac:dyDescent="0.35">
      <c r="A144" s="19">
        <v>131</v>
      </c>
      <c r="B144" s="19" t="s">
        <v>64</v>
      </c>
      <c r="C144" s="20" t="s">
        <v>398</v>
      </c>
      <c r="D144" s="116">
        <f>'Schedule 4 Adjustments'!F143</f>
        <v>0</v>
      </c>
      <c r="E144" s="410">
        <v>0.44</v>
      </c>
      <c r="F144" s="47">
        <f t="shared" si="8"/>
        <v>0</v>
      </c>
      <c r="G144" s="21">
        <f t="shared" si="5"/>
        <v>33.820100750386217</v>
      </c>
      <c r="H144" s="150">
        <f>'Schedule 4 Adjustments'!N143</f>
        <v>0</v>
      </c>
      <c r="I144" s="410">
        <v>0.44</v>
      </c>
      <c r="J144" s="47">
        <f t="shared" si="7"/>
        <v>0</v>
      </c>
      <c r="K144" s="21">
        <f t="shared" si="6"/>
        <v>33.820100750386217</v>
      </c>
    </row>
    <row r="145" spans="1:11" s="22" customFormat="1" x14ac:dyDescent="0.35">
      <c r="A145" s="19">
        <v>132</v>
      </c>
      <c r="B145" s="19" t="s">
        <v>65</v>
      </c>
      <c r="C145" s="20" t="s">
        <v>397</v>
      </c>
      <c r="D145" s="116">
        <f>'Schedule 4 Adjustments'!F144</f>
        <v>0</v>
      </c>
      <c r="E145" s="410">
        <v>5.28</v>
      </c>
      <c r="F145" s="47">
        <f t="shared" si="8"/>
        <v>0</v>
      </c>
      <c r="G145" s="21">
        <f t="shared" si="5"/>
        <v>405.84120900463466</v>
      </c>
      <c r="H145" s="150">
        <f>'Schedule 4 Adjustments'!N144</f>
        <v>0</v>
      </c>
      <c r="I145" s="410">
        <v>5.28</v>
      </c>
      <c r="J145" s="47">
        <f t="shared" si="7"/>
        <v>0</v>
      </c>
      <c r="K145" s="21">
        <f t="shared" si="6"/>
        <v>405.84120900463466</v>
      </c>
    </row>
    <row r="146" spans="1:11" s="22" customFormat="1" x14ac:dyDescent="0.35">
      <c r="A146" s="19">
        <v>133</v>
      </c>
      <c r="B146" s="19" t="s">
        <v>66</v>
      </c>
      <c r="C146" s="20" t="s">
        <v>142</v>
      </c>
      <c r="D146" s="116">
        <f>'Schedule 4 Adjustments'!F145</f>
        <v>4234</v>
      </c>
      <c r="E146" s="410">
        <v>0.54</v>
      </c>
      <c r="F146" s="47">
        <f t="shared" si="8"/>
        <v>2286.36</v>
      </c>
      <c r="G146" s="21">
        <f t="shared" si="5"/>
        <v>41.506487284564912</v>
      </c>
      <c r="H146" s="150">
        <f>'Schedule 4 Adjustments'!N145</f>
        <v>9236</v>
      </c>
      <c r="I146" s="410">
        <v>0.54</v>
      </c>
      <c r="J146" s="47">
        <f t="shared" si="7"/>
        <v>4987.4400000000005</v>
      </c>
      <c r="K146" s="21">
        <f t="shared" si="6"/>
        <v>41.506487284564912</v>
      </c>
    </row>
    <row r="147" spans="1:11" s="22" customFormat="1" x14ac:dyDescent="0.35">
      <c r="A147" s="19">
        <v>134</v>
      </c>
      <c r="B147" s="19" t="s">
        <v>67</v>
      </c>
      <c r="C147" s="20" t="s">
        <v>399</v>
      </c>
      <c r="D147" s="116">
        <f>'Schedule 4 Adjustments'!F146</f>
        <v>2264</v>
      </c>
      <c r="E147" s="410">
        <v>1.29</v>
      </c>
      <c r="F147" s="47">
        <f t="shared" si="8"/>
        <v>2920.56</v>
      </c>
      <c r="G147" s="21">
        <f t="shared" ref="G147:G197" si="9">E147*$F$13</f>
        <v>99.154386290905052</v>
      </c>
      <c r="H147" s="150">
        <f>'Schedule 4 Adjustments'!N146</f>
        <v>1274</v>
      </c>
      <c r="I147" s="410">
        <v>1.1299999999999999</v>
      </c>
      <c r="J147" s="47">
        <f t="shared" si="7"/>
        <v>1439.62</v>
      </c>
      <c r="K147" s="21">
        <f t="shared" ref="K147:K197" si="10">I147*$F$13</f>
        <v>86.856167836219143</v>
      </c>
    </row>
    <row r="148" spans="1:11" s="22" customFormat="1" x14ac:dyDescent="0.35">
      <c r="A148" s="19">
        <v>135</v>
      </c>
      <c r="B148" s="19" t="s">
        <v>68</v>
      </c>
      <c r="C148" s="20" t="s">
        <v>400</v>
      </c>
      <c r="D148" s="116">
        <f>'Schedule 4 Adjustments'!F147</f>
        <v>10</v>
      </c>
      <c r="E148" s="410">
        <v>5.28</v>
      </c>
      <c r="F148" s="47">
        <f t="shared" si="8"/>
        <v>52.800000000000004</v>
      </c>
      <c r="G148" s="21">
        <f t="shared" si="9"/>
        <v>405.84120900463466</v>
      </c>
      <c r="H148" s="150">
        <f>'Schedule 4 Adjustments'!N147</f>
        <v>31</v>
      </c>
      <c r="I148" s="410">
        <v>5.28</v>
      </c>
      <c r="J148" s="47">
        <f t="shared" ref="J148:J197" si="11">H148*I148</f>
        <v>163.68</v>
      </c>
      <c r="K148" s="21">
        <f t="shared" si="10"/>
        <v>405.84120900463466</v>
      </c>
    </row>
    <row r="149" spans="1:11" s="22" customFormat="1" x14ac:dyDescent="0.35">
      <c r="A149" s="19">
        <v>136</v>
      </c>
      <c r="B149" s="19" t="s">
        <v>69</v>
      </c>
      <c r="C149" s="20" t="s">
        <v>401</v>
      </c>
      <c r="D149" s="116">
        <f>'Schedule 4 Adjustments'!F148</f>
        <v>0</v>
      </c>
      <c r="E149" s="410">
        <v>0.14000000000000001</v>
      </c>
      <c r="F149" s="47">
        <f t="shared" ref="F149:F197" si="12">D149*E149</f>
        <v>0</v>
      </c>
      <c r="G149" s="21">
        <f t="shared" si="9"/>
        <v>10.760941147850161</v>
      </c>
      <c r="H149" s="150">
        <f>'Schedule 4 Adjustments'!N148</f>
        <v>0</v>
      </c>
      <c r="I149" s="410">
        <v>0.12</v>
      </c>
      <c r="J149" s="47">
        <f t="shared" si="11"/>
        <v>0</v>
      </c>
      <c r="K149" s="21">
        <f t="shared" si="10"/>
        <v>9.2236638410144227</v>
      </c>
    </row>
    <row r="150" spans="1:11" s="22" customFormat="1" x14ac:dyDescent="0.35">
      <c r="A150" s="19">
        <v>137</v>
      </c>
      <c r="B150" s="19" t="s">
        <v>70</v>
      </c>
      <c r="C150" s="20" t="s">
        <v>402</v>
      </c>
      <c r="D150" s="116">
        <f>'Schedule 4 Adjustments'!F149</f>
        <v>0</v>
      </c>
      <c r="E150" s="410">
        <v>3.08</v>
      </c>
      <c r="F150" s="47">
        <f t="shared" si="12"/>
        <v>0</v>
      </c>
      <c r="G150" s="21">
        <f t="shared" si="9"/>
        <v>236.74070525270355</v>
      </c>
      <c r="H150" s="150">
        <f>'Schedule 4 Adjustments'!N149</f>
        <v>0</v>
      </c>
      <c r="I150" s="410">
        <v>2.6399999999999997</v>
      </c>
      <c r="J150" s="47">
        <f t="shared" si="11"/>
        <v>0</v>
      </c>
      <c r="K150" s="21">
        <f t="shared" si="10"/>
        <v>202.9206045023173</v>
      </c>
    </row>
    <row r="151" spans="1:11" s="22" customFormat="1" x14ac:dyDescent="0.35">
      <c r="A151" s="19">
        <v>138</v>
      </c>
      <c r="B151" s="19" t="s">
        <v>71</v>
      </c>
      <c r="C151" s="20" t="s">
        <v>403</v>
      </c>
      <c r="D151" s="116">
        <f>'Schedule 4 Adjustments'!F150</f>
        <v>0</v>
      </c>
      <c r="E151" s="410">
        <v>5.28</v>
      </c>
      <c r="F151" s="47">
        <f t="shared" si="12"/>
        <v>0</v>
      </c>
      <c r="G151" s="21">
        <f t="shared" si="9"/>
        <v>405.84120900463466</v>
      </c>
      <c r="H151" s="150">
        <f>'Schedule 4 Adjustments'!N150</f>
        <v>0</v>
      </c>
      <c r="I151" s="410">
        <v>5.28</v>
      </c>
      <c r="J151" s="47">
        <f t="shared" si="11"/>
        <v>0</v>
      </c>
      <c r="K151" s="21">
        <f t="shared" si="10"/>
        <v>405.84120900463466</v>
      </c>
    </row>
    <row r="152" spans="1:11" s="22" customFormat="1" x14ac:dyDescent="0.35">
      <c r="A152" s="19">
        <v>139</v>
      </c>
      <c r="B152" s="19" t="s">
        <v>788</v>
      </c>
      <c r="C152" s="20" t="s">
        <v>789</v>
      </c>
      <c r="D152" s="116">
        <f>'Schedule 4 Adjustments'!F152</f>
        <v>0</v>
      </c>
      <c r="E152" s="410">
        <v>0.12</v>
      </c>
      <c r="F152" s="47">
        <f t="shared" ref="F152" si="13">D152*E152</f>
        <v>0</v>
      </c>
      <c r="G152" s="21">
        <f t="shared" ref="G152" si="14">E152*$F$13</f>
        <v>9.2236638410144227</v>
      </c>
      <c r="H152" s="150">
        <f>'Schedule 4 Adjustments'!N151</f>
        <v>0</v>
      </c>
      <c r="I152" s="410">
        <v>0.09</v>
      </c>
      <c r="J152" s="47">
        <f t="shared" ref="J152" si="15">H152*I152</f>
        <v>0</v>
      </c>
      <c r="K152" s="21">
        <f t="shared" ref="K152" si="16">I152*$F$13</f>
        <v>6.9177478807608175</v>
      </c>
    </row>
    <row r="153" spans="1:11" s="22" customFormat="1" x14ac:dyDescent="0.35">
      <c r="A153" s="19">
        <v>140</v>
      </c>
      <c r="B153" s="19" t="s">
        <v>72</v>
      </c>
      <c r="C153" s="20" t="s">
        <v>404</v>
      </c>
      <c r="D153" s="116">
        <f>'Schedule 4 Adjustments'!F152</f>
        <v>0</v>
      </c>
      <c r="E153" s="410">
        <v>1.02</v>
      </c>
      <c r="F153" s="47">
        <f t="shared" si="12"/>
        <v>0</v>
      </c>
      <c r="G153" s="21">
        <f t="shared" si="9"/>
        <v>78.401142648622596</v>
      </c>
      <c r="H153" s="150">
        <f>'Schedule 4 Adjustments'!N152</f>
        <v>0</v>
      </c>
      <c r="I153" s="410">
        <v>0.94</v>
      </c>
      <c r="J153" s="47">
        <f t="shared" si="11"/>
        <v>0</v>
      </c>
      <c r="K153" s="21">
        <f t="shared" si="10"/>
        <v>72.252033421279648</v>
      </c>
    </row>
    <row r="154" spans="1:11" s="22" customFormat="1" x14ac:dyDescent="0.35">
      <c r="A154" s="19">
        <v>141</v>
      </c>
      <c r="B154" s="19" t="s">
        <v>20</v>
      </c>
      <c r="C154" s="20" t="s">
        <v>405</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397.38618381703805</v>
      </c>
      <c r="H155" s="150">
        <f>'Schedule 4 Adjustments'!N154</f>
        <v>0</v>
      </c>
      <c r="I155" s="410">
        <v>4.43</v>
      </c>
      <c r="J155" s="47">
        <f t="shared" si="11"/>
        <v>0</v>
      </c>
      <c r="K155" s="21">
        <f t="shared" si="10"/>
        <v>340.5069234641158</v>
      </c>
    </row>
    <row r="156" spans="1:11" s="22" customFormat="1" x14ac:dyDescent="0.35">
      <c r="A156" s="19">
        <v>143</v>
      </c>
      <c r="B156" s="19" t="s">
        <v>74</v>
      </c>
      <c r="C156" s="20" t="s">
        <v>144</v>
      </c>
      <c r="D156" s="116">
        <f>'Schedule 4 Adjustments'!F155</f>
        <v>0</v>
      </c>
      <c r="E156" s="410">
        <v>1.7</v>
      </c>
      <c r="F156" s="47">
        <f t="shared" si="12"/>
        <v>0</v>
      </c>
      <c r="G156" s="21">
        <f t="shared" si="9"/>
        <v>130.66857108103767</v>
      </c>
      <c r="H156" s="150">
        <f>'Schedule 4 Adjustments'!N155</f>
        <v>0</v>
      </c>
      <c r="I156" s="410">
        <v>1.05</v>
      </c>
      <c r="J156" s="47">
        <f t="shared" si="11"/>
        <v>0</v>
      </c>
      <c r="K156" s="21">
        <f t="shared" si="10"/>
        <v>80.70705860887621</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103.76621821141227</v>
      </c>
      <c r="H158" s="150">
        <f>'Schedule 4 Adjustments'!N157</f>
        <v>0</v>
      </c>
      <c r="I158" s="410">
        <v>1.35</v>
      </c>
      <c r="J158" s="47">
        <f t="shared" si="11"/>
        <v>0</v>
      </c>
      <c r="K158" s="21">
        <f t="shared" si="10"/>
        <v>103.76621821141227</v>
      </c>
    </row>
    <row r="159" spans="1:11" s="22" customFormat="1" x14ac:dyDescent="0.35">
      <c r="A159" s="19">
        <v>146</v>
      </c>
      <c r="B159" s="19" t="s">
        <v>76</v>
      </c>
      <c r="C159" s="20" t="s">
        <v>146</v>
      </c>
      <c r="D159" s="116">
        <f>'Schedule 4 Adjustments'!F158</f>
        <v>0</v>
      </c>
      <c r="E159" s="410">
        <v>2.56</v>
      </c>
      <c r="F159" s="47">
        <f t="shared" si="12"/>
        <v>0</v>
      </c>
      <c r="G159" s="21">
        <f t="shared" si="9"/>
        <v>196.77149527497437</v>
      </c>
      <c r="H159" s="150">
        <f>'Schedule 4 Adjustments'!N158</f>
        <v>0</v>
      </c>
      <c r="I159" s="410">
        <v>2.14</v>
      </c>
      <c r="J159" s="47">
        <f t="shared" si="11"/>
        <v>0</v>
      </c>
      <c r="K159" s="21">
        <f t="shared" si="10"/>
        <v>164.48867183142389</v>
      </c>
    </row>
    <row r="160" spans="1:11" s="22" customFormat="1" x14ac:dyDescent="0.35">
      <c r="A160" s="19">
        <v>147</v>
      </c>
      <c r="B160" s="19" t="s">
        <v>77</v>
      </c>
      <c r="C160" s="20" t="s">
        <v>406</v>
      </c>
      <c r="D160" s="116">
        <f>'Schedule 4 Adjustments'!F159</f>
        <v>0</v>
      </c>
      <c r="E160" s="410">
        <v>1.6</v>
      </c>
      <c r="F160" s="47">
        <f t="shared" si="12"/>
        <v>0</v>
      </c>
      <c r="G160" s="21">
        <f t="shared" si="9"/>
        <v>122.98218454685899</v>
      </c>
      <c r="H160" s="150">
        <f>'Schedule 4 Adjustments'!N159</f>
        <v>0</v>
      </c>
      <c r="I160" s="410">
        <v>1.6</v>
      </c>
      <c r="J160" s="47">
        <f t="shared" si="11"/>
        <v>0</v>
      </c>
      <c r="K160" s="21">
        <f t="shared" si="10"/>
        <v>122.98218454685899</v>
      </c>
    </row>
    <row r="161" spans="1:11" s="22" customFormat="1" x14ac:dyDescent="0.35">
      <c r="A161" s="19">
        <v>148</v>
      </c>
      <c r="B161" s="19" t="s">
        <v>78</v>
      </c>
      <c r="C161" s="20" t="s">
        <v>407</v>
      </c>
      <c r="D161" s="116">
        <f>'Schedule 4 Adjustments'!F160</f>
        <v>0</v>
      </c>
      <c r="E161" s="410">
        <v>2.64</v>
      </c>
      <c r="F161" s="47">
        <f t="shared" si="12"/>
        <v>0</v>
      </c>
      <c r="G161" s="21">
        <f t="shared" si="9"/>
        <v>202.92060450231733</v>
      </c>
      <c r="H161" s="150">
        <f>'Schedule 4 Adjustments'!N160</f>
        <v>0</v>
      </c>
      <c r="I161" s="410">
        <v>2.64</v>
      </c>
      <c r="J161" s="47">
        <f t="shared" si="11"/>
        <v>0</v>
      </c>
      <c r="K161" s="21">
        <f t="shared" si="10"/>
        <v>202.92060450231733</v>
      </c>
    </row>
    <row r="162" spans="1:11" s="22" customFormat="1" x14ac:dyDescent="0.35">
      <c r="A162" s="19">
        <v>149</v>
      </c>
      <c r="B162" s="19" t="s">
        <v>79</v>
      </c>
      <c r="C162" s="20" t="s">
        <v>408</v>
      </c>
      <c r="D162" s="116">
        <f>'Schedule 4 Adjustments'!F161</f>
        <v>2983</v>
      </c>
      <c r="E162" s="410">
        <v>1.24</v>
      </c>
      <c r="F162" s="47">
        <f t="shared" si="12"/>
        <v>3698.92</v>
      </c>
      <c r="G162" s="21">
        <f t="shared" si="9"/>
        <v>95.311193023815704</v>
      </c>
      <c r="H162" s="150">
        <f>'Schedule 4 Adjustments'!N161</f>
        <v>2952</v>
      </c>
      <c r="I162" s="410">
        <v>1.24</v>
      </c>
      <c r="J162" s="47">
        <f t="shared" si="11"/>
        <v>3660.48</v>
      </c>
      <c r="K162" s="21">
        <f t="shared" si="10"/>
        <v>95.311193023815704</v>
      </c>
    </row>
    <row r="163" spans="1:11" s="22" customFormat="1" x14ac:dyDescent="0.35">
      <c r="A163" s="19">
        <v>150</v>
      </c>
      <c r="B163" s="19" t="s">
        <v>80</v>
      </c>
      <c r="C163" s="20" t="s">
        <v>409</v>
      </c>
      <c r="D163" s="116">
        <f>'Schedule 4 Adjustments'!F162</f>
        <v>0</v>
      </c>
      <c r="E163" s="410">
        <v>0.83</v>
      </c>
      <c r="F163" s="47">
        <f t="shared" si="12"/>
        <v>0</v>
      </c>
      <c r="G163" s="21">
        <f t="shared" si="9"/>
        <v>63.797008233683094</v>
      </c>
      <c r="H163" s="150">
        <f>'Schedule 4 Adjustments'!N162</f>
        <v>0</v>
      </c>
      <c r="I163" s="410">
        <v>0.72</v>
      </c>
      <c r="J163" s="47">
        <f t="shared" si="11"/>
        <v>0</v>
      </c>
      <c r="K163" s="21">
        <f t="shared" si="10"/>
        <v>55.34198304608654</v>
      </c>
    </row>
    <row r="164" spans="1:11" s="22" customFormat="1" x14ac:dyDescent="0.35">
      <c r="A164" s="19">
        <v>151</v>
      </c>
      <c r="B164" s="19" t="s">
        <v>81</v>
      </c>
      <c r="C164" s="20" t="s">
        <v>410</v>
      </c>
      <c r="D164" s="116">
        <f>'Schedule 4 Adjustments'!F163</f>
        <v>57</v>
      </c>
      <c r="E164" s="410">
        <v>0.92</v>
      </c>
      <c r="F164" s="47">
        <f t="shared" si="12"/>
        <v>52.440000000000005</v>
      </c>
      <c r="G164" s="21">
        <f t="shared" si="9"/>
        <v>70.714756114443915</v>
      </c>
      <c r="H164" s="150">
        <f>'Schedule 4 Adjustments'!N163</f>
        <v>87</v>
      </c>
      <c r="I164" s="410">
        <v>0.92</v>
      </c>
      <c r="J164" s="47">
        <f t="shared" si="11"/>
        <v>80.040000000000006</v>
      </c>
      <c r="K164" s="21">
        <f t="shared" si="10"/>
        <v>70.714756114443915</v>
      </c>
    </row>
    <row r="165" spans="1:11" s="22" customFormat="1" x14ac:dyDescent="0.35">
      <c r="A165" s="19">
        <v>152</v>
      </c>
      <c r="B165" s="19" t="s">
        <v>82</v>
      </c>
      <c r="C165" s="20" t="s">
        <v>411</v>
      </c>
      <c r="D165" s="116">
        <f>'Schedule 4 Adjustments'!F164</f>
        <v>0</v>
      </c>
      <c r="E165" s="410">
        <v>0.14000000000000001</v>
      </c>
      <c r="F165" s="47">
        <f t="shared" si="12"/>
        <v>0</v>
      </c>
      <c r="G165" s="21">
        <f t="shared" si="9"/>
        <v>10.760941147850161</v>
      </c>
      <c r="H165" s="150">
        <f>'Schedule 4 Adjustments'!N164</f>
        <v>0</v>
      </c>
      <c r="I165" s="410">
        <v>0.12</v>
      </c>
      <c r="J165" s="47">
        <f t="shared" si="11"/>
        <v>0</v>
      </c>
      <c r="K165" s="21">
        <f t="shared" si="10"/>
        <v>9.2236638410144227</v>
      </c>
    </row>
    <row r="166" spans="1:11" s="22" customFormat="1" x14ac:dyDescent="0.35">
      <c r="A166" s="19">
        <v>153</v>
      </c>
      <c r="B166" s="19" t="s">
        <v>83</v>
      </c>
      <c r="C166" s="20" t="s">
        <v>416</v>
      </c>
      <c r="D166" s="116">
        <f>'Schedule 4 Adjustments'!F165</f>
        <v>0</v>
      </c>
      <c r="E166" s="410">
        <v>3.3600000000000003</v>
      </c>
      <c r="F166" s="47">
        <f t="shared" si="12"/>
        <v>0</v>
      </c>
      <c r="G166" s="21">
        <f t="shared" si="9"/>
        <v>258.26258754840387</v>
      </c>
      <c r="H166" s="150">
        <f>'Schedule 4 Adjustments'!N165</f>
        <v>0</v>
      </c>
      <c r="I166" s="410">
        <v>2.88</v>
      </c>
      <c r="J166" s="47">
        <f t="shared" si="11"/>
        <v>0</v>
      </c>
      <c r="K166" s="21">
        <f t="shared" si="10"/>
        <v>221.36793218434616</v>
      </c>
    </row>
    <row r="167" spans="1:11" s="22" customFormat="1" x14ac:dyDescent="0.35">
      <c r="A167" s="19">
        <v>154</v>
      </c>
      <c r="B167" s="19" t="s">
        <v>84</v>
      </c>
      <c r="C167" s="20" t="s">
        <v>414</v>
      </c>
      <c r="D167" s="116">
        <f>'Schedule 4 Adjustments'!F166</f>
        <v>1326</v>
      </c>
      <c r="E167" s="410">
        <v>0.44</v>
      </c>
      <c r="F167" s="47">
        <f t="shared" si="12"/>
        <v>583.44000000000005</v>
      </c>
      <c r="G167" s="21">
        <f t="shared" si="9"/>
        <v>33.820100750386217</v>
      </c>
      <c r="H167" s="150">
        <f>'Schedule 4 Adjustments'!N166</f>
        <v>1509</v>
      </c>
      <c r="I167" s="410">
        <v>0.44</v>
      </c>
      <c r="J167" s="47">
        <f t="shared" si="11"/>
        <v>663.96</v>
      </c>
      <c r="K167" s="21">
        <f t="shared" si="10"/>
        <v>33.820100750386217</v>
      </c>
    </row>
    <row r="168" spans="1:11" s="22" customFormat="1" x14ac:dyDescent="0.35">
      <c r="A168" s="19">
        <v>155</v>
      </c>
      <c r="B168" s="19" t="s">
        <v>85</v>
      </c>
      <c r="C168" s="20" t="s">
        <v>415</v>
      </c>
      <c r="D168" s="116">
        <f>'Schedule 4 Adjustments'!F167</f>
        <v>0</v>
      </c>
      <c r="E168" s="410">
        <v>5.28</v>
      </c>
      <c r="F168" s="47">
        <f t="shared" si="12"/>
        <v>0</v>
      </c>
      <c r="G168" s="21">
        <f t="shared" si="9"/>
        <v>405.84120900463466</v>
      </c>
      <c r="H168" s="150">
        <f>'Schedule 4 Adjustments'!N167</f>
        <v>0</v>
      </c>
      <c r="I168" s="410">
        <v>5.28</v>
      </c>
      <c r="J168" s="47">
        <f t="shared" si="11"/>
        <v>0</v>
      </c>
      <c r="K168" s="21">
        <f t="shared" si="10"/>
        <v>405.84120900463466</v>
      </c>
    </row>
    <row r="169" spans="1:11" s="22" customFormat="1" x14ac:dyDescent="0.35">
      <c r="A169" s="19">
        <v>156</v>
      </c>
      <c r="B169" s="19" t="s">
        <v>86</v>
      </c>
      <c r="C169" s="20" t="s">
        <v>413</v>
      </c>
      <c r="D169" s="116">
        <f>'Schedule 4 Adjustments'!F168</f>
        <v>0</v>
      </c>
      <c r="E169" s="410">
        <v>0.44</v>
      </c>
      <c r="F169" s="47">
        <f t="shared" si="12"/>
        <v>0</v>
      </c>
      <c r="G169" s="21">
        <f t="shared" si="9"/>
        <v>33.820100750386217</v>
      </c>
      <c r="H169" s="150">
        <f>'Schedule 4 Adjustments'!N168</f>
        <v>0</v>
      </c>
      <c r="I169" s="410">
        <v>0.44</v>
      </c>
      <c r="J169" s="47">
        <f t="shared" si="11"/>
        <v>0</v>
      </c>
      <c r="K169" s="21">
        <f t="shared" si="10"/>
        <v>33.820100750386217</v>
      </c>
    </row>
    <row r="170" spans="1:11" s="22" customFormat="1" x14ac:dyDescent="0.35">
      <c r="A170" s="19">
        <v>157</v>
      </c>
      <c r="B170" s="19" t="s">
        <v>87</v>
      </c>
      <c r="C170" s="20" t="s">
        <v>412</v>
      </c>
      <c r="D170" s="116">
        <f>'Schedule 4 Adjustments'!F169</f>
        <v>0</v>
      </c>
      <c r="E170" s="410">
        <v>5.28</v>
      </c>
      <c r="F170" s="47">
        <f t="shared" si="12"/>
        <v>0</v>
      </c>
      <c r="G170" s="21">
        <f t="shared" si="9"/>
        <v>405.84120900463466</v>
      </c>
      <c r="H170" s="150">
        <f>'Schedule 4 Adjustments'!N169</f>
        <v>0</v>
      </c>
      <c r="I170" s="410">
        <v>5.28</v>
      </c>
      <c r="J170" s="47">
        <f t="shared" si="11"/>
        <v>0</v>
      </c>
      <c r="K170" s="21">
        <f t="shared" si="10"/>
        <v>405.84120900463466</v>
      </c>
    </row>
    <row r="171" spans="1:11" s="22" customFormat="1" x14ac:dyDescent="0.35">
      <c r="A171" s="19">
        <v>158</v>
      </c>
      <c r="B171" s="19" t="s">
        <v>88</v>
      </c>
      <c r="C171" s="20" t="s">
        <v>417</v>
      </c>
      <c r="D171" s="116">
        <f>'Schedule 4 Adjustments'!F170</f>
        <v>0</v>
      </c>
      <c r="E171" s="410">
        <v>0.14000000000000001</v>
      </c>
      <c r="F171" s="47">
        <f t="shared" si="12"/>
        <v>0</v>
      </c>
      <c r="G171" s="21">
        <f t="shared" si="9"/>
        <v>10.760941147850161</v>
      </c>
      <c r="H171" s="150">
        <f>'Schedule 4 Adjustments'!N170</f>
        <v>2486</v>
      </c>
      <c r="I171" s="410">
        <v>0.12</v>
      </c>
      <c r="J171" s="47">
        <f t="shared" si="11"/>
        <v>298.32</v>
      </c>
      <c r="K171" s="21">
        <f t="shared" si="10"/>
        <v>9.2236638410144227</v>
      </c>
    </row>
    <row r="172" spans="1:11" s="22" customFormat="1" x14ac:dyDescent="0.35">
      <c r="A172" s="19">
        <v>159</v>
      </c>
      <c r="B172" s="19" t="s">
        <v>89</v>
      </c>
      <c r="C172" s="20" t="s">
        <v>418</v>
      </c>
      <c r="D172" s="116">
        <f>'Schedule 4 Adjustments'!F171</f>
        <v>0</v>
      </c>
      <c r="E172" s="410">
        <v>3.3600000000000003</v>
      </c>
      <c r="F172" s="47">
        <f t="shared" si="12"/>
        <v>0</v>
      </c>
      <c r="G172" s="21">
        <f t="shared" si="9"/>
        <v>258.26258754840387</v>
      </c>
      <c r="H172" s="150">
        <f>'Schedule 4 Adjustments'!N171</f>
        <v>133</v>
      </c>
      <c r="I172" s="410">
        <v>2.88</v>
      </c>
      <c r="J172" s="47">
        <f t="shared" si="11"/>
        <v>383.03999999999996</v>
      </c>
      <c r="K172" s="21">
        <f t="shared" si="10"/>
        <v>221.36793218434616</v>
      </c>
    </row>
    <row r="173" spans="1:11" s="22" customFormat="1" x14ac:dyDescent="0.35">
      <c r="A173" s="19">
        <v>160</v>
      </c>
      <c r="B173" s="19" t="s">
        <v>90</v>
      </c>
      <c r="C173" s="20" t="s">
        <v>419</v>
      </c>
      <c r="D173" s="116">
        <f>'Schedule 4 Adjustments'!F172</f>
        <v>1970</v>
      </c>
      <c r="E173" s="410">
        <v>0.14000000000000001</v>
      </c>
      <c r="F173" s="47">
        <f t="shared" si="12"/>
        <v>275.8</v>
      </c>
      <c r="G173" s="21">
        <f t="shared" si="9"/>
        <v>10.760941147850161</v>
      </c>
      <c r="H173" s="150">
        <f>'Schedule 4 Adjustments'!N172</f>
        <v>65</v>
      </c>
      <c r="I173" s="410">
        <v>0.12</v>
      </c>
      <c r="J173" s="47">
        <f t="shared" si="11"/>
        <v>7.8</v>
      </c>
      <c r="K173" s="21">
        <f t="shared" si="10"/>
        <v>9.2236638410144227</v>
      </c>
    </row>
    <row r="174" spans="1:11" s="22" customFormat="1" x14ac:dyDescent="0.35">
      <c r="A174" s="19">
        <v>161</v>
      </c>
      <c r="B174" s="19" t="s">
        <v>91</v>
      </c>
      <c r="C174" s="20" t="s">
        <v>420</v>
      </c>
      <c r="D174" s="116">
        <f>'Schedule 4 Adjustments'!F173</f>
        <v>0</v>
      </c>
      <c r="E174" s="410">
        <v>3.3600000000000003</v>
      </c>
      <c r="F174" s="47">
        <f t="shared" si="12"/>
        <v>0</v>
      </c>
      <c r="G174" s="21">
        <f t="shared" si="9"/>
        <v>258.26258754840387</v>
      </c>
      <c r="H174" s="150">
        <f>'Schedule 4 Adjustments'!N173</f>
        <v>0</v>
      </c>
      <c r="I174" s="410">
        <v>2.88</v>
      </c>
      <c r="J174" s="47">
        <f t="shared" si="11"/>
        <v>0</v>
      </c>
      <c r="K174" s="21">
        <f t="shared" si="10"/>
        <v>221.36793218434616</v>
      </c>
    </row>
    <row r="175" spans="1:11" s="22" customFormat="1" x14ac:dyDescent="0.35">
      <c r="A175" s="19">
        <v>162</v>
      </c>
      <c r="B175" s="19" t="s">
        <v>92</v>
      </c>
      <c r="C175" s="20" t="s">
        <v>421</v>
      </c>
      <c r="D175" s="116">
        <f>'Schedule 4 Adjustments'!F174</f>
        <v>231</v>
      </c>
      <c r="E175" s="410">
        <v>0.14000000000000001</v>
      </c>
      <c r="F175" s="47">
        <f t="shared" si="12"/>
        <v>32.340000000000003</v>
      </c>
      <c r="G175" s="21">
        <f t="shared" si="9"/>
        <v>10.760941147850161</v>
      </c>
      <c r="H175" s="150">
        <f>'Schedule 4 Adjustments'!N174</f>
        <v>520</v>
      </c>
      <c r="I175" s="410">
        <v>0.12</v>
      </c>
      <c r="J175" s="47">
        <f t="shared" si="11"/>
        <v>62.4</v>
      </c>
      <c r="K175" s="21">
        <f t="shared" si="10"/>
        <v>9.2236638410144227</v>
      </c>
    </row>
    <row r="176" spans="1:11" s="22" customFormat="1" x14ac:dyDescent="0.35">
      <c r="A176" s="19">
        <v>163</v>
      </c>
      <c r="B176" s="19" t="s">
        <v>93</v>
      </c>
      <c r="C176" s="20" t="s">
        <v>422</v>
      </c>
      <c r="D176" s="116">
        <f>'Schedule 4 Adjustments'!F175</f>
        <v>0</v>
      </c>
      <c r="E176" s="410">
        <v>0.14000000000000001</v>
      </c>
      <c r="F176" s="47">
        <f t="shared" si="12"/>
        <v>0</v>
      </c>
      <c r="G176" s="21">
        <f t="shared" si="9"/>
        <v>10.760941147850161</v>
      </c>
      <c r="H176" s="150">
        <f>'Schedule 4 Adjustments'!N175</f>
        <v>8850</v>
      </c>
      <c r="I176" s="410">
        <v>0.12</v>
      </c>
      <c r="J176" s="47">
        <f t="shared" si="11"/>
        <v>1062</v>
      </c>
      <c r="K176" s="21">
        <f t="shared" si="10"/>
        <v>9.2236638410144227</v>
      </c>
    </row>
    <row r="177" spans="1:11" s="22" customFormat="1" x14ac:dyDescent="0.35">
      <c r="A177" s="19">
        <v>164</v>
      </c>
      <c r="B177" s="19" t="s">
        <v>94</v>
      </c>
      <c r="C177" s="20" t="s">
        <v>423</v>
      </c>
      <c r="D177" s="116">
        <f>'Schedule 4 Adjustments'!F176</f>
        <v>0</v>
      </c>
      <c r="E177" s="410">
        <v>3.3600000000000003</v>
      </c>
      <c r="F177" s="47">
        <f t="shared" si="12"/>
        <v>0</v>
      </c>
      <c r="G177" s="21">
        <f t="shared" si="9"/>
        <v>258.26258754840387</v>
      </c>
      <c r="H177" s="150">
        <f>'Schedule 4 Adjustments'!N176</f>
        <v>729</v>
      </c>
      <c r="I177" s="410">
        <v>2.88</v>
      </c>
      <c r="J177" s="47">
        <f t="shared" si="11"/>
        <v>2099.52</v>
      </c>
      <c r="K177" s="21">
        <f t="shared" si="10"/>
        <v>221.36793218434616</v>
      </c>
    </row>
    <row r="178" spans="1:11" s="22" customFormat="1" x14ac:dyDescent="0.35">
      <c r="A178" s="19">
        <v>165</v>
      </c>
      <c r="B178" s="19" t="s">
        <v>95</v>
      </c>
      <c r="C178" s="20" t="s">
        <v>424</v>
      </c>
      <c r="D178" s="116">
        <f>'Schedule 4 Adjustments'!F177</f>
        <v>0</v>
      </c>
      <c r="E178" s="410">
        <v>0.14000000000000001</v>
      </c>
      <c r="F178" s="47">
        <f t="shared" si="12"/>
        <v>0</v>
      </c>
      <c r="G178" s="21">
        <f t="shared" si="9"/>
        <v>10.760941147850161</v>
      </c>
      <c r="H178" s="150">
        <f>'Schedule 4 Adjustments'!N177</f>
        <v>0</v>
      </c>
      <c r="I178" s="410">
        <v>0.12</v>
      </c>
      <c r="J178" s="47">
        <f t="shared" si="11"/>
        <v>0</v>
      </c>
      <c r="K178" s="21">
        <f t="shared" si="10"/>
        <v>9.2236638410144227</v>
      </c>
    </row>
    <row r="179" spans="1:11" s="22" customFormat="1" x14ac:dyDescent="0.35">
      <c r="A179" s="19">
        <v>166</v>
      </c>
      <c r="B179" s="19" t="s">
        <v>96</v>
      </c>
      <c r="C179" s="20" t="s">
        <v>425</v>
      </c>
      <c r="D179" s="116">
        <f>'Schedule 4 Adjustments'!F178</f>
        <v>1600</v>
      </c>
      <c r="E179" s="410">
        <v>1.29</v>
      </c>
      <c r="F179" s="47">
        <f t="shared" si="12"/>
        <v>2064</v>
      </c>
      <c r="G179" s="21">
        <f t="shared" si="9"/>
        <v>99.154386290905052</v>
      </c>
      <c r="H179" s="150">
        <f>'Schedule 4 Adjustments'!N178</f>
        <v>26</v>
      </c>
      <c r="I179" s="410">
        <v>1.1299999999999999</v>
      </c>
      <c r="J179" s="47">
        <f t="shared" si="11"/>
        <v>29.379999999999995</v>
      </c>
      <c r="K179" s="21">
        <f t="shared" si="10"/>
        <v>86.856167836219143</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426</v>
      </c>
      <c r="D181" s="116">
        <f>'Schedule 4 Adjustments'!F180</f>
        <v>0</v>
      </c>
      <c r="E181" s="410">
        <v>0</v>
      </c>
      <c r="F181" s="47">
        <f t="shared" si="12"/>
        <v>0</v>
      </c>
      <c r="G181" s="21">
        <f t="shared" si="9"/>
        <v>0</v>
      </c>
      <c r="H181" s="150">
        <f>'Schedule 4 Adjustments'!N180</f>
        <v>9375</v>
      </c>
      <c r="I181" s="410">
        <v>0</v>
      </c>
      <c r="J181" s="47">
        <f t="shared" si="11"/>
        <v>0</v>
      </c>
      <c r="K181" s="21">
        <f t="shared" si="10"/>
        <v>0</v>
      </c>
    </row>
    <row r="182" spans="1:11" s="22" customFormat="1" x14ac:dyDescent="0.35">
      <c r="A182" s="19">
        <v>169</v>
      </c>
      <c r="B182" s="19" t="s">
        <v>98</v>
      </c>
      <c r="C182" s="20" t="s">
        <v>427</v>
      </c>
      <c r="D182" s="116">
        <f>'Schedule 4 Adjustments'!F181</f>
        <v>0</v>
      </c>
      <c r="E182" s="410">
        <v>0.22</v>
      </c>
      <c r="F182" s="47">
        <f t="shared" si="12"/>
        <v>0</v>
      </c>
      <c r="G182" s="21">
        <f t="shared" si="9"/>
        <v>16.910050375193109</v>
      </c>
      <c r="H182" s="150">
        <f>'Schedule 4 Adjustments'!N181</f>
        <v>0</v>
      </c>
      <c r="I182" s="410">
        <v>0.22</v>
      </c>
      <c r="J182" s="47">
        <f t="shared" si="11"/>
        <v>0</v>
      </c>
      <c r="K182" s="21">
        <f t="shared" si="10"/>
        <v>16.910050375193109</v>
      </c>
    </row>
    <row r="183" spans="1:11" s="22" customFormat="1" x14ac:dyDescent="0.35">
      <c r="A183" s="19">
        <v>170</v>
      </c>
      <c r="B183" s="19" t="s">
        <v>99</v>
      </c>
      <c r="C183" s="20" t="s">
        <v>428</v>
      </c>
      <c r="D183" s="116">
        <f>'Schedule 4 Adjustments'!F182</f>
        <v>0</v>
      </c>
      <c r="E183" s="410">
        <v>4.4000000000000004</v>
      </c>
      <c r="F183" s="47">
        <f t="shared" si="12"/>
        <v>0</v>
      </c>
      <c r="G183" s="21">
        <f t="shared" si="9"/>
        <v>338.20100750386223</v>
      </c>
      <c r="H183" s="150">
        <f>'Schedule 4 Adjustments'!N182</f>
        <v>0</v>
      </c>
      <c r="I183" s="410">
        <v>4.4000000000000004</v>
      </c>
      <c r="J183" s="47">
        <f t="shared" si="11"/>
        <v>0</v>
      </c>
      <c r="K183" s="21">
        <f t="shared" si="10"/>
        <v>338.20100750386223</v>
      </c>
    </row>
    <row r="184" spans="1:11" s="22" customFormat="1" x14ac:dyDescent="0.35">
      <c r="A184" s="19">
        <v>171</v>
      </c>
      <c r="B184" s="19" t="s">
        <v>100</v>
      </c>
      <c r="C184" s="20" t="s">
        <v>147</v>
      </c>
      <c r="D184" s="116">
        <f>'Schedule 4 Adjustments'!F183</f>
        <v>0</v>
      </c>
      <c r="E184" s="410">
        <v>1.02</v>
      </c>
      <c r="F184" s="47">
        <f t="shared" si="12"/>
        <v>0</v>
      </c>
      <c r="G184" s="21">
        <f t="shared" si="9"/>
        <v>78.401142648622596</v>
      </c>
      <c r="H184" s="150">
        <f>'Schedule 4 Adjustments'!N183</f>
        <v>0</v>
      </c>
      <c r="I184" s="410">
        <v>0.94</v>
      </c>
      <c r="J184" s="47">
        <f t="shared" si="11"/>
        <v>0</v>
      </c>
      <c r="K184" s="21">
        <f t="shared" si="10"/>
        <v>72.252033421279648</v>
      </c>
    </row>
    <row r="185" spans="1:11" s="22" customFormat="1" x14ac:dyDescent="0.35">
      <c r="A185" s="19">
        <v>172</v>
      </c>
      <c r="B185" s="19" t="s">
        <v>101</v>
      </c>
      <c r="C185" s="20" t="s">
        <v>148</v>
      </c>
      <c r="D185" s="116">
        <f>'Schedule 4 Adjustments'!F184</f>
        <v>0</v>
      </c>
      <c r="E185" s="410">
        <v>0.75</v>
      </c>
      <c r="F185" s="47">
        <f t="shared" si="12"/>
        <v>0</v>
      </c>
      <c r="G185" s="21">
        <f t="shared" si="9"/>
        <v>57.647899006340147</v>
      </c>
      <c r="H185" s="150">
        <f>'Schedule 4 Adjustments'!N184</f>
        <v>0</v>
      </c>
      <c r="I185" s="410">
        <v>0.37</v>
      </c>
      <c r="J185" s="47">
        <f t="shared" si="11"/>
        <v>0</v>
      </c>
      <c r="K185" s="21">
        <f t="shared" si="10"/>
        <v>28.43963017646114</v>
      </c>
    </row>
    <row r="186" spans="1:11" s="22" customFormat="1" x14ac:dyDescent="0.35">
      <c r="A186" s="19">
        <v>173</v>
      </c>
      <c r="B186" s="19" t="s">
        <v>102</v>
      </c>
      <c r="C186" s="20" t="s">
        <v>429</v>
      </c>
      <c r="D186" s="116">
        <f>'Schedule 4 Adjustments'!F185</f>
        <v>0</v>
      </c>
      <c r="E186" s="410">
        <v>0.75</v>
      </c>
      <c r="F186" s="47">
        <f t="shared" si="12"/>
        <v>0</v>
      </c>
      <c r="G186" s="21">
        <f t="shared" si="9"/>
        <v>57.647899006340147</v>
      </c>
      <c r="H186" s="150">
        <f>'Schedule 4 Adjustments'!N185</f>
        <v>0</v>
      </c>
      <c r="I186" s="410">
        <v>0.37</v>
      </c>
      <c r="J186" s="47">
        <f t="shared" si="11"/>
        <v>0</v>
      </c>
      <c r="K186" s="21">
        <f t="shared" si="10"/>
        <v>28.43963017646114</v>
      </c>
    </row>
    <row r="187" spans="1:11" s="22" customFormat="1" x14ac:dyDescent="0.35">
      <c r="A187" s="19">
        <v>174</v>
      </c>
      <c r="B187" s="19" t="s">
        <v>103</v>
      </c>
      <c r="C187" s="20" t="s">
        <v>430</v>
      </c>
      <c r="D187" s="116">
        <f>'Schedule 4 Adjustments'!F186</f>
        <v>0</v>
      </c>
      <c r="E187" s="410">
        <v>3.96</v>
      </c>
      <c r="F187" s="47">
        <f t="shared" si="12"/>
        <v>0</v>
      </c>
      <c r="G187" s="21">
        <f t="shared" si="9"/>
        <v>304.38090675347598</v>
      </c>
      <c r="H187" s="150">
        <f>'Schedule 4 Adjustments'!N186</f>
        <v>73</v>
      </c>
      <c r="I187" s="410">
        <v>3.96</v>
      </c>
      <c r="J187" s="47">
        <f t="shared" si="11"/>
        <v>289.08</v>
      </c>
      <c r="K187" s="21">
        <f t="shared" si="10"/>
        <v>304.38090675347598</v>
      </c>
    </row>
    <row r="188" spans="1:11" s="22" customFormat="1" x14ac:dyDescent="0.35">
      <c r="A188" s="19">
        <v>175</v>
      </c>
      <c r="B188" s="19" t="s">
        <v>104</v>
      </c>
      <c r="C188" s="20" t="s">
        <v>431</v>
      </c>
      <c r="D188" s="116">
        <f>'Schedule 4 Adjustments'!F187</f>
        <v>0</v>
      </c>
      <c r="E188" s="410">
        <v>3.59</v>
      </c>
      <c r="F188" s="47">
        <f t="shared" si="12"/>
        <v>0</v>
      </c>
      <c r="G188" s="21">
        <f t="shared" si="9"/>
        <v>275.94127657701483</v>
      </c>
      <c r="H188" s="150">
        <f>'Schedule 4 Adjustments'!N187</f>
        <v>0</v>
      </c>
      <c r="I188" s="410">
        <v>3.59</v>
      </c>
      <c r="J188" s="47">
        <f t="shared" si="11"/>
        <v>0</v>
      </c>
      <c r="K188" s="21">
        <f t="shared" si="10"/>
        <v>275.94127657701483</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6069</v>
      </c>
      <c r="I189" s="410">
        <v>0</v>
      </c>
      <c r="J189" s="47">
        <f t="shared" si="11"/>
        <v>0</v>
      </c>
      <c r="K189" s="21">
        <f t="shared" si="10"/>
        <v>0</v>
      </c>
    </row>
    <row r="190" spans="1:11" s="22" customFormat="1" x14ac:dyDescent="0.35">
      <c r="A190" s="19">
        <v>177</v>
      </c>
      <c r="B190" s="19" t="s">
        <v>105</v>
      </c>
      <c r="C190" s="20" t="s">
        <v>432</v>
      </c>
      <c r="D190" s="116">
        <f>'Schedule 4 Adjustments'!F189</f>
        <v>0</v>
      </c>
      <c r="E190" s="410">
        <v>0.28999999999999998</v>
      </c>
      <c r="F190" s="47">
        <f t="shared" si="12"/>
        <v>0</v>
      </c>
      <c r="G190" s="21">
        <f t="shared" si="9"/>
        <v>22.290520949118189</v>
      </c>
      <c r="H190" s="150">
        <f>'Schedule 4 Adjustments'!N189</f>
        <v>0</v>
      </c>
      <c r="I190" s="410">
        <v>0.28999999999999998</v>
      </c>
      <c r="J190" s="47">
        <f t="shared" si="11"/>
        <v>0</v>
      </c>
      <c r="K190" s="21">
        <f t="shared" si="10"/>
        <v>22.290520949118189</v>
      </c>
    </row>
    <row r="191" spans="1:11" s="22" customFormat="1" x14ac:dyDescent="0.35">
      <c r="A191" s="19">
        <v>178</v>
      </c>
      <c r="B191" s="19" t="s">
        <v>106</v>
      </c>
      <c r="C191" s="20" t="s">
        <v>149</v>
      </c>
      <c r="D191" s="116">
        <f>'Schedule 4 Adjustments'!F190</f>
        <v>0</v>
      </c>
      <c r="E191" s="410">
        <v>3.07</v>
      </c>
      <c r="F191" s="47">
        <f t="shared" si="12"/>
        <v>0</v>
      </c>
      <c r="G191" s="21">
        <f t="shared" si="9"/>
        <v>235.97206659928565</v>
      </c>
      <c r="H191" s="150">
        <f>'Schedule 4 Adjustments'!N190</f>
        <v>0</v>
      </c>
      <c r="I191" s="410">
        <v>3.05</v>
      </c>
      <c r="J191" s="47">
        <f t="shared" si="11"/>
        <v>0</v>
      </c>
      <c r="K191" s="21">
        <f t="shared" si="10"/>
        <v>234.43478929244992</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45.349680551654245</v>
      </c>
      <c r="H193" s="150">
        <f>'Schedule 4 Adjustments'!N192</f>
        <v>0</v>
      </c>
      <c r="I193" s="410">
        <v>0.55000000000000004</v>
      </c>
      <c r="J193" s="47">
        <f t="shared" si="11"/>
        <v>0</v>
      </c>
      <c r="K193" s="21">
        <f t="shared" si="10"/>
        <v>42.275125937982779</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433</v>
      </c>
      <c r="D195" s="116">
        <f>'Schedule 4 Adjustments'!F194</f>
        <v>0</v>
      </c>
      <c r="E195" s="410">
        <v>0.64</v>
      </c>
      <c r="F195" s="47">
        <f t="shared" si="12"/>
        <v>0</v>
      </c>
      <c r="G195" s="21">
        <f t="shared" si="9"/>
        <v>49.192873818743593</v>
      </c>
      <c r="H195" s="150">
        <f>'Schedule 4 Adjustments'!N194</f>
        <v>0</v>
      </c>
      <c r="I195" s="410">
        <v>0.6</v>
      </c>
      <c r="J195" s="47">
        <f t="shared" si="11"/>
        <v>0</v>
      </c>
      <c r="K195" s="21">
        <f t="shared" si="10"/>
        <v>46.118319205072119</v>
      </c>
    </row>
    <row r="196" spans="1:11" s="22" customFormat="1" x14ac:dyDescent="0.35">
      <c r="A196" s="19">
        <v>183</v>
      </c>
      <c r="B196" s="19" t="s">
        <v>109</v>
      </c>
      <c r="C196" s="20" t="s">
        <v>151</v>
      </c>
      <c r="D196" s="116">
        <f>'Schedule 4 Adjustments'!F195</f>
        <v>7323</v>
      </c>
      <c r="E196" s="410">
        <v>0.65000000000000013</v>
      </c>
      <c r="F196" s="47">
        <f t="shared" si="12"/>
        <v>4759.9500000000007</v>
      </c>
      <c r="G196" s="21">
        <f t="shared" si="9"/>
        <v>49.961512472161473</v>
      </c>
      <c r="H196" s="150">
        <f>'Schedule 4 Adjustments'!N195</f>
        <v>13890</v>
      </c>
      <c r="I196" s="410">
        <v>0.59999999999999987</v>
      </c>
      <c r="J196" s="47">
        <f t="shared" si="11"/>
        <v>8333.9999999999982</v>
      </c>
      <c r="K196" s="21">
        <f t="shared" si="10"/>
        <v>46.118319205072105</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73641</v>
      </c>
      <c r="E198" s="13"/>
      <c r="F198" s="9">
        <f>SUM(F19:F197)</f>
        <v>151578.33999999997</v>
      </c>
      <c r="H198" s="9">
        <f>SUM(H19:H197)</f>
        <v>121444</v>
      </c>
      <c r="J198" s="9">
        <f>SUM(J19:J197)</f>
        <v>125369.76999999995</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901</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772</v>
      </c>
      <c r="C6" s="421" t="str">
        <f>Results!$C$6</f>
        <v>Mind Springs Health</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10" t="s">
        <v>867</v>
      </c>
      <c r="C10" s="510"/>
      <c r="D10" s="259" t="s">
        <v>902</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506" t="s">
        <v>869</v>
      </c>
      <c r="B12" s="507"/>
      <c r="C12" s="507"/>
      <c r="D12" s="508"/>
      <c r="G12" s="128"/>
      <c r="H12" s="128"/>
      <c r="I12" s="128"/>
      <c r="J12" s="128"/>
      <c r="K12" s="128"/>
      <c r="L12" s="128"/>
      <c r="M12" s="128"/>
    </row>
    <row r="13" spans="1:13" s="22" customFormat="1" x14ac:dyDescent="0.35">
      <c r="A13" s="155">
        <v>1</v>
      </c>
      <c r="B13" s="497" t="s">
        <v>870</v>
      </c>
      <c r="C13" s="499"/>
      <c r="D13" s="157">
        <f>'Schedule 5 Adjustments'!F12</f>
        <v>0</v>
      </c>
      <c r="G13" s="140"/>
    </row>
    <row r="14" spans="1:13" s="22" customFormat="1" x14ac:dyDescent="0.35">
      <c r="A14" s="155">
        <v>2</v>
      </c>
      <c r="B14" s="497" t="s">
        <v>871</v>
      </c>
      <c r="C14" s="499"/>
      <c r="D14" s="157">
        <f>'Schedule 5 Adjustments'!F13</f>
        <v>8712293.7599999998</v>
      </c>
      <c r="G14" s="140"/>
    </row>
    <row r="15" spans="1:13" s="22" customFormat="1" x14ac:dyDescent="0.35">
      <c r="A15" s="155">
        <v>3</v>
      </c>
      <c r="B15" s="173" t="s">
        <v>872</v>
      </c>
      <c r="C15" s="168"/>
      <c r="D15" s="157">
        <f>'Schedule 5 Adjustments'!F14</f>
        <v>2387637.54</v>
      </c>
      <c r="G15" s="140"/>
    </row>
    <row r="16" spans="1:13" s="22" customFormat="1" x14ac:dyDescent="0.35">
      <c r="A16" s="155">
        <v>4</v>
      </c>
      <c r="B16" s="173" t="s">
        <v>873</v>
      </c>
      <c r="C16" s="168"/>
      <c r="D16" s="157">
        <f>'Schedule 5 Adjustments'!F15</f>
        <v>2456543.3199999998</v>
      </c>
      <c r="G16" s="140"/>
    </row>
    <row r="17" spans="1:7" s="22" customFormat="1" x14ac:dyDescent="0.35">
      <c r="A17" s="155">
        <v>5</v>
      </c>
      <c r="B17" s="173" t="s">
        <v>874</v>
      </c>
      <c r="C17" s="168"/>
      <c r="D17" s="157">
        <f>'Schedule 5 Adjustments'!F16</f>
        <v>0</v>
      </c>
      <c r="G17" s="140"/>
    </row>
    <row r="18" spans="1:7" s="22" customFormat="1" x14ac:dyDescent="0.35">
      <c r="A18" s="155">
        <v>6</v>
      </c>
      <c r="B18" s="173" t="s">
        <v>875</v>
      </c>
      <c r="C18" s="168"/>
      <c r="D18" s="157">
        <f>'Schedule 5 Adjustments'!F17</f>
        <v>435582.29</v>
      </c>
      <c r="G18" s="140"/>
    </row>
    <row r="19" spans="1:7" s="22" customFormat="1" x14ac:dyDescent="0.35">
      <c r="A19" s="155">
        <v>7</v>
      </c>
      <c r="B19" s="497" t="s">
        <v>876</v>
      </c>
      <c r="C19" s="499"/>
      <c r="D19" s="157">
        <f>'Schedule 5 Adjustments'!F18</f>
        <v>2655184.06</v>
      </c>
      <c r="G19" s="140"/>
    </row>
    <row r="20" spans="1:7" s="22" customFormat="1" x14ac:dyDescent="0.35">
      <c r="A20" s="155">
        <v>8</v>
      </c>
      <c r="B20" s="503" t="s">
        <v>877</v>
      </c>
      <c r="C20" s="505"/>
      <c r="D20" s="160">
        <f>SUM(D13:D19)</f>
        <v>16647240.970000001</v>
      </c>
      <c r="G20" s="140"/>
    </row>
    <row r="21" spans="1:7" s="22" customFormat="1" x14ac:dyDescent="0.35">
      <c r="A21" s="161"/>
      <c r="B21" s="162"/>
      <c r="C21" s="162"/>
      <c r="D21" s="164"/>
      <c r="G21" s="140"/>
    </row>
    <row r="22" spans="1:7" s="22" customFormat="1" x14ac:dyDescent="0.35">
      <c r="A22" s="506" t="s">
        <v>878</v>
      </c>
      <c r="B22" s="507"/>
      <c r="C22" s="507"/>
      <c r="D22" s="508"/>
      <c r="E22" s="140"/>
      <c r="F22" s="140"/>
      <c r="G22" s="140"/>
    </row>
    <row r="23" spans="1:7" s="22" customFormat="1" x14ac:dyDescent="0.35">
      <c r="A23" s="155">
        <v>9</v>
      </c>
      <c r="B23" s="497" t="s">
        <v>879</v>
      </c>
      <c r="C23" s="499"/>
      <c r="D23" s="157">
        <f>'Schedule 5 Adjustments'!F22</f>
        <v>21404839.710000001</v>
      </c>
      <c r="E23" s="140"/>
      <c r="F23" s="140"/>
      <c r="G23" s="140"/>
    </row>
    <row r="24" spans="1:7" s="22" customFormat="1" x14ac:dyDescent="0.35">
      <c r="A24" s="155">
        <v>10</v>
      </c>
      <c r="B24" s="173" t="s">
        <v>880</v>
      </c>
      <c r="C24" s="168"/>
      <c r="D24" s="157">
        <f>'Schedule 5 Adjustments'!F23</f>
        <v>7931806.2000000002</v>
      </c>
      <c r="E24" s="140"/>
      <c r="F24" s="140"/>
      <c r="G24" s="140"/>
    </row>
    <row r="25" spans="1:7" s="22" customFormat="1" x14ac:dyDescent="0.35">
      <c r="A25" s="155">
        <v>11</v>
      </c>
      <c r="B25" s="173" t="s">
        <v>881</v>
      </c>
      <c r="C25" s="168"/>
      <c r="D25" s="157">
        <f>'Schedule 5 Adjustments'!F24</f>
        <v>2209979.0099999998</v>
      </c>
      <c r="E25" s="140"/>
      <c r="F25" s="140"/>
      <c r="G25" s="140"/>
    </row>
    <row r="26" spans="1:7" s="22" customFormat="1" x14ac:dyDescent="0.35">
      <c r="A26" s="155">
        <v>12</v>
      </c>
      <c r="B26" s="173" t="s">
        <v>882</v>
      </c>
      <c r="C26" s="168"/>
      <c r="D26" s="157">
        <f>'Schedule 5 Adjustments'!F25</f>
        <v>1578301.62</v>
      </c>
      <c r="E26" s="140"/>
      <c r="F26" s="140"/>
      <c r="G26" s="140"/>
    </row>
    <row r="27" spans="1:7" s="22" customFormat="1" x14ac:dyDescent="0.35">
      <c r="A27" s="155">
        <v>13</v>
      </c>
      <c r="B27" s="173" t="s">
        <v>883</v>
      </c>
      <c r="C27" s="168"/>
      <c r="D27" s="157">
        <f>'Schedule 5 Adjustments'!F26</f>
        <v>409886.93</v>
      </c>
      <c r="E27" s="140"/>
      <c r="F27" s="140"/>
      <c r="G27" s="140"/>
    </row>
    <row r="28" spans="1:7" s="22" customFormat="1" x14ac:dyDescent="0.35">
      <c r="A28" s="155">
        <v>14</v>
      </c>
      <c r="B28" s="503" t="s">
        <v>884</v>
      </c>
      <c r="C28" s="505"/>
      <c r="D28" s="160">
        <f>SUM(D23:D27)</f>
        <v>33534813.470000003</v>
      </c>
      <c r="E28" s="140"/>
      <c r="F28" s="140"/>
      <c r="G28" s="140"/>
    </row>
    <row r="29" spans="1:7" s="22" customFormat="1" x14ac:dyDescent="0.35">
      <c r="A29" s="161"/>
      <c r="B29" s="162"/>
      <c r="C29" s="162"/>
      <c r="D29" s="164"/>
      <c r="F29" s="140"/>
      <c r="G29" s="140"/>
    </row>
    <row r="30" spans="1:7" s="22" customFormat="1" x14ac:dyDescent="0.35">
      <c r="A30" s="506" t="s">
        <v>885</v>
      </c>
      <c r="B30" s="507"/>
      <c r="C30" s="507"/>
      <c r="D30" s="508"/>
      <c r="F30" s="140"/>
      <c r="G30" s="140"/>
    </row>
    <row r="31" spans="1:7" s="22" customFormat="1" x14ac:dyDescent="0.35">
      <c r="A31" s="155">
        <v>15</v>
      </c>
      <c r="B31" s="497" t="s">
        <v>886</v>
      </c>
      <c r="C31" s="499"/>
      <c r="D31" s="157">
        <f>'Schedule 5 Adjustments'!F30</f>
        <v>-296611.74</v>
      </c>
      <c r="G31" s="140"/>
    </row>
    <row r="32" spans="1:7" s="22" customFormat="1" x14ac:dyDescent="0.35">
      <c r="A32" s="155">
        <v>16</v>
      </c>
      <c r="B32" s="173" t="s">
        <v>887</v>
      </c>
      <c r="C32" s="168"/>
      <c r="D32" s="157">
        <f>'Schedule 5 Adjustments'!F31</f>
        <v>0</v>
      </c>
      <c r="G32" s="140"/>
    </row>
    <row r="33" spans="1:7" s="22" customFormat="1" x14ac:dyDescent="0.35">
      <c r="A33" s="155">
        <v>17</v>
      </c>
      <c r="B33" s="173" t="s">
        <v>888</v>
      </c>
      <c r="C33" s="168"/>
      <c r="D33" s="157">
        <f>'Schedule 5 Adjustments'!F32</f>
        <v>0</v>
      </c>
      <c r="G33" s="140"/>
    </row>
    <row r="34" spans="1:7" s="22" customFormat="1" x14ac:dyDescent="0.35">
      <c r="A34" s="155">
        <v>18</v>
      </c>
      <c r="B34" s="173" t="s">
        <v>889</v>
      </c>
      <c r="C34" s="168"/>
      <c r="D34" s="157">
        <f>'Schedule 5 Adjustments'!F33</f>
        <v>0</v>
      </c>
      <c r="G34" s="140"/>
    </row>
    <row r="35" spans="1:7" s="22" customFormat="1" x14ac:dyDescent="0.35">
      <c r="A35" s="155">
        <v>19</v>
      </c>
      <c r="B35" s="173" t="s">
        <v>890</v>
      </c>
      <c r="C35" s="168"/>
      <c r="D35" s="157">
        <f>'Schedule 5 Adjustments'!F34</f>
        <v>457110.09</v>
      </c>
      <c r="G35" s="140"/>
    </row>
    <row r="36" spans="1:7" s="22" customFormat="1" x14ac:dyDescent="0.35">
      <c r="A36" s="155">
        <v>20</v>
      </c>
      <c r="B36" s="503" t="s">
        <v>891</v>
      </c>
      <c r="C36" s="505"/>
      <c r="D36" s="160">
        <f>SUM(D31:D35)</f>
        <v>160498.35000000003</v>
      </c>
      <c r="G36" s="140"/>
    </row>
    <row r="37" spans="1:7" s="22" customFormat="1" x14ac:dyDescent="0.35">
      <c r="A37" s="161"/>
      <c r="B37" s="162"/>
      <c r="C37" s="162"/>
      <c r="D37" s="164"/>
      <c r="G37" s="140"/>
    </row>
    <row r="38" spans="1:7" s="22" customFormat="1" x14ac:dyDescent="0.35">
      <c r="A38" s="506" t="s">
        <v>892</v>
      </c>
      <c r="B38" s="507"/>
      <c r="C38" s="507"/>
      <c r="D38" s="508"/>
      <c r="G38" s="140"/>
    </row>
    <row r="39" spans="1:7" s="22" customFormat="1" x14ac:dyDescent="0.35">
      <c r="A39" s="155">
        <v>21</v>
      </c>
      <c r="B39" s="497" t="s">
        <v>303</v>
      </c>
      <c r="C39" s="498"/>
      <c r="D39" s="157">
        <f>'Schedule 5 Adjustments'!F38</f>
        <v>879.01</v>
      </c>
      <c r="G39" s="140"/>
    </row>
    <row r="40" spans="1:7" s="22" customFormat="1" x14ac:dyDescent="0.35">
      <c r="A40" s="155">
        <v>22</v>
      </c>
      <c r="B40" s="497" t="s">
        <v>893</v>
      </c>
      <c r="C40" s="498"/>
      <c r="D40" s="157">
        <f>'Schedule 5 Adjustments'!F39</f>
        <v>0</v>
      </c>
      <c r="G40" s="140"/>
    </row>
    <row r="41" spans="1:7" s="22" customFormat="1" x14ac:dyDescent="0.35">
      <c r="A41" s="155">
        <v>23</v>
      </c>
      <c r="B41" s="497" t="s">
        <v>894</v>
      </c>
      <c r="C41" s="498"/>
      <c r="D41" s="157">
        <f>'Schedule 5 Adjustments'!F40</f>
        <v>2341123.8100000005</v>
      </c>
      <c r="G41" s="140"/>
    </row>
    <row r="42" spans="1:7" s="22" customFormat="1" x14ac:dyDescent="0.35">
      <c r="A42" s="155">
        <v>24</v>
      </c>
      <c r="B42" s="503" t="s">
        <v>895</v>
      </c>
      <c r="C42" s="504"/>
      <c r="D42" s="160">
        <f>SUM(D39:D41)</f>
        <v>2342002.8200000003</v>
      </c>
      <c r="G42" s="140"/>
    </row>
    <row r="43" spans="1:7" s="22" customFormat="1" x14ac:dyDescent="0.35">
      <c r="A43" s="161"/>
      <c r="B43" s="162"/>
      <c r="C43" s="162"/>
      <c r="D43" s="164"/>
      <c r="G43" s="140"/>
    </row>
    <row r="44" spans="1:7" s="63" customFormat="1" ht="15.5" x14ac:dyDescent="0.35">
      <c r="A44" s="155">
        <v>25</v>
      </c>
      <c r="B44" s="500" t="s">
        <v>896</v>
      </c>
      <c r="C44" s="502"/>
      <c r="D44" s="169">
        <f>SUM(D20,D28,D36,D42)</f>
        <v>52684555.610000007</v>
      </c>
      <c r="G44" s="141"/>
    </row>
    <row r="45" spans="1:7" s="22" customFormat="1" x14ac:dyDescent="0.35">
      <c r="A45" s="170"/>
      <c r="B45" s="170"/>
      <c r="C45" s="170"/>
      <c r="D45" s="170"/>
      <c r="G45" s="140"/>
    </row>
    <row r="46" spans="1:7" s="22" customFormat="1" x14ac:dyDescent="0.35">
      <c r="A46" s="155">
        <v>26</v>
      </c>
      <c r="B46" s="496" t="s">
        <v>897</v>
      </c>
      <c r="C46" s="496"/>
      <c r="D46" s="157">
        <f>'Schedule 5 Adjustments'!F45</f>
        <v>52684556</v>
      </c>
      <c r="G46" s="140"/>
    </row>
    <row r="47" spans="1:7" s="22" customFormat="1" ht="15.5" x14ac:dyDescent="0.35">
      <c r="A47" s="155">
        <v>27</v>
      </c>
      <c r="B47" s="496" t="s">
        <v>10</v>
      </c>
      <c r="C47" s="496"/>
      <c r="D47" s="169">
        <f>D44-D46</f>
        <v>-0.38999999314546585</v>
      </c>
      <c r="E47" s="33" t="str">
        <f>IF(ABS(D47)&gt;1,"Error - This variance should be 0.","")</f>
        <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customProperties>
    <customPr name="OrphanNamesChecke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761</v>
      </c>
      <c r="M3" s="130"/>
      <c r="N3" s="130"/>
      <c r="O3" s="130"/>
      <c r="P3" s="40"/>
      <c r="Q3" s="40"/>
      <c r="R3" s="40"/>
      <c r="S3" s="40"/>
    </row>
    <row r="4" spans="1:19" x14ac:dyDescent="0.35">
      <c r="F4" s="36"/>
      <c r="M4" s="40"/>
      <c r="N4" s="40"/>
      <c r="O4" s="40"/>
      <c r="P4" s="40"/>
      <c r="Q4" s="40"/>
      <c r="R4" s="40"/>
      <c r="S4" s="40"/>
    </row>
    <row r="5" spans="1:19" x14ac:dyDescent="0.35">
      <c r="A5" s="1" t="s">
        <v>772</v>
      </c>
      <c r="C5" s="421" t="str">
        <f>Results!$C$6</f>
        <v>Mind Springs Health</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10" t="s">
        <v>1</v>
      </c>
      <c r="C9" s="510"/>
      <c r="D9" s="151" t="s">
        <v>7</v>
      </c>
      <c r="E9" s="151" t="s">
        <v>6</v>
      </c>
      <c r="F9" s="151" t="s">
        <v>484</v>
      </c>
      <c r="G9" s="151" t="s">
        <v>775</v>
      </c>
      <c r="H9" s="151" t="s">
        <v>485</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506" t="s">
        <v>279</v>
      </c>
      <c r="B11" s="507"/>
      <c r="C11" s="507"/>
      <c r="D11" s="507"/>
      <c r="E11" s="507"/>
      <c r="F11" s="507"/>
      <c r="G11" s="507"/>
      <c r="H11" s="507"/>
      <c r="I11" s="507"/>
      <c r="J11" s="508"/>
      <c r="M11" s="128"/>
      <c r="N11" s="128"/>
      <c r="O11" s="128"/>
      <c r="P11" s="128"/>
      <c r="Q11" s="128"/>
      <c r="R11" s="128"/>
      <c r="S11" s="128"/>
    </row>
    <row r="12" spans="1:19" s="22" customFormat="1" x14ac:dyDescent="0.35">
      <c r="A12" s="155">
        <v>1</v>
      </c>
      <c r="B12" s="497" t="s">
        <v>457</v>
      </c>
      <c r="C12" s="499"/>
      <c r="D12" s="156"/>
      <c r="E12" s="157">
        <v>0</v>
      </c>
      <c r="F12" s="157">
        <v>1769687.29</v>
      </c>
      <c r="G12" s="157">
        <v>586445.81999999995</v>
      </c>
      <c r="H12" s="157">
        <v>0</v>
      </c>
      <c r="I12" s="157">
        <v>0</v>
      </c>
      <c r="J12" s="158">
        <f>SUM(E12:I12)</f>
        <v>2356133.11</v>
      </c>
      <c r="M12" s="140"/>
    </row>
    <row r="13" spans="1:19" s="22" customFormat="1" x14ac:dyDescent="0.35">
      <c r="A13" s="155">
        <v>2</v>
      </c>
      <c r="B13" s="497" t="s">
        <v>290</v>
      </c>
      <c r="C13" s="499"/>
      <c r="D13" s="156"/>
      <c r="E13" s="157">
        <v>24782.02</v>
      </c>
      <c r="F13" s="157">
        <v>4326551.92</v>
      </c>
      <c r="G13" s="157">
        <v>6625405.0999999996</v>
      </c>
      <c r="H13" s="157">
        <v>89942.21</v>
      </c>
      <c r="I13" s="157">
        <v>0</v>
      </c>
      <c r="J13" s="158">
        <f>SUM(E13:I13)</f>
        <v>11066681.25</v>
      </c>
      <c r="M13" s="140"/>
    </row>
    <row r="14" spans="1:19" s="22" customFormat="1" x14ac:dyDescent="0.35">
      <c r="A14" s="155">
        <v>3</v>
      </c>
      <c r="B14" s="497" t="s">
        <v>300</v>
      </c>
      <c r="C14" s="499"/>
      <c r="D14" s="156"/>
      <c r="E14" s="157">
        <v>894396.05</v>
      </c>
      <c r="F14" s="157">
        <v>3977844.59</v>
      </c>
      <c r="G14" s="157">
        <v>8922247.2400000002</v>
      </c>
      <c r="H14" s="157">
        <v>37448.589999999997</v>
      </c>
      <c r="I14" s="157">
        <v>0</v>
      </c>
      <c r="J14" s="158">
        <f>SUM(E14:I14)</f>
        <v>13831936.469999999</v>
      </c>
      <c r="M14" s="140"/>
    </row>
    <row r="15" spans="1:19" s="22" customFormat="1" x14ac:dyDescent="0.35">
      <c r="A15" s="155">
        <v>4</v>
      </c>
      <c r="B15" s="503" t="s">
        <v>289</v>
      </c>
      <c r="C15" s="505"/>
      <c r="D15" s="159">
        <f t="shared" ref="D15:I15" si="0">SUM(D12:D14)</f>
        <v>0</v>
      </c>
      <c r="E15" s="160">
        <f t="shared" si="0"/>
        <v>919178.07000000007</v>
      </c>
      <c r="F15" s="160">
        <f t="shared" si="0"/>
        <v>10074083.800000001</v>
      </c>
      <c r="G15" s="160">
        <f t="shared" si="0"/>
        <v>16134098.16</v>
      </c>
      <c r="H15" s="160">
        <f t="shared" si="0"/>
        <v>127390.8</v>
      </c>
      <c r="I15" s="160">
        <f t="shared" si="0"/>
        <v>0</v>
      </c>
      <c r="J15" s="160">
        <f>SUM(E15:I15)</f>
        <v>27254750.830000002</v>
      </c>
      <c r="M15" s="140"/>
    </row>
    <row r="16" spans="1:19" s="22" customFormat="1" x14ac:dyDescent="0.35">
      <c r="A16" s="161"/>
      <c r="B16" s="162"/>
      <c r="C16" s="162"/>
      <c r="D16" s="163"/>
      <c r="E16" s="164"/>
      <c r="F16" s="164"/>
      <c r="G16" s="164"/>
      <c r="H16" s="164"/>
      <c r="I16" s="164"/>
      <c r="J16" s="164"/>
      <c r="M16" s="140"/>
    </row>
    <row r="17" spans="1:13" s="22" customFormat="1" x14ac:dyDescent="0.35">
      <c r="A17" s="506" t="s">
        <v>280</v>
      </c>
      <c r="B17" s="507"/>
      <c r="C17" s="507"/>
      <c r="D17" s="507"/>
      <c r="E17" s="507"/>
      <c r="F17" s="507"/>
      <c r="G17" s="507"/>
      <c r="H17" s="507"/>
      <c r="I17" s="507"/>
      <c r="J17" s="508"/>
      <c r="M17" s="140"/>
    </row>
    <row r="18" spans="1:13" s="22" customFormat="1" x14ac:dyDescent="0.35">
      <c r="A18" s="155">
        <v>5</v>
      </c>
      <c r="B18" s="497" t="s">
        <v>220</v>
      </c>
      <c r="C18" s="499"/>
      <c r="D18" s="156"/>
      <c r="E18" s="157">
        <v>1293658.8999999999</v>
      </c>
      <c r="F18" s="157">
        <v>560065.57999999996</v>
      </c>
      <c r="G18" s="157">
        <v>31803.18</v>
      </c>
      <c r="H18" s="157" t="s">
        <v>949</v>
      </c>
      <c r="I18" s="157">
        <v>147811.49</v>
      </c>
      <c r="J18" s="158">
        <f>SUM(E18:I18)</f>
        <v>2033339.15</v>
      </c>
      <c r="M18" s="140"/>
    </row>
    <row r="19" spans="1:13" s="22" customFormat="1" x14ac:dyDescent="0.35">
      <c r="A19" s="155">
        <v>6</v>
      </c>
      <c r="B19" s="497" t="s">
        <v>292</v>
      </c>
      <c r="C19" s="499"/>
      <c r="D19" s="156"/>
      <c r="E19" s="157">
        <v>2643123.04</v>
      </c>
      <c r="F19" s="157">
        <v>1605554.09</v>
      </c>
      <c r="G19" s="157">
        <v>1120352.46</v>
      </c>
      <c r="H19" s="157">
        <v>10988.09</v>
      </c>
      <c r="I19" s="157">
        <v>129745.53</v>
      </c>
      <c r="J19" s="158">
        <f>SUM(E19:I19)</f>
        <v>5509763.21</v>
      </c>
      <c r="M19" s="140"/>
    </row>
    <row r="20" spans="1:13" s="22" customFormat="1" x14ac:dyDescent="0.35">
      <c r="A20" s="155">
        <v>7</v>
      </c>
      <c r="B20" s="503" t="s">
        <v>219</v>
      </c>
      <c r="C20" s="505"/>
      <c r="D20" s="159">
        <f t="shared" ref="D20:I20" si="1">SUM(D18:D19)</f>
        <v>0</v>
      </c>
      <c r="E20" s="160">
        <f t="shared" si="1"/>
        <v>3936781.94</v>
      </c>
      <c r="F20" s="160">
        <f t="shared" si="1"/>
        <v>2165619.67</v>
      </c>
      <c r="G20" s="160">
        <f t="shared" si="1"/>
        <v>1152155.6399999999</v>
      </c>
      <c r="H20" s="160">
        <f t="shared" si="1"/>
        <v>10988.09</v>
      </c>
      <c r="I20" s="160">
        <f t="shared" si="1"/>
        <v>277557.02</v>
      </c>
      <c r="J20" s="160">
        <f>SUM(E20:I20)</f>
        <v>7543102.3599999994</v>
      </c>
      <c r="M20" s="140"/>
    </row>
    <row r="21" spans="1:13" s="22" customFormat="1" x14ac:dyDescent="0.35">
      <c r="A21" s="161"/>
      <c r="B21" s="162"/>
      <c r="C21" s="162"/>
      <c r="D21" s="163"/>
      <c r="E21" s="164"/>
      <c r="F21" s="164"/>
      <c r="G21" s="164"/>
      <c r="H21" s="164"/>
      <c r="I21" s="164"/>
      <c r="J21" s="164"/>
      <c r="M21" s="140"/>
    </row>
    <row r="22" spans="1:13" s="22" customFormat="1" x14ac:dyDescent="0.35">
      <c r="A22" s="506" t="s">
        <v>274</v>
      </c>
      <c r="B22" s="507"/>
      <c r="C22" s="507"/>
      <c r="D22" s="507"/>
      <c r="E22" s="507"/>
      <c r="F22" s="507"/>
      <c r="G22" s="507"/>
      <c r="H22" s="507"/>
      <c r="I22" s="507"/>
      <c r="J22" s="508"/>
      <c r="M22" s="140"/>
    </row>
    <row r="23" spans="1:13" s="22" customFormat="1" x14ac:dyDescent="0.35">
      <c r="A23" s="155">
        <v>8</v>
      </c>
      <c r="B23" s="497" t="s">
        <v>275</v>
      </c>
      <c r="C23" s="498"/>
      <c r="D23" s="499"/>
      <c r="E23" s="165">
        <f>'As-Filed Schedule 1A'!H27*-1</f>
        <v>-294499.10000000003</v>
      </c>
      <c r="F23" s="165">
        <f>'As-Filed Schedule 1A'!H28*-1</f>
        <v>-212004.71000000002</v>
      </c>
      <c r="G23" s="165">
        <f>-'As-Filed Schedule 1A'!H29</f>
        <v>0</v>
      </c>
      <c r="H23" s="165">
        <f>-'As-Filed Schedule 1A'!H30</f>
        <v>0</v>
      </c>
      <c r="I23" s="165">
        <f>-SUM(E23:H23)</f>
        <v>506503.81000000006</v>
      </c>
      <c r="J23" s="158">
        <f>SUM(E23:I23)</f>
        <v>0</v>
      </c>
      <c r="M23" s="140"/>
    </row>
    <row r="24" spans="1:13" s="22" customFormat="1" x14ac:dyDescent="0.35">
      <c r="A24" s="155">
        <v>9</v>
      </c>
      <c r="B24" s="503" t="s">
        <v>221</v>
      </c>
      <c r="C24" s="504"/>
      <c r="D24" s="505"/>
      <c r="E24" s="160">
        <f>SUM(E23:E23)</f>
        <v>-294499.10000000003</v>
      </c>
      <c r="F24" s="160">
        <f>SUM(F23:F23)</f>
        <v>-212004.71000000002</v>
      </c>
      <c r="G24" s="160">
        <f>SUM(G23:G23)</f>
        <v>0</v>
      </c>
      <c r="H24" s="160">
        <f>SUM(H23:H23)</f>
        <v>0</v>
      </c>
      <c r="I24" s="160">
        <f>SUM(I23:I23)</f>
        <v>506503.81000000006</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506" t="s">
        <v>234</v>
      </c>
      <c r="B26" s="507"/>
      <c r="C26" s="507"/>
      <c r="D26" s="507"/>
      <c r="E26" s="507"/>
      <c r="F26" s="507"/>
      <c r="G26" s="507"/>
      <c r="H26" s="507"/>
      <c r="I26" s="507"/>
      <c r="J26" s="508"/>
      <c r="M26" s="140"/>
    </row>
    <row r="27" spans="1:13" s="22" customFormat="1" x14ac:dyDescent="0.35">
      <c r="A27" s="155">
        <v>10</v>
      </c>
      <c r="B27" s="497" t="s">
        <v>223</v>
      </c>
      <c r="C27" s="498"/>
      <c r="D27" s="499"/>
      <c r="E27" s="157">
        <v>291365</v>
      </c>
      <c r="F27" s="157">
        <v>77301.259999999995</v>
      </c>
      <c r="G27" s="157">
        <v>348801.05</v>
      </c>
      <c r="H27" s="157">
        <v>5000.9799999999996</v>
      </c>
      <c r="I27" s="157">
        <v>0</v>
      </c>
      <c r="J27" s="158">
        <f>SUM(E27:I27)</f>
        <v>722468.29</v>
      </c>
      <c r="M27" s="140"/>
    </row>
    <row r="28" spans="1:13" s="22" customFormat="1" x14ac:dyDescent="0.35">
      <c r="A28" s="166">
        <v>11</v>
      </c>
      <c r="B28" s="173" t="s">
        <v>222</v>
      </c>
      <c r="C28" s="167"/>
      <c r="D28" s="168"/>
      <c r="E28" s="157">
        <v>1071651.99</v>
      </c>
      <c r="F28" s="157">
        <v>2305566.19</v>
      </c>
      <c r="G28" s="157">
        <v>4129950.34</v>
      </c>
      <c r="H28" s="157">
        <v>51116.58</v>
      </c>
      <c r="I28" s="157">
        <v>30870.98</v>
      </c>
      <c r="J28" s="158">
        <f>SUM(E28:I28)</f>
        <v>7589156.0800000001</v>
      </c>
      <c r="K28" s="128"/>
      <c r="M28" s="140"/>
    </row>
    <row r="29" spans="1:13" s="22" customFormat="1" x14ac:dyDescent="0.35">
      <c r="A29" s="155">
        <v>12</v>
      </c>
      <c r="B29" s="497" t="s">
        <v>299</v>
      </c>
      <c r="C29" s="498"/>
      <c r="D29" s="499"/>
      <c r="E29" s="157">
        <v>5000</v>
      </c>
      <c r="F29" s="157">
        <v>5183.3500000000004</v>
      </c>
      <c r="G29" s="157">
        <v>8258</v>
      </c>
      <c r="H29" s="157">
        <v>6011.11</v>
      </c>
      <c r="I29" s="157">
        <v>0</v>
      </c>
      <c r="J29" s="158">
        <f t="shared" ref="J29" si="2">SUM(E29:I29)</f>
        <v>24452.46</v>
      </c>
      <c r="M29" s="140"/>
    </row>
    <row r="30" spans="1:13" s="22" customFormat="1" x14ac:dyDescent="0.35">
      <c r="A30" s="155">
        <v>13</v>
      </c>
      <c r="B30" s="503" t="s">
        <v>224</v>
      </c>
      <c r="C30" s="504"/>
      <c r="D30" s="505"/>
      <c r="E30" s="160">
        <f>SUM(E27:E29)</f>
        <v>1368016.99</v>
      </c>
      <c r="F30" s="160">
        <f>SUM(F27:F29)</f>
        <v>2388050.7999999998</v>
      </c>
      <c r="G30" s="160">
        <f>SUM(G27:G29)</f>
        <v>4487009.3899999997</v>
      </c>
      <c r="H30" s="160">
        <f>SUM(H27:H29)</f>
        <v>62128.67</v>
      </c>
      <c r="I30" s="160">
        <f>SUM(I27:I29)</f>
        <v>30870.98</v>
      </c>
      <c r="J30" s="160">
        <f>SUM(E30:I30)</f>
        <v>8336076.8300000001</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503" t="s">
        <v>227</v>
      </c>
      <c r="C32" s="504"/>
      <c r="D32" s="505"/>
      <c r="E32" s="160">
        <f>E30+E24+E20+E15</f>
        <v>5929477.9000000004</v>
      </c>
      <c r="F32" s="160">
        <f>F30+F24+F20+F15</f>
        <v>14415749.560000001</v>
      </c>
      <c r="G32" s="160">
        <f>G30+G24+G20+G15</f>
        <v>21773263.189999998</v>
      </c>
      <c r="H32" s="160">
        <f>H30+H24+H20+H15</f>
        <v>200507.56</v>
      </c>
      <c r="I32" s="160">
        <f>I30+I24+I20+I15</f>
        <v>814931.81</v>
      </c>
      <c r="J32" s="160">
        <f t="shared" ref="J32" si="3">SUM(E32:I32)</f>
        <v>43133930.020000003</v>
      </c>
      <c r="M32" s="140"/>
    </row>
    <row r="33" spans="1:13" s="22" customFormat="1" x14ac:dyDescent="0.35">
      <c r="A33" s="161"/>
      <c r="B33" s="162"/>
      <c r="C33" s="162"/>
      <c r="D33" s="163"/>
      <c r="E33" s="164"/>
      <c r="F33" s="164"/>
      <c r="G33" s="164"/>
      <c r="H33" s="164"/>
      <c r="I33" s="164"/>
      <c r="J33" s="164"/>
      <c r="M33" s="140"/>
    </row>
    <row r="34" spans="1:13" s="22" customFormat="1" x14ac:dyDescent="0.35">
      <c r="A34" s="506" t="s">
        <v>233</v>
      </c>
      <c r="B34" s="507"/>
      <c r="C34" s="507"/>
      <c r="D34" s="507"/>
      <c r="E34" s="507"/>
      <c r="F34" s="507"/>
      <c r="G34" s="507"/>
      <c r="H34" s="507"/>
      <c r="I34" s="507"/>
      <c r="J34" s="508"/>
      <c r="M34" s="140"/>
    </row>
    <row r="35" spans="1:13" s="22" customFormat="1" x14ac:dyDescent="0.35">
      <c r="A35" s="155">
        <v>15</v>
      </c>
      <c r="B35" s="497" t="s">
        <v>291</v>
      </c>
      <c r="C35" s="498"/>
      <c r="D35" s="499"/>
      <c r="E35" s="157">
        <v>0</v>
      </c>
      <c r="F35" s="157">
        <v>128854.1</v>
      </c>
      <c r="G35" s="157">
        <v>2568280.8199999998</v>
      </c>
      <c r="H35" s="157">
        <v>2925</v>
      </c>
      <c r="I35" s="157">
        <v>0</v>
      </c>
      <c r="J35" s="158">
        <f>SUM(E35:I35)</f>
        <v>2700059.92</v>
      </c>
      <c r="M35" s="140"/>
    </row>
    <row r="36" spans="1:13" s="22" customFormat="1" x14ac:dyDescent="0.35">
      <c r="A36" s="155">
        <v>16</v>
      </c>
      <c r="B36" s="497" t="s">
        <v>226</v>
      </c>
      <c r="C36" s="498"/>
      <c r="D36" s="499"/>
      <c r="E36" s="157">
        <v>158511</v>
      </c>
      <c r="F36" s="157">
        <v>1135</v>
      </c>
      <c r="G36" s="157">
        <v>0</v>
      </c>
      <c r="H36" s="157">
        <v>0</v>
      </c>
      <c r="I36" s="157">
        <v>0</v>
      </c>
      <c r="J36" s="158">
        <f>SUM(E36:I36)</f>
        <v>159646</v>
      </c>
    </row>
    <row r="37" spans="1:13" s="22" customFormat="1" x14ac:dyDescent="0.35">
      <c r="A37" s="155">
        <v>17</v>
      </c>
      <c r="B37" s="173" t="s">
        <v>458</v>
      </c>
      <c r="C37" s="167"/>
      <c r="D37" s="168"/>
      <c r="E37" s="157">
        <v>0</v>
      </c>
      <c r="F37" s="157">
        <v>0</v>
      </c>
      <c r="G37" s="157">
        <v>0</v>
      </c>
      <c r="H37" s="157">
        <v>0</v>
      </c>
      <c r="I37" s="157">
        <v>0</v>
      </c>
      <c r="J37" s="158">
        <f>SUM(E37:I37)</f>
        <v>0</v>
      </c>
      <c r="K37" s="128"/>
    </row>
    <row r="38" spans="1:13" s="22" customFormat="1" x14ac:dyDescent="0.35">
      <c r="A38" s="155">
        <v>18</v>
      </c>
      <c r="B38" s="503" t="s">
        <v>225</v>
      </c>
      <c r="C38" s="504"/>
      <c r="D38" s="505"/>
      <c r="E38" s="160">
        <f>SUM(E35:E37)</f>
        <v>158511</v>
      </c>
      <c r="F38" s="160">
        <f t="shared" ref="F38:I38" si="4">SUM(F35:F37)</f>
        <v>129989.1</v>
      </c>
      <c r="G38" s="160">
        <f t="shared" si="4"/>
        <v>2568280.8199999998</v>
      </c>
      <c r="H38" s="160">
        <f t="shared" si="4"/>
        <v>2925</v>
      </c>
      <c r="I38" s="160">
        <f t="shared" si="4"/>
        <v>0</v>
      </c>
      <c r="J38" s="160">
        <f>SUM(E38:I38)</f>
        <v>2859705.92</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503" t="s">
        <v>228</v>
      </c>
      <c r="C40" s="504"/>
      <c r="D40" s="505"/>
      <c r="E40" s="160">
        <f>E38+E32</f>
        <v>6087988.9000000004</v>
      </c>
      <c r="F40" s="160">
        <f>F38+F32</f>
        <v>14545738.66</v>
      </c>
      <c r="G40" s="160">
        <f>G38+G32</f>
        <v>24341544.009999998</v>
      </c>
      <c r="H40" s="160">
        <f>H38+H32</f>
        <v>203432.56</v>
      </c>
      <c r="I40" s="160">
        <f>I38+I32</f>
        <v>814931.81</v>
      </c>
      <c r="J40" s="160">
        <f>SUM(E40:I40)</f>
        <v>45993635.940000005</v>
      </c>
      <c r="M40" s="140"/>
    </row>
    <row r="41" spans="1:13" s="22" customFormat="1" x14ac:dyDescent="0.35">
      <c r="A41" s="161"/>
      <c r="B41" s="162"/>
      <c r="C41" s="162"/>
      <c r="D41" s="163"/>
      <c r="E41" s="164"/>
      <c r="F41" s="164"/>
      <c r="G41" s="164"/>
      <c r="H41" s="164"/>
      <c r="I41" s="164"/>
      <c r="J41" s="164"/>
      <c r="M41" s="140"/>
    </row>
    <row r="42" spans="1:13" s="22" customFormat="1" x14ac:dyDescent="0.35">
      <c r="A42" s="506" t="s">
        <v>486</v>
      </c>
      <c r="B42" s="507"/>
      <c r="C42" s="507"/>
      <c r="D42" s="507"/>
      <c r="E42" s="507"/>
      <c r="F42" s="507"/>
      <c r="G42" s="507"/>
      <c r="H42" s="507"/>
      <c r="I42" s="507"/>
      <c r="J42" s="508"/>
      <c r="M42" s="140"/>
    </row>
    <row r="43" spans="1:13" s="22" customFormat="1" x14ac:dyDescent="0.35">
      <c r="A43" s="155">
        <v>20</v>
      </c>
      <c r="B43" s="497" t="s">
        <v>282</v>
      </c>
      <c r="C43" s="498"/>
      <c r="D43" s="499"/>
      <c r="E43" s="157">
        <v>0</v>
      </c>
      <c r="F43" s="157">
        <v>0</v>
      </c>
      <c r="G43" s="157">
        <v>0</v>
      </c>
      <c r="H43" s="157">
        <v>0</v>
      </c>
      <c r="I43" s="157">
        <v>0</v>
      </c>
      <c r="J43" s="158">
        <f>SUM(E43:I43)</f>
        <v>0</v>
      </c>
      <c r="M43" s="140"/>
    </row>
    <row r="44" spans="1:13" s="22" customFormat="1" x14ac:dyDescent="0.35">
      <c r="A44" s="155">
        <v>21</v>
      </c>
      <c r="B44" s="497" t="s">
        <v>229</v>
      </c>
      <c r="C44" s="498"/>
      <c r="D44" s="499"/>
      <c r="E44" s="157">
        <v>0</v>
      </c>
      <c r="F44" s="157">
        <v>46736.43</v>
      </c>
      <c r="G44" s="157">
        <v>50856.27</v>
      </c>
      <c r="H44" s="157">
        <v>0</v>
      </c>
      <c r="I44" s="157">
        <v>0</v>
      </c>
      <c r="J44" s="158">
        <f t="shared" ref="J44:J50" si="5">SUM(E44:I44)</f>
        <v>97592.7</v>
      </c>
      <c r="M44" s="140"/>
    </row>
    <row r="45" spans="1:13" s="22" customFormat="1" x14ac:dyDescent="0.35">
      <c r="A45" s="155">
        <v>22</v>
      </c>
      <c r="B45" s="497" t="s">
        <v>287</v>
      </c>
      <c r="C45" s="498"/>
      <c r="D45" s="499"/>
      <c r="E45" s="157">
        <v>0</v>
      </c>
      <c r="F45" s="157">
        <v>14537.73</v>
      </c>
      <c r="G45" s="157">
        <v>1491492.56</v>
      </c>
      <c r="H45" s="157">
        <v>0</v>
      </c>
      <c r="I45" s="157">
        <v>0</v>
      </c>
      <c r="J45" s="158">
        <f t="shared" si="5"/>
        <v>1506030.29</v>
      </c>
      <c r="M45" s="140"/>
    </row>
    <row r="46" spans="1:13" s="22" customFormat="1" x14ac:dyDescent="0.35">
      <c r="A46" s="155">
        <v>23</v>
      </c>
      <c r="B46" s="497" t="s">
        <v>283</v>
      </c>
      <c r="C46" s="498"/>
      <c r="D46" s="499"/>
      <c r="E46" s="157">
        <v>0</v>
      </c>
      <c r="F46" s="157">
        <v>0</v>
      </c>
      <c r="G46" s="157">
        <v>0</v>
      </c>
      <c r="H46" s="157">
        <v>0</v>
      </c>
      <c r="I46" s="157">
        <v>0</v>
      </c>
      <c r="J46" s="158">
        <f t="shared" si="5"/>
        <v>0</v>
      </c>
      <c r="M46" s="140"/>
    </row>
    <row r="47" spans="1:13" s="22" customFormat="1" x14ac:dyDescent="0.35">
      <c r="A47" s="155">
        <v>24</v>
      </c>
      <c r="B47" s="497" t="s">
        <v>313</v>
      </c>
      <c r="C47" s="498"/>
      <c r="D47" s="499"/>
      <c r="E47" s="157">
        <v>0</v>
      </c>
      <c r="F47" s="157">
        <v>14.96</v>
      </c>
      <c r="G47" s="157">
        <v>642735.18000000005</v>
      </c>
      <c r="H47" s="157">
        <v>0</v>
      </c>
      <c r="I47" s="157">
        <v>0</v>
      </c>
      <c r="J47" s="158">
        <f t="shared" si="5"/>
        <v>642750.14</v>
      </c>
      <c r="M47" s="140"/>
    </row>
    <row r="48" spans="1:13" s="22" customFormat="1" x14ac:dyDescent="0.35">
      <c r="A48" s="155">
        <v>25</v>
      </c>
      <c r="B48" s="497" t="s">
        <v>774</v>
      </c>
      <c r="C48" s="498"/>
      <c r="D48" s="499"/>
      <c r="E48" s="157">
        <v>0</v>
      </c>
      <c r="F48" s="157">
        <v>0</v>
      </c>
      <c r="G48" s="157">
        <v>0</v>
      </c>
      <c r="H48" s="157">
        <v>0</v>
      </c>
      <c r="I48" s="157">
        <v>0</v>
      </c>
      <c r="J48" s="158">
        <f>SUM(E48:I48)</f>
        <v>0</v>
      </c>
      <c r="M48" s="140"/>
    </row>
    <row r="49" spans="1:13" s="22" customFormat="1" x14ac:dyDescent="0.35">
      <c r="A49" s="155">
        <v>26</v>
      </c>
      <c r="B49" s="497" t="s">
        <v>451</v>
      </c>
      <c r="C49" s="498"/>
      <c r="D49" s="499"/>
      <c r="E49" s="157">
        <v>-473687</v>
      </c>
      <c r="F49" s="157">
        <v>489982.2</v>
      </c>
      <c r="G49" s="157">
        <v>1271357.83</v>
      </c>
      <c r="H49" s="157">
        <v>67058.67</v>
      </c>
      <c r="I49" s="157">
        <v>0</v>
      </c>
      <c r="J49" s="158">
        <f t="shared" si="5"/>
        <v>1354711.7</v>
      </c>
      <c r="M49" s="140"/>
    </row>
    <row r="50" spans="1:13" s="22" customFormat="1" x14ac:dyDescent="0.35">
      <c r="A50" s="155">
        <v>27</v>
      </c>
      <c r="B50" s="503" t="s">
        <v>237</v>
      </c>
      <c r="C50" s="504"/>
      <c r="D50" s="505"/>
      <c r="E50" s="160">
        <f>SUM(E43:E49)</f>
        <v>-473687</v>
      </c>
      <c r="F50" s="160">
        <f>SUM(F43:F49)</f>
        <v>551271.32000000007</v>
      </c>
      <c r="G50" s="160">
        <f>SUM(G43:G49)</f>
        <v>3456441.8400000003</v>
      </c>
      <c r="H50" s="160">
        <f>SUM(H43:H49)</f>
        <v>67058.67</v>
      </c>
      <c r="I50" s="160">
        <f>SUM(I43:I49)</f>
        <v>0</v>
      </c>
      <c r="J50" s="160">
        <f t="shared" si="5"/>
        <v>3601084.83</v>
      </c>
      <c r="M50" s="140"/>
    </row>
    <row r="51" spans="1:13" s="22" customFormat="1" x14ac:dyDescent="0.35">
      <c r="A51" s="161"/>
      <c r="B51" s="509"/>
      <c r="C51" s="509"/>
      <c r="D51" s="509"/>
      <c r="E51" s="509"/>
      <c r="F51" s="509"/>
      <c r="G51" s="509"/>
      <c r="H51" s="164"/>
      <c r="I51" s="164"/>
      <c r="J51" s="164"/>
      <c r="M51" s="140"/>
    </row>
    <row r="52" spans="1:13" s="22" customFormat="1" x14ac:dyDescent="0.35">
      <c r="A52" s="506" t="s">
        <v>232</v>
      </c>
      <c r="B52" s="507"/>
      <c r="C52" s="507"/>
      <c r="D52" s="507"/>
      <c r="E52" s="507"/>
      <c r="F52" s="507"/>
      <c r="G52" s="507"/>
      <c r="H52" s="507"/>
      <c r="I52" s="507"/>
      <c r="J52" s="508"/>
      <c r="M52" s="140"/>
    </row>
    <row r="53" spans="1:13" s="22" customFormat="1" x14ac:dyDescent="0.35">
      <c r="A53" s="155">
        <v>28</v>
      </c>
      <c r="B53" s="497" t="s">
        <v>281</v>
      </c>
      <c r="C53" s="498"/>
      <c r="D53" s="499"/>
      <c r="E53" s="157">
        <v>0</v>
      </c>
      <c r="F53" s="157">
        <v>0</v>
      </c>
      <c r="G53" s="157">
        <v>0</v>
      </c>
      <c r="H53" s="157">
        <v>0</v>
      </c>
      <c r="I53" s="157">
        <v>0</v>
      </c>
      <c r="J53" s="158">
        <f>SUM(E53:I53)</f>
        <v>0</v>
      </c>
      <c r="M53" s="140"/>
    </row>
    <row r="54" spans="1:13" s="22" customFormat="1" x14ac:dyDescent="0.35">
      <c r="A54" s="155">
        <v>29</v>
      </c>
      <c r="B54" s="497" t="s">
        <v>293</v>
      </c>
      <c r="C54" s="498"/>
      <c r="D54" s="499"/>
      <c r="E54" s="157">
        <v>-125078</v>
      </c>
      <c r="F54" s="157">
        <v>61662.89</v>
      </c>
      <c r="G54" s="157">
        <v>62620.86</v>
      </c>
      <c r="H54" s="157">
        <v>793.88</v>
      </c>
      <c r="I54" s="157">
        <v>0</v>
      </c>
      <c r="J54" s="158">
        <f>SUM(E54:I54)</f>
        <v>-0.37000000000000455</v>
      </c>
      <c r="M54" s="140"/>
    </row>
    <row r="55" spans="1:13" s="22" customFormat="1" x14ac:dyDescent="0.35">
      <c r="A55" s="155">
        <v>30</v>
      </c>
      <c r="B55" s="497" t="s">
        <v>294</v>
      </c>
      <c r="C55" s="498"/>
      <c r="D55" s="499"/>
      <c r="E55" s="157">
        <v>66581</v>
      </c>
      <c r="F55" s="157">
        <v>196094.61</v>
      </c>
      <c r="G55" s="157">
        <v>51000.130000000005</v>
      </c>
      <c r="H55" s="157">
        <v>0</v>
      </c>
      <c r="I55" s="157">
        <v>0</v>
      </c>
      <c r="J55" s="158">
        <f t="shared" ref="J55:J57" si="6">SUM(E55:I55)</f>
        <v>313675.74</v>
      </c>
      <c r="M55" s="140"/>
    </row>
    <row r="56" spans="1:13" s="22" customFormat="1" x14ac:dyDescent="0.35">
      <c r="A56" s="155">
        <v>31</v>
      </c>
      <c r="B56" s="497" t="s">
        <v>295</v>
      </c>
      <c r="C56" s="498"/>
      <c r="D56" s="499"/>
      <c r="E56" s="157">
        <v>251116</v>
      </c>
      <c r="F56" s="157">
        <v>170460.89</v>
      </c>
      <c r="G56" s="157">
        <v>158303.35</v>
      </c>
      <c r="H56" s="157">
        <v>1837.27</v>
      </c>
      <c r="I56" s="157">
        <v>6725</v>
      </c>
      <c r="J56" s="158">
        <f t="shared" si="6"/>
        <v>588442.51</v>
      </c>
      <c r="M56" s="140"/>
    </row>
    <row r="57" spans="1:13" s="22" customFormat="1" x14ac:dyDescent="0.35">
      <c r="A57" s="155">
        <v>32</v>
      </c>
      <c r="B57" s="503" t="s">
        <v>230</v>
      </c>
      <c r="C57" s="504"/>
      <c r="D57" s="505"/>
      <c r="E57" s="160">
        <f>SUM(E53:E56)</f>
        <v>192619</v>
      </c>
      <c r="F57" s="160">
        <f>SUM(F53:F56)</f>
        <v>428218.39</v>
      </c>
      <c r="G57" s="160">
        <f>SUM(G53:G56)</f>
        <v>271924.34000000003</v>
      </c>
      <c r="H57" s="160">
        <f>SUM(H53:H56)</f>
        <v>2631.15</v>
      </c>
      <c r="I57" s="160">
        <f>SUM(I53:I56)</f>
        <v>6725</v>
      </c>
      <c r="J57" s="160">
        <f t="shared" si="6"/>
        <v>902117.88</v>
      </c>
      <c r="M57" s="140"/>
    </row>
    <row r="58" spans="1:13" s="22" customFormat="1" x14ac:dyDescent="0.35">
      <c r="A58" s="161"/>
      <c r="B58" s="162"/>
      <c r="C58" s="162"/>
      <c r="D58" s="163"/>
      <c r="E58" s="164"/>
      <c r="F58" s="164"/>
      <c r="G58" s="164"/>
      <c r="H58" s="164"/>
      <c r="I58" s="164"/>
      <c r="J58" s="164"/>
      <c r="M58" s="140"/>
    </row>
    <row r="59" spans="1:13" s="22" customFormat="1" x14ac:dyDescent="0.35">
      <c r="A59" s="506" t="s">
        <v>231</v>
      </c>
      <c r="B59" s="507"/>
      <c r="C59" s="507"/>
      <c r="D59" s="507"/>
      <c r="E59" s="507"/>
      <c r="F59" s="507"/>
      <c r="G59" s="507"/>
      <c r="H59" s="507"/>
      <c r="I59" s="507"/>
      <c r="J59" s="508"/>
      <c r="M59" s="140"/>
    </row>
    <row r="60" spans="1:13" s="22" customFormat="1" x14ac:dyDescent="0.35">
      <c r="A60" s="155">
        <v>33</v>
      </c>
      <c r="B60" s="497" t="s">
        <v>296</v>
      </c>
      <c r="C60" s="498"/>
      <c r="D60" s="499"/>
      <c r="E60" s="157">
        <v>292264</v>
      </c>
      <c r="F60" s="157">
        <v>663929</v>
      </c>
      <c r="G60" s="157">
        <v>3131106</v>
      </c>
      <c r="H60" s="157">
        <v>12670</v>
      </c>
      <c r="I60" s="157">
        <v>340080</v>
      </c>
      <c r="J60" s="158">
        <f>SUM(E60:I60)</f>
        <v>4440049</v>
      </c>
      <c r="M60" s="140"/>
    </row>
    <row r="61" spans="1:13" s="22" customFormat="1" x14ac:dyDescent="0.35">
      <c r="A61" s="155">
        <v>34</v>
      </c>
      <c r="B61" s="497" t="s">
        <v>297</v>
      </c>
      <c r="C61" s="498"/>
      <c r="D61" s="499"/>
      <c r="E61" s="157">
        <v>394289</v>
      </c>
      <c r="F61" s="157">
        <v>67927.199999999997</v>
      </c>
      <c r="G61" s="157">
        <v>158494.91</v>
      </c>
      <c r="H61" s="157">
        <v>0</v>
      </c>
      <c r="I61" s="157">
        <v>611</v>
      </c>
      <c r="J61" s="158">
        <f t="shared" ref="J61:J67" si="7">SUM(E61:I61)</f>
        <v>621322.11</v>
      </c>
      <c r="M61" s="140"/>
    </row>
    <row r="62" spans="1:13" s="22" customFormat="1" x14ac:dyDescent="0.35">
      <c r="A62" s="155">
        <v>35</v>
      </c>
      <c r="B62" s="497" t="s">
        <v>301</v>
      </c>
      <c r="C62" s="498"/>
      <c r="D62" s="499"/>
      <c r="E62" s="157">
        <v>0</v>
      </c>
      <c r="F62" s="157">
        <v>0</v>
      </c>
      <c r="G62" s="157">
        <v>0</v>
      </c>
      <c r="H62" s="157">
        <v>0</v>
      </c>
      <c r="I62" s="157">
        <v>0</v>
      </c>
      <c r="J62" s="158">
        <f t="shared" si="7"/>
        <v>0</v>
      </c>
      <c r="M62" s="140"/>
    </row>
    <row r="63" spans="1:13" s="22" customFormat="1" x14ac:dyDescent="0.35">
      <c r="A63" s="155">
        <v>36</v>
      </c>
      <c r="B63" s="497" t="s">
        <v>314</v>
      </c>
      <c r="C63" s="498"/>
      <c r="D63" s="499"/>
      <c r="E63" s="157">
        <v>2083</v>
      </c>
      <c r="F63" s="157">
        <v>10321.049999999999</v>
      </c>
      <c r="G63" s="157">
        <v>-194.42</v>
      </c>
      <c r="H63" s="157">
        <v>0</v>
      </c>
      <c r="I63" s="157">
        <v>0</v>
      </c>
      <c r="J63" s="158">
        <f t="shared" si="7"/>
        <v>12209.63</v>
      </c>
      <c r="M63" s="140"/>
    </row>
    <row r="64" spans="1:13" s="22" customFormat="1" x14ac:dyDescent="0.35">
      <c r="A64" s="155">
        <v>37</v>
      </c>
      <c r="B64" s="497" t="s">
        <v>315</v>
      </c>
      <c r="C64" s="498"/>
      <c r="D64" s="499"/>
      <c r="E64" s="157">
        <v>0</v>
      </c>
      <c r="F64" s="157">
        <v>4819</v>
      </c>
      <c r="G64" s="157">
        <v>5693.93</v>
      </c>
      <c r="H64" s="157">
        <v>0</v>
      </c>
      <c r="I64" s="157">
        <v>0</v>
      </c>
      <c r="J64" s="158">
        <f t="shared" si="7"/>
        <v>10512.93</v>
      </c>
      <c r="M64" s="140"/>
    </row>
    <row r="65" spans="1:13" s="22" customFormat="1" x14ac:dyDescent="0.35">
      <c r="A65" s="155">
        <v>38</v>
      </c>
      <c r="B65" s="497" t="s">
        <v>316</v>
      </c>
      <c r="C65" s="498"/>
      <c r="D65" s="499"/>
      <c r="E65" s="157">
        <v>28</v>
      </c>
      <c r="F65" s="157">
        <v>155.43</v>
      </c>
      <c r="G65" s="157">
        <v>0</v>
      </c>
      <c r="H65" s="157">
        <v>0</v>
      </c>
      <c r="I65" s="157">
        <v>0</v>
      </c>
      <c r="J65" s="158">
        <f t="shared" si="7"/>
        <v>183.43</v>
      </c>
      <c r="M65" s="140"/>
    </row>
    <row r="66" spans="1:13" s="22" customFormat="1" x14ac:dyDescent="0.35">
      <c r="A66" s="155">
        <v>39</v>
      </c>
      <c r="B66" s="497" t="s">
        <v>298</v>
      </c>
      <c r="C66" s="498"/>
      <c r="D66" s="499"/>
      <c r="E66" s="157">
        <v>1657</v>
      </c>
      <c r="F66" s="157">
        <v>21829.119999999999</v>
      </c>
      <c r="G66" s="157">
        <v>106551.8</v>
      </c>
      <c r="H66" s="157">
        <v>0</v>
      </c>
      <c r="I66" s="157">
        <v>0</v>
      </c>
      <c r="J66" s="158">
        <f t="shared" ref="J66" si="8">SUM(E66:I66)</f>
        <v>130037.92</v>
      </c>
      <c r="M66" s="140"/>
    </row>
    <row r="67" spans="1:13" s="22" customFormat="1" x14ac:dyDescent="0.35">
      <c r="A67" s="155">
        <v>40</v>
      </c>
      <c r="B67" s="503" t="s">
        <v>236</v>
      </c>
      <c r="C67" s="504"/>
      <c r="D67" s="505"/>
      <c r="E67" s="160">
        <f>SUM(E60:E66)</f>
        <v>690321</v>
      </c>
      <c r="F67" s="160">
        <f>SUM(F60:F66)</f>
        <v>768980.8</v>
      </c>
      <c r="G67" s="160">
        <f>SUM(G60:G66)</f>
        <v>3401652.22</v>
      </c>
      <c r="H67" s="160">
        <f>SUM(H60:H66)</f>
        <v>12670</v>
      </c>
      <c r="I67" s="160">
        <f>SUM(I60:I66)</f>
        <v>340691</v>
      </c>
      <c r="J67" s="160">
        <f t="shared" si="7"/>
        <v>5214315.0200000005</v>
      </c>
      <c r="M67" s="140"/>
    </row>
    <row r="68" spans="1:13" s="22" customFormat="1" x14ac:dyDescent="0.35">
      <c r="A68" s="161"/>
      <c r="B68" s="162"/>
      <c r="C68" s="162"/>
      <c r="D68" s="163"/>
      <c r="E68" s="164"/>
      <c r="F68" s="164"/>
      <c r="G68" s="164"/>
      <c r="H68" s="164"/>
      <c r="I68" s="164"/>
      <c r="J68" s="164"/>
      <c r="M68" s="140"/>
    </row>
    <row r="69" spans="1:13" s="22" customFormat="1" x14ac:dyDescent="0.35">
      <c r="A69" s="506" t="s">
        <v>235</v>
      </c>
      <c r="B69" s="507"/>
      <c r="C69" s="507"/>
      <c r="D69" s="507"/>
      <c r="E69" s="507"/>
      <c r="F69" s="507"/>
      <c r="G69" s="507"/>
      <c r="H69" s="507"/>
      <c r="I69" s="507"/>
      <c r="J69" s="508"/>
      <c r="M69" s="140"/>
    </row>
    <row r="70" spans="1:13" s="22" customFormat="1" x14ac:dyDescent="0.35">
      <c r="A70" s="155">
        <v>41</v>
      </c>
      <c r="B70" s="497" t="s">
        <v>238</v>
      </c>
      <c r="C70" s="498"/>
      <c r="D70" s="499"/>
      <c r="E70" s="157">
        <v>152</v>
      </c>
      <c r="F70" s="157">
        <v>2352</v>
      </c>
      <c r="G70" s="157">
        <v>0</v>
      </c>
      <c r="H70" s="157">
        <v>0</v>
      </c>
      <c r="I70" s="157">
        <v>0</v>
      </c>
      <c r="J70" s="158">
        <f t="shared" ref="J70:J73" si="9">SUM(E70:I70)</f>
        <v>2504</v>
      </c>
      <c r="M70" s="140"/>
    </row>
    <row r="71" spans="1:13" s="22" customFormat="1" x14ac:dyDescent="0.35">
      <c r="A71" s="155">
        <v>42</v>
      </c>
      <c r="B71" s="497" t="s">
        <v>288</v>
      </c>
      <c r="C71" s="498"/>
      <c r="D71" s="499"/>
      <c r="E71" s="157">
        <v>108154</v>
      </c>
      <c r="F71" s="157">
        <v>91268.73</v>
      </c>
      <c r="G71" s="157">
        <v>21505.58</v>
      </c>
      <c r="H71" s="157">
        <v>1354.98</v>
      </c>
      <c r="I71" s="157">
        <v>10543</v>
      </c>
      <c r="J71" s="158">
        <f t="shared" si="9"/>
        <v>232826.29</v>
      </c>
      <c r="M71" s="140"/>
    </row>
    <row r="72" spans="1:13" s="22" customFormat="1" x14ac:dyDescent="0.35">
      <c r="A72" s="155">
        <v>43</v>
      </c>
      <c r="B72" s="497" t="s">
        <v>239</v>
      </c>
      <c r="C72" s="498"/>
      <c r="D72" s="499"/>
      <c r="E72" s="157">
        <v>690723</v>
      </c>
      <c r="F72" s="157">
        <v>0</v>
      </c>
      <c r="G72" s="157">
        <v>231916</v>
      </c>
      <c r="H72" s="157">
        <v>0</v>
      </c>
      <c r="I72" s="157">
        <v>0</v>
      </c>
      <c r="J72" s="158">
        <f t="shared" si="9"/>
        <v>922639</v>
      </c>
      <c r="M72" s="140"/>
    </row>
    <row r="73" spans="1:13" s="22" customFormat="1" x14ac:dyDescent="0.35">
      <c r="A73" s="155">
        <v>44</v>
      </c>
      <c r="B73" s="497" t="s">
        <v>307</v>
      </c>
      <c r="C73" s="498"/>
      <c r="D73" s="499"/>
      <c r="E73" s="157">
        <v>11721</v>
      </c>
      <c r="F73" s="157">
        <v>42641.55</v>
      </c>
      <c r="G73" s="157">
        <v>0</v>
      </c>
      <c r="H73" s="157">
        <v>0</v>
      </c>
      <c r="I73" s="157">
        <v>891</v>
      </c>
      <c r="J73" s="158">
        <f t="shared" si="9"/>
        <v>55253.55</v>
      </c>
      <c r="M73" s="140"/>
    </row>
    <row r="74" spans="1:13" s="22" customFormat="1" x14ac:dyDescent="0.35">
      <c r="A74" s="155">
        <v>45</v>
      </c>
      <c r="B74" s="497" t="s">
        <v>285</v>
      </c>
      <c r="C74" s="498"/>
      <c r="D74" s="499"/>
      <c r="E74" s="157">
        <v>0</v>
      </c>
      <c r="F74" s="157">
        <v>0</v>
      </c>
      <c r="G74" s="157">
        <v>0</v>
      </c>
      <c r="H74" s="157">
        <v>0</v>
      </c>
      <c r="I74" s="157">
        <v>0</v>
      </c>
      <c r="J74" s="158">
        <f>SUM(E74:I74)</f>
        <v>0</v>
      </c>
      <c r="M74" s="140"/>
    </row>
    <row r="75" spans="1:13" s="22" customFormat="1" x14ac:dyDescent="0.35">
      <c r="A75" s="155">
        <v>46</v>
      </c>
      <c r="B75" s="497" t="s">
        <v>286</v>
      </c>
      <c r="C75" s="498"/>
      <c r="D75" s="499"/>
      <c r="E75" s="157">
        <v>972323</v>
      </c>
      <c r="F75" s="157">
        <v>129334.28</v>
      </c>
      <c r="G75" s="157">
        <v>220100</v>
      </c>
      <c r="H75" s="157">
        <v>0</v>
      </c>
      <c r="I75" s="157">
        <v>0</v>
      </c>
      <c r="J75" s="158">
        <f t="shared" ref="J75:J77" si="10">SUM(E75:I75)</f>
        <v>1321757.28</v>
      </c>
      <c r="M75" s="140"/>
    </row>
    <row r="76" spans="1:13" s="22" customFormat="1" x14ac:dyDescent="0.35">
      <c r="A76" s="155">
        <v>47</v>
      </c>
      <c r="B76" s="497" t="s">
        <v>317</v>
      </c>
      <c r="C76" s="498"/>
      <c r="D76" s="499"/>
      <c r="E76" s="157">
        <v>101907</v>
      </c>
      <c r="F76" s="157">
        <v>141757.04999999999</v>
      </c>
      <c r="G76" s="157">
        <v>156441.63</v>
      </c>
      <c r="H76" s="157">
        <v>1352.97</v>
      </c>
      <c r="I76" s="157">
        <v>0</v>
      </c>
      <c r="J76" s="158">
        <f t="shared" si="10"/>
        <v>401458.64999999997</v>
      </c>
      <c r="M76" s="140"/>
    </row>
    <row r="77" spans="1:13" s="22" customFormat="1" x14ac:dyDescent="0.35">
      <c r="A77" s="155">
        <v>48</v>
      </c>
      <c r="B77" s="497" t="s">
        <v>284</v>
      </c>
      <c r="C77" s="498"/>
      <c r="D77" s="499"/>
      <c r="E77" s="157">
        <v>-375545</v>
      </c>
      <c r="F77" s="157">
        <v>1687745.47</v>
      </c>
      <c r="G77" s="157">
        <v>1463525.29</v>
      </c>
      <c r="H77" s="157">
        <v>28457.84</v>
      </c>
      <c r="I77" s="157">
        <v>10995</v>
      </c>
      <c r="J77" s="158">
        <f t="shared" si="10"/>
        <v>2815178.5999999996</v>
      </c>
      <c r="M77" s="140"/>
    </row>
    <row r="78" spans="1:13" s="22" customFormat="1" x14ac:dyDescent="0.35">
      <c r="A78" s="155">
        <v>49</v>
      </c>
      <c r="B78" s="503" t="s">
        <v>278</v>
      </c>
      <c r="C78" s="504"/>
      <c r="D78" s="505"/>
      <c r="E78" s="160">
        <f>SUM(E70:E77)</f>
        <v>1509435</v>
      </c>
      <c r="F78" s="160">
        <f t="shared" ref="F78:I78" si="11">SUM(F70:F77)</f>
        <v>2095099.08</v>
      </c>
      <c r="G78" s="160">
        <f t="shared" si="11"/>
        <v>2093488.5</v>
      </c>
      <c r="H78" s="160">
        <f t="shared" si="11"/>
        <v>31165.79</v>
      </c>
      <c r="I78" s="160">
        <f t="shared" si="11"/>
        <v>22429</v>
      </c>
      <c r="J78" s="160">
        <f t="shared" ref="J78" si="12">SUM(E78:I78)</f>
        <v>5751617.3700000001</v>
      </c>
      <c r="M78" s="140"/>
    </row>
    <row r="79" spans="1:13" s="22" customFormat="1" x14ac:dyDescent="0.35">
      <c r="A79" s="161"/>
      <c r="B79" s="162"/>
      <c r="C79" s="162"/>
      <c r="D79" s="163"/>
      <c r="E79" s="164"/>
      <c r="F79" s="164"/>
      <c r="G79" s="164"/>
      <c r="H79" s="164"/>
      <c r="I79" s="164"/>
      <c r="J79" s="164"/>
      <c r="M79" s="140"/>
    </row>
    <row r="80" spans="1:13" s="22" customFormat="1" x14ac:dyDescent="0.35">
      <c r="A80" s="506" t="s">
        <v>302</v>
      </c>
      <c r="B80" s="507"/>
      <c r="C80" s="507"/>
      <c r="D80" s="507"/>
      <c r="E80" s="507"/>
      <c r="F80" s="507"/>
      <c r="G80" s="507"/>
      <c r="H80" s="507"/>
      <c r="I80" s="507"/>
      <c r="J80" s="508"/>
      <c r="M80" s="140"/>
    </row>
    <row r="81" spans="1:13" s="22" customFormat="1" x14ac:dyDescent="0.35">
      <c r="A81" s="155">
        <v>50</v>
      </c>
      <c r="B81" s="497" t="s">
        <v>303</v>
      </c>
      <c r="C81" s="498"/>
      <c r="D81" s="499"/>
      <c r="E81" s="98"/>
      <c r="F81" s="98"/>
      <c r="G81" s="98"/>
      <c r="H81" s="98"/>
      <c r="I81" s="157">
        <v>0</v>
      </c>
      <c r="J81" s="158">
        <f>I81</f>
        <v>0</v>
      </c>
      <c r="M81" s="140"/>
    </row>
    <row r="82" spans="1:13" s="22" customFormat="1" x14ac:dyDescent="0.35">
      <c r="A82" s="155">
        <v>51</v>
      </c>
      <c r="B82" s="497" t="s">
        <v>308</v>
      </c>
      <c r="C82" s="498"/>
      <c r="D82" s="499"/>
      <c r="E82" s="98"/>
      <c r="F82" s="98"/>
      <c r="G82" s="98"/>
      <c r="H82" s="98"/>
      <c r="I82" s="157">
        <v>2500</v>
      </c>
      <c r="J82" s="158">
        <f>I82</f>
        <v>2500</v>
      </c>
      <c r="M82" s="140"/>
    </row>
    <row r="83" spans="1:13" s="22" customFormat="1" x14ac:dyDescent="0.35">
      <c r="A83" s="155">
        <v>52</v>
      </c>
      <c r="B83" s="497" t="s">
        <v>309</v>
      </c>
      <c r="C83" s="498"/>
      <c r="D83" s="499"/>
      <c r="E83" s="98"/>
      <c r="F83" s="98"/>
      <c r="G83" s="98"/>
      <c r="H83" s="98"/>
      <c r="I83" s="157">
        <v>85566.42</v>
      </c>
      <c r="J83" s="158">
        <f t="shared" ref="J83:J84" si="13">I83</f>
        <v>85566.42</v>
      </c>
      <c r="M83" s="140"/>
    </row>
    <row r="84" spans="1:13" s="22" customFormat="1" x14ac:dyDescent="0.35">
      <c r="A84" s="155">
        <v>53</v>
      </c>
      <c r="B84" s="497" t="s">
        <v>304</v>
      </c>
      <c r="C84" s="498"/>
      <c r="D84" s="499"/>
      <c r="E84" s="98"/>
      <c r="F84" s="98"/>
      <c r="G84" s="98"/>
      <c r="H84" s="98"/>
      <c r="I84" s="157">
        <v>93173.72</v>
      </c>
      <c r="J84" s="158">
        <f t="shared" si="13"/>
        <v>93173.72</v>
      </c>
      <c r="M84" s="140"/>
    </row>
    <row r="85" spans="1:13" s="22" customFormat="1" x14ac:dyDescent="0.35">
      <c r="A85" s="155">
        <v>54</v>
      </c>
      <c r="B85" s="503" t="s">
        <v>305</v>
      </c>
      <c r="C85" s="504"/>
      <c r="D85" s="505"/>
      <c r="E85" s="160">
        <v>0</v>
      </c>
      <c r="F85" s="160">
        <v>0</v>
      </c>
      <c r="G85" s="160">
        <v>0</v>
      </c>
      <c r="H85" s="160">
        <v>0</v>
      </c>
      <c r="I85" s="160">
        <f>SUM(I81:I84)</f>
        <v>181240.14</v>
      </c>
      <c r="J85" s="160">
        <f>SUM(E85:I85)</f>
        <v>181240.14</v>
      </c>
      <c r="M85" s="140"/>
    </row>
    <row r="86" spans="1:13" s="22" customFormat="1" x14ac:dyDescent="0.35">
      <c r="A86" s="161"/>
      <c r="B86" s="162"/>
      <c r="C86" s="162"/>
      <c r="D86" s="163"/>
      <c r="E86" s="164"/>
      <c r="F86" s="164"/>
      <c r="G86" s="164"/>
      <c r="H86" s="164"/>
      <c r="I86" s="164"/>
      <c r="J86" s="164"/>
      <c r="M86" s="140"/>
    </row>
    <row r="87" spans="1:13" s="22" customFormat="1" x14ac:dyDescent="0.35">
      <c r="A87" s="506" t="s">
        <v>272</v>
      </c>
      <c r="B87" s="507"/>
      <c r="C87" s="507"/>
      <c r="D87" s="507"/>
      <c r="E87" s="507"/>
      <c r="F87" s="507"/>
      <c r="G87" s="507"/>
      <c r="H87" s="507"/>
      <c r="I87" s="507"/>
      <c r="J87" s="508"/>
      <c r="M87" s="140"/>
    </row>
    <row r="88" spans="1:13" s="22" customFormat="1" x14ac:dyDescent="0.35">
      <c r="A88" s="155">
        <v>55</v>
      </c>
      <c r="B88" s="497" t="s">
        <v>273</v>
      </c>
      <c r="C88" s="498"/>
      <c r="D88" s="499"/>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503" t="s">
        <v>269</v>
      </c>
      <c r="C89" s="504"/>
      <c r="D89" s="505"/>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503" t="s">
        <v>240</v>
      </c>
      <c r="C91" s="504"/>
      <c r="D91" s="505"/>
      <c r="E91" s="160">
        <f>E78+E67+E57+E50+E40+E89+E85</f>
        <v>8006676.9000000004</v>
      </c>
      <c r="F91" s="160">
        <f>F78+F67+F57+F50+F40+F89+F85</f>
        <v>18389308.25</v>
      </c>
      <c r="G91" s="160">
        <f>G78+G67+G57+G50+G40+G89+G85</f>
        <v>33565050.909999996</v>
      </c>
      <c r="H91" s="160">
        <f>H78+H67+H57+H50+H40+H89+H85</f>
        <v>316958.17</v>
      </c>
      <c r="I91" s="160">
        <f>I78+I67+I57+I50+I40+I89+I85</f>
        <v>1366016.9500000002</v>
      </c>
      <c r="J91" s="160">
        <f>SUM(E91:I91)</f>
        <v>61644011.18</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97" t="s">
        <v>2</v>
      </c>
      <c r="C93" s="498"/>
      <c r="D93" s="499"/>
      <c r="E93" s="158">
        <f>E91*-1</f>
        <v>-8006676.9000000004</v>
      </c>
      <c r="F93" s="157">
        <v>2745052</v>
      </c>
      <c r="G93" s="157">
        <v>5010400</v>
      </c>
      <c r="H93" s="157">
        <v>47314</v>
      </c>
      <c r="I93" s="157">
        <v>203911</v>
      </c>
      <c r="J93" s="160">
        <f>SUM(E93:I93)</f>
        <v>9.999999962747097E-2</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00" t="s">
        <v>241</v>
      </c>
      <c r="C95" s="501"/>
      <c r="D95" s="502"/>
      <c r="E95" s="169">
        <f>E93+E91</f>
        <v>0</v>
      </c>
      <c r="F95" s="169">
        <f t="shared" ref="F95:I95" si="14">F93+F91</f>
        <v>21134360.25</v>
      </c>
      <c r="G95" s="169">
        <f t="shared" si="14"/>
        <v>38575450.909999996</v>
      </c>
      <c r="H95" s="169">
        <f t="shared" si="14"/>
        <v>364272.17</v>
      </c>
      <c r="I95" s="169">
        <f t="shared" si="14"/>
        <v>1569927.9500000002</v>
      </c>
      <c r="J95" s="169">
        <f>SUM(E95:I95)</f>
        <v>61644011.280000001</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96" t="s">
        <v>4</v>
      </c>
      <c r="C97" s="496"/>
      <c r="D97" s="170"/>
      <c r="E97" s="170"/>
      <c r="F97" s="150"/>
      <c r="G97" s="170"/>
      <c r="H97" s="170"/>
      <c r="I97" s="170"/>
      <c r="J97" s="170"/>
      <c r="M97" s="140"/>
    </row>
    <row r="98" spans="1:13" s="22" customFormat="1" x14ac:dyDescent="0.35">
      <c r="A98" s="155">
        <v>61</v>
      </c>
      <c r="B98" s="496" t="s">
        <v>5</v>
      </c>
      <c r="C98" s="496"/>
      <c r="D98" s="170"/>
      <c r="E98" s="170"/>
      <c r="F98" s="158" t="str">
        <f>IFERROR(F95/F97,"")</f>
        <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96" t="s">
        <v>306</v>
      </c>
      <c r="C100" s="496"/>
      <c r="D100" s="170"/>
      <c r="E100" s="170"/>
      <c r="F100" s="170"/>
      <c r="G100" s="170"/>
      <c r="H100" s="170"/>
      <c r="I100" s="170"/>
      <c r="J100" s="157">
        <v>61644011</v>
      </c>
      <c r="M100" s="140"/>
    </row>
    <row r="101" spans="1:13" s="22" customFormat="1" x14ac:dyDescent="0.35">
      <c r="A101" s="155">
        <v>63</v>
      </c>
      <c r="B101" s="496" t="s">
        <v>10</v>
      </c>
      <c r="C101" s="496"/>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96" t="s">
        <v>201</v>
      </c>
      <c r="C103" s="496"/>
      <c r="D103" s="100"/>
      <c r="E103" s="172">
        <f>IFERROR(E91/SUM(F91:I91),"")</f>
        <v>0.14927432556963383</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customProperties>
    <customPr name="OrphanNamesChecked" r:id="rId4"/>
  </customProperties>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12" t="s">
        <v>762</v>
      </c>
      <c r="B3" s="512"/>
      <c r="C3" s="512"/>
      <c r="D3" s="512"/>
      <c r="E3" s="512"/>
      <c r="F3" s="512"/>
      <c r="G3" s="512"/>
      <c r="H3" s="512"/>
      <c r="I3" s="512"/>
      <c r="J3" s="512"/>
    </row>
    <row r="4" spans="1:12" x14ac:dyDescent="0.35">
      <c r="H4" s="61"/>
      <c r="J4" s="130"/>
      <c r="K4" s="130"/>
      <c r="L4" s="130"/>
    </row>
    <row r="5" spans="1:12" x14ac:dyDescent="0.35">
      <c r="A5" s="1" t="s">
        <v>772</v>
      </c>
      <c r="C5" s="420" t="str">
        <f>'As-Filed Schedule 1'!C5</f>
        <v>Mind Springs Health</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263</v>
      </c>
      <c r="D8" s="117">
        <v>221900</v>
      </c>
      <c r="F8" s="78"/>
      <c r="G8" s="48"/>
      <c r="H8" s="48"/>
      <c r="J8" s="40"/>
      <c r="K8" s="40"/>
      <c r="L8" s="40"/>
    </row>
    <row r="9" spans="1:12" ht="6.75" customHeight="1" x14ac:dyDescent="0.35">
      <c r="H9" s="48"/>
      <c r="J9" s="40"/>
      <c r="K9" s="40"/>
      <c r="L9" s="40"/>
    </row>
    <row r="10" spans="1:12" x14ac:dyDescent="0.35">
      <c r="A10" s="1" t="s">
        <v>264</v>
      </c>
      <c r="D10" s="77" t="s">
        <v>265</v>
      </c>
      <c r="E10" s="78"/>
      <c r="F10" s="78"/>
      <c r="H10" s="48"/>
      <c r="J10" s="40"/>
      <c r="K10" s="40"/>
      <c r="L10" s="40"/>
    </row>
    <row r="11" spans="1:12" x14ac:dyDescent="0.35">
      <c r="A11" s="1"/>
      <c r="D11" s="78"/>
      <c r="E11" s="78"/>
      <c r="F11" s="78"/>
      <c r="H11" s="48"/>
      <c r="J11" s="131"/>
    </row>
    <row r="12" spans="1:12" x14ac:dyDescent="0.35">
      <c r="A12" s="1" t="s">
        <v>266</v>
      </c>
      <c r="D12" s="48"/>
      <c r="E12" s="48"/>
      <c r="F12" s="48"/>
      <c r="J12" s="131"/>
    </row>
    <row r="13" spans="1:12" ht="15" customHeight="1" x14ac:dyDescent="0.35">
      <c r="A13" s="513" t="s">
        <v>487</v>
      </c>
      <c r="B13" s="513"/>
      <c r="C13" s="513"/>
      <c r="D13" s="513"/>
      <c r="E13" s="513"/>
      <c r="F13" s="513"/>
      <c r="G13" s="513"/>
      <c r="H13" s="513"/>
      <c r="I13" s="79"/>
      <c r="J13" s="62"/>
    </row>
    <row r="14" spans="1:12" ht="15" customHeight="1" x14ac:dyDescent="0.35">
      <c r="A14" s="513"/>
      <c r="B14" s="513"/>
      <c r="C14" s="513"/>
      <c r="D14" s="513"/>
      <c r="E14" s="513"/>
      <c r="F14" s="513"/>
      <c r="G14" s="513"/>
      <c r="H14" s="513"/>
      <c r="I14" s="79"/>
      <c r="J14" s="62"/>
    </row>
    <row r="15" spans="1:12" ht="15" customHeight="1" x14ac:dyDescent="0.35">
      <c r="A15" s="513"/>
      <c r="B15" s="513"/>
      <c r="C15" s="513"/>
      <c r="D15" s="513"/>
      <c r="E15" s="513"/>
      <c r="F15" s="513"/>
      <c r="G15" s="513"/>
      <c r="H15" s="513"/>
      <c r="I15" s="79"/>
      <c r="J15" s="62"/>
    </row>
    <row r="16" spans="1:12" x14ac:dyDescent="0.35">
      <c r="A16" s="513"/>
      <c r="B16" s="513"/>
      <c r="C16" s="513"/>
      <c r="D16" s="513"/>
      <c r="E16" s="513"/>
      <c r="F16" s="513"/>
      <c r="G16" s="513"/>
      <c r="H16" s="513"/>
      <c r="I16" s="62"/>
    </row>
    <row r="17" spans="1:25" x14ac:dyDescent="0.35">
      <c r="A17" s="174"/>
      <c r="B17" s="174"/>
      <c r="C17" s="174"/>
      <c r="D17" s="174"/>
      <c r="E17" s="174"/>
      <c r="F17" s="174"/>
      <c r="G17" s="174"/>
      <c r="H17" s="174"/>
      <c r="I17" s="127"/>
    </row>
    <row r="18" spans="1:25" x14ac:dyDescent="0.35">
      <c r="A18" s="174"/>
      <c r="B18" s="514">
        <v>1</v>
      </c>
      <c r="C18" s="515"/>
      <c r="D18" s="175">
        <v>2</v>
      </c>
      <c r="E18" s="175">
        <v>3</v>
      </c>
      <c r="F18" s="175">
        <v>4</v>
      </c>
      <c r="G18" s="175">
        <v>5</v>
      </c>
      <c r="H18" s="175">
        <v>6</v>
      </c>
      <c r="I18" s="127"/>
    </row>
    <row r="19" spans="1:25" s="4" customFormat="1" ht="52.5" customHeight="1" x14ac:dyDescent="0.35">
      <c r="A19" s="176"/>
      <c r="B19" s="516" t="s">
        <v>180</v>
      </c>
      <c r="C19" s="516"/>
      <c r="D19" s="151" t="s">
        <v>267</v>
      </c>
      <c r="E19" s="151" t="s">
        <v>456</v>
      </c>
      <c r="F19" s="151" t="s">
        <v>452</v>
      </c>
      <c r="G19" s="151" t="s">
        <v>488</v>
      </c>
      <c r="H19" s="151" t="s">
        <v>489</v>
      </c>
      <c r="I19" s="36"/>
    </row>
    <row r="20" spans="1:25" x14ac:dyDescent="0.35">
      <c r="A20" s="177">
        <v>1</v>
      </c>
      <c r="B20" s="511" t="s">
        <v>950</v>
      </c>
      <c r="C20" s="511"/>
      <c r="D20" s="178">
        <v>3</v>
      </c>
      <c r="E20" s="179">
        <v>12</v>
      </c>
      <c r="F20" s="179">
        <v>1</v>
      </c>
      <c r="G20" s="180">
        <v>433904.71</v>
      </c>
      <c r="H20" s="181">
        <f>IF(G20-$D$8&gt;0,G20-$D$8,0)</f>
        <v>212004.71000000002</v>
      </c>
      <c r="I20" s="36"/>
    </row>
    <row r="21" spans="1:25" x14ac:dyDescent="0.35">
      <c r="A21" s="177">
        <f>A20+1</f>
        <v>2</v>
      </c>
      <c r="B21" s="511" t="s">
        <v>951</v>
      </c>
      <c r="C21" s="511"/>
      <c r="D21" s="178">
        <v>2</v>
      </c>
      <c r="E21" s="179">
        <v>12</v>
      </c>
      <c r="F21" s="179">
        <v>1</v>
      </c>
      <c r="G21" s="180">
        <v>311582.51</v>
      </c>
      <c r="H21" s="181">
        <f>IF(G21-$D$8&gt;0,G21-$D$8,0)</f>
        <v>89682.510000000009</v>
      </c>
      <c r="I21" s="48"/>
    </row>
    <row r="22" spans="1:25" x14ac:dyDescent="0.35">
      <c r="A22" s="177">
        <f t="shared" ref="A22:A30" si="0">A21+1</f>
        <v>3</v>
      </c>
      <c r="B22" s="511" t="s">
        <v>952</v>
      </c>
      <c r="C22" s="511"/>
      <c r="D22" s="178">
        <v>2</v>
      </c>
      <c r="E22" s="179">
        <v>12</v>
      </c>
      <c r="F22" s="179">
        <v>1</v>
      </c>
      <c r="G22" s="180">
        <v>426716.59</v>
      </c>
      <c r="H22" s="181">
        <f>IF(G22-$D$8&gt;0,G22-$D$8,0)</f>
        <v>204816.59000000003</v>
      </c>
      <c r="I22" s="48"/>
    </row>
    <row r="23" spans="1:25" x14ac:dyDescent="0.35">
      <c r="A23" s="177">
        <f t="shared" si="0"/>
        <v>4</v>
      </c>
      <c r="B23" s="511"/>
      <c r="C23" s="511"/>
      <c r="D23" s="178"/>
      <c r="E23" s="179"/>
      <c r="F23" s="179"/>
      <c r="G23" s="180"/>
      <c r="H23" s="181">
        <f>IF(G23-$D$8&gt;0,G23-$D$8,0)</f>
        <v>0</v>
      </c>
      <c r="I23" s="48"/>
    </row>
    <row r="24" spans="1:25" x14ac:dyDescent="0.35">
      <c r="A24" s="177">
        <f t="shared" si="0"/>
        <v>5</v>
      </c>
      <c r="B24" s="511"/>
      <c r="C24" s="511"/>
      <c r="D24" s="178"/>
      <c r="E24" s="179"/>
      <c r="F24" s="179"/>
      <c r="G24" s="180"/>
      <c r="H24" s="181">
        <f>IF(G24-$D$8&gt;0,G24-$D$8,0)</f>
        <v>0</v>
      </c>
    </row>
    <row r="25" spans="1:25" x14ac:dyDescent="0.35">
      <c r="A25" s="182">
        <f t="shared" si="0"/>
        <v>6</v>
      </c>
      <c r="B25" s="100"/>
      <c r="C25" s="100"/>
      <c r="D25" s="100"/>
      <c r="E25" s="100"/>
      <c r="F25" s="100"/>
      <c r="G25" s="100"/>
      <c r="H25" s="183">
        <f>SUM(H20:H24)</f>
        <v>506503.81000000006</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183</v>
      </c>
      <c r="H27" s="185">
        <f>SUMIF($D$20:$D$24,2,$H$20:$H$24)</f>
        <v>294499.10000000003</v>
      </c>
    </row>
    <row r="28" spans="1:25" x14ac:dyDescent="0.35">
      <c r="A28" s="182">
        <v>8</v>
      </c>
      <c r="B28" s="100"/>
      <c r="C28" s="100"/>
      <c r="D28" s="100"/>
      <c r="E28" s="100"/>
      <c r="F28" s="100"/>
      <c r="G28" s="184" t="s">
        <v>181</v>
      </c>
      <c r="H28" s="185">
        <f>SUMIF($D$20:$D$24,3,$H$20:$H$24)</f>
        <v>212004.71000000002</v>
      </c>
    </row>
    <row r="29" spans="1:25" x14ac:dyDescent="0.35">
      <c r="A29" s="182">
        <v>9</v>
      </c>
      <c r="B29" s="100"/>
      <c r="C29" s="100"/>
      <c r="D29" s="100"/>
      <c r="E29" s="100"/>
      <c r="F29" s="100"/>
      <c r="G29" s="184" t="s">
        <v>182</v>
      </c>
      <c r="H29" s="185">
        <f>SUMIF($D$20:$D$24,4,$H$20:$H$24)</f>
        <v>0</v>
      </c>
    </row>
    <row r="30" spans="1:25" x14ac:dyDescent="0.35">
      <c r="A30" s="182">
        <f t="shared" si="0"/>
        <v>10</v>
      </c>
      <c r="B30" s="100"/>
      <c r="C30" s="100"/>
      <c r="D30" s="100"/>
      <c r="E30" s="100"/>
      <c r="F30" s="100"/>
      <c r="G30" s="184" t="s">
        <v>184</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268</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763</v>
      </c>
    </row>
    <row r="5" spans="1:4" x14ac:dyDescent="0.35">
      <c r="A5" s="1" t="s">
        <v>772</v>
      </c>
      <c r="C5" s="420" t="str">
        <f>'As-Filed Schedule 1'!C5</f>
        <v>Mind Springs Health</v>
      </c>
    </row>
    <row r="6" spans="1:4" x14ac:dyDescent="0.35">
      <c r="A6" s="1" t="s">
        <v>0</v>
      </c>
      <c r="C6" s="35">
        <f>'As-Filed Schedule 1'!C6</f>
        <v>45473</v>
      </c>
      <c r="D6" s="56"/>
    </row>
    <row r="8" spans="1:4" ht="15" customHeight="1" x14ac:dyDescent="0.35">
      <c r="A8" t="s">
        <v>248</v>
      </c>
    </row>
    <row r="9" spans="1:4" ht="15" customHeight="1" x14ac:dyDescent="0.35"/>
    <row r="10" spans="1:4" ht="15" customHeight="1" x14ac:dyDescent="0.35">
      <c r="A10" t="s">
        <v>243</v>
      </c>
      <c r="B10" s="559" t="s">
        <v>953</v>
      </c>
      <c r="C10" s="559"/>
      <c r="D10" s="559"/>
    </row>
    <row r="11" spans="1:4" ht="15" customHeight="1" x14ac:dyDescent="0.35">
      <c r="B11" s="559"/>
      <c r="C11" s="559"/>
      <c r="D11" s="559"/>
    </row>
    <row r="12" spans="1:4" x14ac:dyDescent="0.35">
      <c r="B12" s="559"/>
      <c r="C12" s="559"/>
      <c r="D12" s="559"/>
    </row>
    <row r="13" spans="1:4" x14ac:dyDescent="0.35">
      <c r="B13" s="559"/>
      <c r="C13" s="559"/>
      <c r="D13" s="559"/>
    </row>
    <row r="15" spans="1:4" ht="15" customHeight="1" x14ac:dyDescent="0.35">
      <c r="A15" t="s">
        <v>244</v>
      </c>
      <c r="B15" s="561"/>
      <c r="C15" s="561"/>
      <c r="D15" s="561"/>
    </row>
    <row r="16" spans="1:4" ht="15" customHeight="1" x14ac:dyDescent="0.35">
      <c r="B16" s="561"/>
      <c r="C16" s="561"/>
      <c r="D16" s="561"/>
    </row>
    <row r="17" spans="1:4" x14ac:dyDescent="0.35">
      <c r="B17" s="561"/>
      <c r="C17" s="561"/>
      <c r="D17" s="561"/>
    </row>
    <row r="18" spans="1:4" x14ac:dyDescent="0.35">
      <c r="B18" s="561"/>
      <c r="C18" s="561"/>
      <c r="D18" s="561"/>
    </row>
    <row r="20" spans="1:4" ht="15" customHeight="1" x14ac:dyDescent="0.35">
      <c r="A20" t="s">
        <v>245</v>
      </c>
      <c r="B20" s="561"/>
      <c r="C20" s="561"/>
      <c r="D20" s="561"/>
    </row>
    <row r="21" spans="1:4" ht="15" customHeight="1" x14ac:dyDescent="0.35">
      <c r="B21" s="561"/>
      <c r="C21" s="561"/>
      <c r="D21" s="561"/>
    </row>
    <row r="22" spans="1:4" x14ac:dyDescent="0.35">
      <c r="B22" s="561"/>
      <c r="C22" s="561"/>
      <c r="D22" s="561"/>
    </row>
    <row r="23" spans="1:4" x14ac:dyDescent="0.35">
      <c r="B23" s="561"/>
      <c r="C23" s="561"/>
      <c r="D23" s="561"/>
    </row>
    <row r="25" spans="1:4" ht="15" customHeight="1" x14ac:dyDescent="0.35">
      <c r="A25" t="s">
        <v>246</v>
      </c>
      <c r="B25" s="561"/>
      <c r="C25" s="561"/>
      <c r="D25" s="561"/>
    </row>
    <row r="26" spans="1:4" ht="15" customHeight="1" x14ac:dyDescent="0.35">
      <c r="B26" s="561"/>
      <c r="C26" s="561"/>
      <c r="D26" s="561"/>
    </row>
    <row r="27" spans="1:4" x14ac:dyDescent="0.35">
      <c r="B27" s="561"/>
      <c r="C27" s="561"/>
      <c r="D27" s="561"/>
    </row>
    <row r="28" spans="1:4" x14ac:dyDescent="0.35">
      <c r="B28" s="561"/>
      <c r="C28" s="561"/>
      <c r="D28" s="561"/>
    </row>
    <row r="30" spans="1:4" ht="15" customHeight="1" x14ac:dyDescent="0.35">
      <c r="A30" t="s">
        <v>247</v>
      </c>
      <c r="B30" s="561"/>
      <c r="C30" s="561"/>
      <c r="D30" s="561"/>
    </row>
    <row r="31" spans="1:4" ht="15" customHeight="1" x14ac:dyDescent="0.35">
      <c r="B31" s="561"/>
      <c r="C31" s="561"/>
      <c r="D31" s="561"/>
    </row>
    <row r="32" spans="1:4" x14ac:dyDescent="0.35">
      <c r="B32" s="561"/>
      <c r="C32" s="561"/>
      <c r="D32" s="561"/>
    </row>
    <row r="33" spans="1:4" x14ac:dyDescent="0.35">
      <c r="B33" s="561"/>
      <c r="C33" s="561"/>
      <c r="D33" s="561"/>
    </row>
    <row r="35" spans="1:4" x14ac:dyDescent="0.35">
      <c r="A35" t="s">
        <v>204</v>
      </c>
      <c r="D35" s="118" t="s">
        <v>954</v>
      </c>
    </row>
    <row r="37" spans="1:4" x14ac:dyDescent="0.35">
      <c r="A37" t="s">
        <v>205</v>
      </c>
    </row>
    <row r="38" spans="1:4" x14ac:dyDescent="0.35">
      <c r="A38" s="560"/>
      <c r="B38" s="560"/>
      <c r="C38" s="560"/>
      <c r="D38" s="560"/>
    </row>
    <row r="39" spans="1:4" x14ac:dyDescent="0.35">
      <c r="A39" s="560"/>
      <c r="B39" s="560"/>
      <c r="C39" s="560"/>
      <c r="D39" s="560"/>
    </row>
    <row r="40" spans="1:4" x14ac:dyDescent="0.35">
      <c r="A40" s="560"/>
      <c r="B40" s="560"/>
      <c r="C40" s="560"/>
      <c r="D40" s="560"/>
    </row>
    <row r="41" spans="1:4" x14ac:dyDescent="0.35">
      <c r="A41" s="560"/>
      <c r="B41" s="560"/>
      <c r="C41" s="560"/>
      <c r="D41" s="560"/>
    </row>
    <row r="42" spans="1:4" x14ac:dyDescent="0.35">
      <c r="A42" s="560"/>
      <c r="B42" s="560"/>
      <c r="C42" s="560"/>
      <c r="D42" s="560"/>
    </row>
    <row r="43" spans="1:4" x14ac:dyDescent="0.35">
      <c r="A43" s="560"/>
      <c r="B43" s="560"/>
      <c r="C43" s="560"/>
      <c r="D43" s="560"/>
    </row>
    <row r="44" spans="1:4" x14ac:dyDescent="0.35">
      <c r="A44" s="560"/>
      <c r="B44" s="560"/>
      <c r="C44" s="560"/>
      <c r="D44" s="560"/>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customProperties>
    <customPr name="OrphanNamesChecke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764</v>
      </c>
    </row>
    <row r="5" spans="1:24" x14ac:dyDescent="0.35">
      <c r="A5" s="1" t="s">
        <v>772</v>
      </c>
      <c r="C5" s="420" t="str">
        <f>'As-Filed Schedule 1'!C5</f>
        <v>Mind Springs Health</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271</v>
      </c>
      <c r="G8" s="40"/>
      <c r="K8" s="40"/>
      <c r="L8" s="40"/>
      <c r="M8" s="40"/>
    </row>
    <row r="9" spans="1:24" ht="15" customHeight="1" x14ac:dyDescent="0.35">
      <c r="A9" s="520" t="s">
        <v>921</v>
      </c>
      <c r="B9" s="520"/>
      <c r="C9" s="520"/>
      <c r="D9" s="520"/>
      <c r="E9" s="520"/>
      <c r="F9" s="520"/>
      <c r="G9" s="520"/>
      <c r="H9" s="520"/>
      <c r="I9" s="520"/>
      <c r="J9" s="64"/>
      <c r="K9" s="40"/>
      <c r="L9" s="40"/>
      <c r="M9" s="40"/>
      <c r="T9" s="65"/>
      <c r="U9" s="65"/>
      <c r="V9" s="65"/>
      <c r="W9" s="65"/>
      <c r="X9" s="65"/>
    </row>
    <row r="10" spans="1:24" ht="15" customHeight="1" x14ac:dyDescent="0.35">
      <c r="A10" s="520"/>
      <c r="B10" s="520"/>
      <c r="C10" s="520"/>
      <c r="D10" s="520"/>
      <c r="E10" s="520"/>
      <c r="F10" s="520"/>
      <c r="G10" s="520"/>
      <c r="H10" s="520"/>
      <c r="I10" s="520"/>
      <c r="J10" s="64"/>
      <c r="K10" s="40"/>
      <c r="L10" s="40"/>
      <c r="M10" s="40"/>
      <c r="T10" s="65"/>
      <c r="U10" s="65"/>
      <c r="V10" s="65"/>
      <c r="W10" s="65"/>
      <c r="X10" s="65"/>
    </row>
    <row r="11" spans="1:24" x14ac:dyDescent="0.35">
      <c r="A11" s="520"/>
      <c r="B11" s="520"/>
      <c r="C11" s="520"/>
      <c r="D11" s="520"/>
      <c r="E11" s="520"/>
      <c r="F11" s="520"/>
      <c r="G11" s="520"/>
      <c r="H11" s="520"/>
      <c r="I11" s="520"/>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21">
        <v>1</v>
      </c>
      <c r="C13" s="521"/>
      <c r="D13" s="175">
        <v>2</v>
      </c>
      <c r="E13" s="175">
        <v>3</v>
      </c>
      <c r="F13" s="175">
        <v>4</v>
      </c>
      <c r="G13" s="175">
        <v>5</v>
      </c>
      <c r="H13" s="175">
        <v>6</v>
      </c>
      <c r="I13" s="175">
        <v>7</v>
      </c>
      <c r="J13" s="64"/>
      <c r="T13" s="65"/>
      <c r="U13" s="65"/>
      <c r="V13" s="65"/>
      <c r="W13" s="65"/>
      <c r="X13" s="65"/>
    </row>
    <row r="14" spans="1:24" s="4" customFormat="1" ht="61.5" customHeight="1" x14ac:dyDescent="0.35">
      <c r="A14" s="191"/>
      <c r="B14" s="516" t="s">
        <v>276</v>
      </c>
      <c r="C14" s="522"/>
      <c r="D14" s="151" t="s">
        <v>780</v>
      </c>
      <c r="E14" s="192" t="s">
        <v>262</v>
      </c>
      <c r="F14" s="151" t="s">
        <v>784</v>
      </c>
      <c r="G14" s="193" t="s">
        <v>267</v>
      </c>
      <c r="H14" s="192" t="s">
        <v>242</v>
      </c>
      <c r="I14" s="151" t="s">
        <v>277</v>
      </c>
      <c r="J14" s="66"/>
      <c r="T14" s="67"/>
      <c r="U14" s="67"/>
      <c r="V14" s="67"/>
      <c r="W14" s="67"/>
      <c r="X14" s="67"/>
    </row>
    <row r="15" spans="1:24" s="4" customFormat="1" x14ac:dyDescent="0.35">
      <c r="A15" s="182">
        <v>1</v>
      </c>
      <c r="B15" s="511" t="s">
        <v>955</v>
      </c>
      <c r="C15" s="511"/>
      <c r="D15" s="180">
        <v>4167296</v>
      </c>
      <c r="E15" s="180">
        <v>4167296</v>
      </c>
      <c r="F15" s="194">
        <f>IF(D15-E15&lt;0,0,D15-E15)</f>
        <v>0</v>
      </c>
      <c r="G15" s="195"/>
      <c r="H15" s="178"/>
      <c r="I15" s="196"/>
      <c r="J15" s="66"/>
      <c r="T15" s="67"/>
      <c r="U15" s="67"/>
      <c r="V15" s="67"/>
      <c r="W15" s="67"/>
      <c r="X15" s="67"/>
    </row>
    <row r="16" spans="1:24" s="4" customFormat="1" x14ac:dyDescent="0.35">
      <c r="A16" s="182">
        <f>A15+1</f>
        <v>2</v>
      </c>
      <c r="B16" s="511"/>
      <c r="C16" s="511"/>
      <c r="D16" s="180"/>
      <c r="E16" s="180"/>
      <c r="F16" s="194">
        <f t="shared" ref="F16:F24" si="0">IF(D16-E16&lt;0,0,D16-E16)</f>
        <v>0</v>
      </c>
      <c r="G16" s="195"/>
      <c r="H16" s="178"/>
      <c r="I16" s="196"/>
      <c r="J16" s="142"/>
      <c r="T16" s="67"/>
      <c r="U16" s="67"/>
      <c r="V16" s="67"/>
      <c r="W16" s="67"/>
      <c r="X16" s="67"/>
    </row>
    <row r="17" spans="1:24" s="4" customFormat="1" ht="15" customHeight="1" x14ac:dyDescent="0.35">
      <c r="A17" s="182">
        <f t="shared" ref="A17:A30" si="1">A16+1</f>
        <v>3</v>
      </c>
      <c r="B17" s="511"/>
      <c r="C17" s="511"/>
      <c r="D17" s="180"/>
      <c r="E17" s="180"/>
      <c r="F17" s="194">
        <f t="shared" si="0"/>
        <v>0</v>
      </c>
      <c r="G17" s="195"/>
      <c r="H17" s="178"/>
      <c r="I17" s="196"/>
      <c r="J17" s="66"/>
      <c r="T17" s="67"/>
      <c r="U17" s="67"/>
      <c r="V17" s="67"/>
      <c r="W17" s="67"/>
      <c r="X17" s="67"/>
    </row>
    <row r="18" spans="1:24" s="4" customFormat="1" ht="15" customHeight="1" x14ac:dyDescent="0.35">
      <c r="A18" s="182">
        <f t="shared" si="1"/>
        <v>4</v>
      </c>
      <c r="B18" s="511"/>
      <c r="C18" s="511"/>
      <c r="D18" s="180"/>
      <c r="E18" s="180"/>
      <c r="F18" s="194">
        <f t="shared" si="0"/>
        <v>0</v>
      </c>
      <c r="G18" s="195"/>
      <c r="H18" s="178"/>
      <c r="I18" s="196"/>
      <c r="J18" s="66"/>
      <c r="T18" s="67"/>
      <c r="U18" s="67"/>
      <c r="V18" s="67"/>
      <c r="W18" s="67"/>
      <c r="X18" s="67"/>
    </row>
    <row r="19" spans="1:24" s="4" customFormat="1" ht="15" customHeight="1" x14ac:dyDescent="0.35">
      <c r="A19" s="182">
        <f t="shared" si="1"/>
        <v>5</v>
      </c>
      <c r="B19" s="511"/>
      <c r="C19" s="511"/>
      <c r="D19" s="180"/>
      <c r="E19" s="180"/>
      <c r="F19" s="194">
        <f t="shared" si="0"/>
        <v>0</v>
      </c>
      <c r="G19" s="195"/>
      <c r="H19" s="178"/>
      <c r="I19" s="196"/>
      <c r="J19" s="66"/>
      <c r="T19" s="67"/>
      <c r="U19" s="67"/>
      <c r="V19" s="67"/>
      <c r="W19" s="67"/>
      <c r="X19" s="67"/>
    </row>
    <row r="20" spans="1:24" s="4" customFormat="1" ht="15" customHeight="1" x14ac:dyDescent="0.35">
      <c r="A20" s="182">
        <f t="shared" si="1"/>
        <v>6</v>
      </c>
      <c r="B20" s="511"/>
      <c r="C20" s="511"/>
      <c r="D20" s="180"/>
      <c r="E20" s="180"/>
      <c r="F20" s="194">
        <f t="shared" si="0"/>
        <v>0</v>
      </c>
      <c r="G20" s="195"/>
      <c r="H20" s="178"/>
      <c r="I20" s="196"/>
      <c r="J20" s="66"/>
      <c r="T20" s="67"/>
      <c r="U20" s="67"/>
      <c r="V20" s="67"/>
      <c r="W20" s="67"/>
      <c r="X20" s="67"/>
    </row>
    <row r="21" spans="1:24" s="4" customFormat="1" ht="15" customHeight="1" x14ac:dyDescent="0.35">
      <c r="A21" s="182">
        <f t="shared" si="1"/>
        <v>7</v>
      </c>
      <c r="B21" s="511"/>
      <c r="C21" s="511"/>
      <c r="D21" s="180"/>
      <c r="E21" s="180"/>
      <c r="F21" s="194">
        <f t="shared" si="0"/>
        <v>0</v>
      </c>
      <c r="G21" s="195"/>
      <c r="H21" s="178"/>
      <c r="I21" s="196"/>
      <c r="J21" s="66"/>
      <c r="T21" s="67"/>
      <c r="U21" s="67"/>
      <c r="V21" s="67"/>
      <c r="W21" s="67"/>
      <c r="X21" s="67"/>
    </row>
    <row r="22" spans="1:24" s="4" customFormat="1" ht="15" customHeight="1" x14ac:dyDescent="0.35">
      <c r="A22" s="182">
        <f t="shared" si="1"/>
        <v>8</v>
      </c>
      <c r="B22" s="511"/>
      <c r="C22" s="511"/>
      <c r="D22" s="180"/>
      <c r="E22" s="180"/>
      <c r="F22" s="194">
        <f t="shared" si="0"/>
        <v>0</v>
      </c>
      <c r="G22" s="195"/>
      <c r="H22" s="178"/>
      <c r="I22" s="196"/>
      <c r="J22" s="66"/>
      <c r="T22" s="67"/>
      <c r="U22" s="67"/>
      <c r="V22" s="67"/>
      <c r="W22" s="67"/>
      <c r="X22" s="67"/>
    </row>
    <row r="23" spans="1:24" s="4" customFormat="1" ht="15" customHeight="1" x14ac:dyDescent="0.35">
      <c r="A23" s="182">
        <f t="shared" si="1"/>
        <v>9</v>
      </c>
      <c r="B23" s="511"/>
      <c r="C23" s="511"/>
      <c r="D23" s="180"/>
      <c r="E23" s="180"/>
      <c r="F23" s="194">
        <f t="shared" si="0"/>
        <v>0</v>
      </c>
      <c r="G23" s="195"/>
      <c r="H23" s="178"/>
      <c r="I23" s="196"/>
      <c r="J23" s="66"/>
      <c r="T23" s="67"/>
      <c r="U23" s="67"/>
      <c r="V23" s="67"/>
      <c r="W23" s="67"/>
      <c r="X23" s="67"/>
    </row>
    <row r="24" spans="1:24" s="4" customFormat="1" ht="15" customHeight="1" x14ac:dyDescent="0.35">
      <c r="A24" s="182">
        <f t="shared" si="1"/>
        <v>10</v>
      </c>
      <c r="B24" s="511"/>
      <c r="C24" s="511"/>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183</v>
      </c>
      <c r="F27" s="185">
        <f>SUMIF($G$15:$G$24,2,$F$15:$F$24)</f>
        <v>0</v>
      </c>
      <c r="G27" s="191"/>
      <c r="H27" s="100"/>
      <c r="I27" s="100"/>
    </row>
    <row r="28" spans="1:24" x14ac:dyDescent="0.35">
      <c r="A28" s="182">
        <v>13</v>
      </c>
      <c r="B28" s="100"/>
      <c r="C28" s="100"/>
      <c r="D28" s="100"/>
      <c r="E28" s="184" t="s">
        <v>181</v>
      </c>
      <c r="F28" s="185">
        <f>SUMIF($G$15:$G$24,3,$F$15:$F$24)</f>
        <v>0</v>
      </c>
      <c r="G28" s="191"/>
      <c r="H28" s="100"/>
      <c r="I28" s="100"/>
    </row>
    <row r="29" spans="1:24" x14ac:dyDescent="0.35">
      <c r="A29" s="182">
        <f t="shared" si="1"/>
        <v>14</v>
      </c>
      <c r="B29" s="100"/>
      <c r="C29" s="100"/>
      <c r="D29" s="100"/>
      <c r="E29" s="184" t="s">
        <v>182</v>
      </c>
      <c r="F29" s="185">
        <f>SUMIF($G$15:$G$24,4,$F$15:$F$24)</f>
        <v>0</v>
      </c>
      <c r="G29" s="191"/>
      <c r="H29" s="100"/>
      <c r="I29" s="100"/>
    </row>
    <row r="30" spans="1:24" x14ac:dyDescent="0.35">
      <c r="A30" s="182">
        <f t="shared" si="1"/>
        <v>15</v>
      </c>
      <c r="B30" s="100"/>
      <c r="C30" s="100"/>
      <c r="D30" s="100"/>
      <c r="E30" s="184" t="s">
        <v>184</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270</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19" t="s">
        <v>922</v>
      </c>
      <c r="B34" s="519"/>
      <c r="C34" s="519"/>
      <c r="D34" s="519"/>
      <c r="E34" s="519"/>
      <c r="F34" s="519"/>
      <c r="G34" s="519"/>
      <c r="H34" s="519"/>
      <c r="I34" s="519"/>
      <c r="J34" s="64"/>
      <c r="T34" s="65"/>
      <c r="U34" s="65"/>
      <c r="V34" s="65"/>
      <c r="W34" s="65"/>
      <c r="X34" s="65"/>
    </row>
    <row r="35" spans="1:24" x14ac:dyDescent="0.35">
      <c r="A35" s="519"/>
      <c r="B35" s="519"/>
      <c r="C35" s="519"/>
      <c r="D35" s="519"/>
      <c r="E35" s="519"/>
      <c r="F35" s="519"/>
      <c r="G35" s="519"/>
      <c r="H35" s="519"/>
      <c r="I35" s="519"/>
      <c r="J35" s="64"/>
      <c r="T35" s="65"/>
      <c r="U35" s="65"/>
      <c r="V35" s="65"/>
      <c r="W35" s="65"/>
      <c r="X35" s="65"/>
    </row>
    <row r="36" spans="1:24" x14ac:dyDescent="0.35">
      <c r="A36" s="519"/>
      <c r="B36" s="519"/>
      <c r="C36" s="519"/>
      <c r="D36" s="519"/>
      <c r="E36" s="519"/>
      <c r="F36" s="519"/>
      <c r="G36" s="519"/>
      <c r="H36" s="519"/>
      <c r="I36" s="519"/>
      <c r="J36" s="64"/>
      <c r="T36" s="65"/>
      <c r="U36" s="65"/>
      <c r="V36" s="65"/>
      <c r="W36" s="65"/>
      <c r="X36" s="65"/>
    </row>
    <row r="37" spans="1:24" x14ac:dyDescent="0.35">
      <c r="A37" s="519"/>
      <c r="B37" s="519"/>
      <c r="C37" s="519"/>
      <c r="D37" s="519"/>
      <c r="E37" s="519"/>
      <c r="F37" s="519"/>
      <c r="G37" s="519"/>
      <c r="H37" s="519"/>
      <c r="I37" s="519"/>
      <c r="J37" s="64"/>
      <c r="T37" s="65"/>
      <c r="U37" s="65"/>
      <c r="V37" s="65"/>
      <c r="W37" s="65"/>
      <c r="X37" s="65"/>
    </row>
    <row r="38" spans="1:24" x14ac:dyDescent="0.35">
      <c r="A38" s="519"/>
      <c r="B38" s="519"/>
      <c r="C38" s="519"/>
      <c r="D38" s="519"/>
      <c r="E38" s="519"/>
      <c r="F38" s="519"/>
      <c r="G38" s="519"/>
      <c r="H38" s="519"/>
      <c r="I38" s="519"/>
      <c r="J38" s="64"/>
      <c r="T38" s="65"/>
      <c r="U38" s="65"/>
      <c r="V38" s="65"/>
      <c r="W38" s="65"/>
      <c r="X38" s="65"/>
    </row>
    <row r="39" spans="1:24" x14ac:dyDescent="0.35">
      <c r="A39" s="519"/>
      <c r="B39" s="519"/>
      <c r="C39" s="519"/>
      <c r="D39" s="519"/>
      <c r="E39" s="519"/>
      <c r="F39" s="519"/>
      <c r="G39" s="519"/>
      <c r="H39" s="519"/>
      <c r="I39" s="519"/>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34:I39"/>
    <mergeCell ref="B14:C14"/>
    <mergeCell ref="B23:C23"/>
    <mergeCell ref="B24:C24"/>
    <mergeCell ref="A9:I11"/>
    <mergeCell ref="B13:C13"/>
    <mergeCell ref="B22:C22"/>
    <mergeCell ref="B15:C15"/>
    <mergeCell ref="B16:C16"/>
    <mergeCell ref="B17:C17"/>
    <mergeCell ref="B18:C18"/>
    <mergeCell ref="B19:C19"/>
    <mergeCell ref="B20:C20"/>
    <mergeCell ref="B21:C21"/>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773</v>
      </c>
    </row>
    <row r="2" spans="1:11" ht="21" x14ac:dyDescent="0.5">
      <c r="A2" s="2" t="s">
        <v>771</v>
      </c>
    </row>
    <row r="3" spans="1:11" ht="25" customHeight="1" x14ac:dyDescent="0.5">
      <c r="A3" s="512" t="s">
        <v>765</v>
      </c>
      <c r="B3" s="512"/>
      <c r="C3" s="512"/>
      <c r="D3" s="512"/>
      <c r="E3" s="512"/>
      <c r="F3" s="512"/>
      <c r="G3" s="512"/>
      <c r="H3" s="512"/>
      <c r="I3" s="512"/>
      <c r="J3" s="512"/>
    </row>
    <row r="5" spans="1:11" x14ac:dyDescent="0.35">
      <c r="A5" s="1" t="s">
        <v>772</v>
      </c>
      <c r="C5" s="420" t="str">
        <f>'As-Filed Schedule 1'!C5</f>
        <v>Mind Springs Health</v>
      </c>
    </row>
    <row r="6" spans="1:11" x14ac:dyDescent="0.35">
      <c r="A6" s="1" t="s">
        <v>0</v>
      </c>
      <c r="C6" s="35">
        <f>'As-Filed Schedule 1'!C6</f>
        <v>45473</v>
      </c>
      <c r="D6" s="35"/>
    </row>
    <row r="8" spans="1:11" x14ac:dyDescent="0.35">
      <c r="A8" s="1" t="s">
        <v>310</v>
      </c>
    </row>
    <row r="9" spans="1:11" x14ac:dyDescent="0.35">
      <c r="A9" s="1"/>
      <c r="B9" s="82"/>
      <c r="C9" s="82"/>
      <c r="D9" s="82"/>
    </row>
    <row r="10" spans="1:11" x14ac:dyDescent="0.35">
      <c r="A10" s="70"/>
      <c r="B10" s="526">
        <v>1</v>
      </c>
      <c r="C10" s="526"/>
      <c r="D10" s="23">
        <v>2</v>
      </c>
      <c r="E10" s="23">
        <v>3</v>
      </c>
      <c r="F10" s="23">
        <v>4</v>
      </c>
      <c r="G10" s="23">
        <v>5</v>
      </c>
      <c r="H10" s="23">
        <v>6</v>
      </c>
      <c r="I10" s="23">
        <v>7</v>
      </c>
    </row>
    <row r="11" spans="1:11" x14ac:dyDescent="0.35">
      <c r="B11" s="527" t="s">
        <v>177</v>
      </c>
      <c r="C11" s="527"/>
      <c r="D11" s="528" t="s">
        <v>179</v>
      </c>
      <c r="E11" s="529" t="s">
        <v>206</v>
      </c>
      <c r="F11" s="530"/>
      <c r="G11" s="529" t="s">
        <v>209</v>
      </c>
      <c r="H11" s="530"/>
      <c r="I11" s="527" t="s">
        <v>217</v>
      </c>
    </row>
    <row r="12" spans="1:11" ht="30" customHeight="1" x14ac:dyDescent="0.35">
      <c r="B12" s="527"/>
      <c r="C12" s="527"/>
      <c r="D12" s="528"/>
      <c r="E12" s="10" t="s">
        <v>207</v>
      </c>
      <c r="F12" s="10" t="s">
        <v>208</v>
      </c>
      <c r="G12" s="10" t="s">
        <v>207</v>
      </c>
      <c r="H12" s="10" t="s">
        <v>208</v>
      </c>
      <c r="I12" s="527"/>
    </row>
    <row r="13" spans="1:11" x14ac:dyDescent="0.35">
      <c r="A13" s="425" t="s">
        <v>837</v>
      </c>
      <c r="B13" s="204"/>
      <c r="C13" s="204"/>
      <c r="D13" s="204"/>
      <c r="E13" s="204"/>
      <c r="F13" s="204"/>
      <c r="G13" s="204"/>
      <c r="H13" s="204"/>
      <c r="I13" s="204"/>
      <c r="J13" s="100"/>
    </row>
    <row r="14" spans="1:11" x14ac:dyDescent="0.35">
      <c r="A14" s="24">
        <v>1</v>
      </c>
      <c r="B14" s="523" t="s">
        <v>210</v>
      </c>
      <c r="C14" s="523"/>
      <c r="D14" s="24" t="s">
        <v>12</v>
      </c>
      <c r="E14" s="26">
        <f>'As-Filed Schedule 2A'!F73</f>
        <v>2880265.1389237051</v>
      </c>
      <c r="F14" s="26">
        <f>'As-Filed Schedule 2A'!G73</f>
        <v>429949.63607456372</v>
      </c>
      <c r="G14" s="26">
        <f>'As-Filed Schedule 2A'!J73</f>
        <v>0</v>
      </c>
      <c r="H14" s="26">
        <f>'As-Filed Schedule 2A'!K73</f>
        <v>0</v>
      </c>
      <c r="I14" s="68">
        <f>SUM(E14:H14)</f>
        <v>3310214.774998269</v>
      </c>
    </row>
    <row r="15" spans="1:11" x14ac:dyDescent="0.35">
      <c r="A15" s="24">
        <v>2</v>
      </c>
      <c r="B15" s="523" t="s">
        <v>212</v>
      </c>
      <c r="C15" s="523"/>
      <c r="D15" s="24" t="s">
        <v>13</v>
      </c>
      <c r="E15" s="26">
        <f>'As-Filed Schedule 2B'!$F$73</f>
        <v>0</v>
      </c>
      <c r="F15" s="26">
        <f>'As-Filed Schedule 2B'!G73</f>
        <v>0</v>
      </c>
      <c r="G15" s="26">
        <f>'As-Filed Schedule 2B'!$J$73</f>
        <v>65705.993995837169</v>
      </c>
      <c r="H15" s="26">
        <f>'As-Filed Schedule 2B'!K73</f>
        <v>9808.2179396110059</v>
      </c>
      <c r="I15" s="68">
        <f>SUM(E15:H15)</f>
        <v>75514.211935448169</v>
      </c>
    </row>
    <row r="16" spans="1:11" x14ac:dyDescent="0.35">
      <c r="A16" s="24">
        <v>3</v>
      </c>
      <c r="B16" s="523" t="s">
        <v>200</v>
      </c>
      <c r="C16" s="523"/>
      <c r="D16" s="24" t="s">
        <v>14</v>
      </c>
      <c r="E16" s="26">
        <f>'As-Filed Schedule 2C'!$F$73</f>
        <v>14443362.290879069</v>
      </c>
      <c r="F16" s="26">
        <f>'As-Filed Schedule 2C'!G73</f>
        <v>2156023.1649288544</v>
      </c>
      <c r="G16" s="26">
        <f>'As-Filed Schedule 2C'!$J$73</f>
        <v>212570.66488600738</v>
      </c>
      <c r="H16" s="26">
        <f>'As-Filed Schedule 2C'!K73</f>
        <v>31731.342636747395</v>
      </c>
      <c r="I16" s="68">
        <f>SUM(E16:H16)</f>
        <v>16843687.463330682</v>
      </c>
      <c r="K16" s="48"/>
    </row>
    <row r="17" spans="1:11" x14ac:dyDescent="0.35">
      <c r="A17" s="24">
        <v>4</v>
      </c>
      <c r="B17" s="523" t="s">
        <v>211</v>
      </c>
      <c r="C17" s="523"/>
      <c r="D17" s="24" t="s">
        <v>178</v>
      </c>
      <c r="E17" s="26">
        <f>'As-Filed Schedule 2D'!$F$73</f>
        <v>963658.52313187858</v>
      </c>
      <c r="F17" s="26">
        <f>'As-Filed Schedule 2D'!G73</f>
        <v>143849.47611994055</v>
      </c>
      <c r="G17" s="26">
        <f>'As-Filed Schedule 2D'!$J$73</f>
        <v>0</v>
      </c>
      <c r="H17" s="26">
        <f>'As-Filed Schedule 2D'!K73</f>
        <v>0</v>
      </c>
      <c r="I17" s="68">
        <f>SUM(E17:H17)</f>
        <v>1107507.9992518192</v>
      </c>
    </row>
    <row r="18" spans="1:11" x14ac:dyDescent="0.35">
      <c r="A18" s="425" t="s">
        <v>790</v>
      </c>
      <c r="B18" s="204"/>
      <c r="C18" s="204"/>
      <c r="D18" s="204"/>
      <c r="E18" s="204"/>
      <c r="F18" s="204"/>
      <c r="G18" s="204"/>
      <c r="H18" s="204"/>
      <c r="I18" s="204"/>
      <c r="J18" s="100"/>
      <c r="K18" s="48"/>
    </row>
    <row r="19" spans="1:11" x14ac:dyDescent="0.35">
      <c r="A19" s="155">
        <v>5</v>
      </c>
      <c r="B19" s="524" t="s">
        <v>791</v>
      </c>
      <c r="C19" s="524"/>
      <c r="D19" s="155" t="s">
        <v>792</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24" t="s">
        <v>793</v>
      </c>
      <c r="C20" s="524"/>
      <c r="D20" s="155" t="s">
        <v>794</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24" t="s">
        <v>795</v>
      </c>
      <c r="C21" s="524"/>
      <c r="D21" s="155" t="s">
        <v>796</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24" t="s">
        <v>797</v>
      </c>
      <c r="C22" s="524"/>
      <c r="D22" s="155" t="s">
        <v>798</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24" t="s">
        <v>799</v>
      </c>
      <c r="C23" s="524"/>
      <c r="D23" s="155" t="s">
        <v>800</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24" t="s">
        <v>801</v>
      </c>
      <c r="C24" s="524"/>
      <c r="D24" s="155" t="s">
        <v>802</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24" t="s">
        <v>803</v>
      </c>
      <c r="C25" s="524"/>
      <c r="D25" s="155" t="s">
        <v>804</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24" t="s">
        <v>805</v>
      </c>
      <c r="C26" s="524"/>
      <c r="D26" s="155" t="s">
        <v>806</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25" t="s">
        <v>807</v>
      </c>
      <c r="C27" s="525"/>
      <c r="D27" s="155" t="s">
        <v>808</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18287285.952934653</v>
      </c>
      <c r="F28" s="18">
        <f t="shared" ref="F28:G28" si="1">SUM(F14:F27)</f>
        <v>2729822.2771233586</v>
      </c>
      <c r="G28" s="18">
        <f t="shared" si="1"/>
        <v>278276.65888184455</v>
      </c>
      <c r="H28" s="18">
        <f>SUM(H14:H27)</f>
        <v>41539.560576358403</v>
      </c>
    </row>
    <row r="29" spans="1:11" s="57" customFormat="1" ht="12" x14ac:dyDescent="0.3">
      <c r="D29" s="76" t="s">
        <v>215</v>
      </c>
      <c r="E29" s="58">
        <f>'As-Filed Schedule 1'!F91</f>
        <v>18389308.25</v>
      </c>
      <c r="G29" s="58">
        <f>'As-Filed Schedule 1'!H91</f>
        <v>316958.17</v>
      </c>
    </row>
    <row r="30" spans="1:11" s="57" customFormat="1" ht="12" x14ac:dyDescent="0.3">
      <c r="D30" s="76" t="s">
        <v>10</v>
      </c>
      <c r="E30" s="426">
        <f>E28-E29</f>
        <v>-102022.29706534743</v>
      </c>
      <c r="G30" s="426">
        <f>G28-G29</f>
        <v>-38681.511118155438</v>
      </c>
    </row>
    <row r="31" spans="1:11" s="57" customFormat="1" ht="12" x14ac:dyDescent="0.3">
      <c r="E31" s="76"/>
      <c r="F31" s="426"/>
      <c r="H31" s="426"/>
    </row>
    <row r="33" spans="1:10" x14ac:dyDescent="0.35">
      <c r="E33" s="10" t="s">
        <v>217</v>
      </c>
    </row>
    <row r="34" spans="1:10" x14ac:dyDescent="0.35">
      <c r="A34" s="24">
        <v>15</v>
      </c>
      <c r="B34" s="523" t="s">
        <v>218</v>
      </c>
      <c r="C34" s="523"/>
      <c r="D34" s="24" t="s">
        <v>110</v>
      </c>
      <c r="E34" s="26">
        <f>'As-Filed Schedule 3'!M167</f>
        <v>33565050</v>
      </c>
      <c r="I34" s="18">
        <f>SUM(I14:I27)+E34</f>
        <v>54901974.449516222</v>
      </c>
      <c r="J34" s="71" t="s">
        <v>3</v>
      </c>
    </row>
    <row r="35" spans="1:10" ht="12.75" customHeight="1" x14ac:dyDescent="0.35">
      <c r="D35" s="76" t="s">
        <v>216</v>
      </c>
      <c r="E35" s="58">
        <f>'As-Filed Schedule 1'!G95</f>
        <v>38575450.909999996</v>
      </c>
    </row>
    <row r="36" spans="1:10" ht="12.75" customHeight="1" x14ac:dyDescent="0.35">
      <c r="D36" s="76" t="s">
        <v>10</v>
      </c>
      <c r="E36" s="59">
        <f>E34-E35</f>
        <v>-5010400.9099999964</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customProperties>
    <customPr name="OrphanNamesChecke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12" t="s">
        <v>766</v>
      </c>
      <c r="B3" s="512"/>
      <c r="C3" s="512"/>
      <c r="D3" s="512"/>
      <c r="E3" s="512"/>
      <c r="F3" s="512"/>
    </row>
    <row r="4" spans="1:19" x14ac:dyDescent="0.35">
      <c r="A4" s="48"/>
    </row>
    <row r="5" spans="1:19" x14ac:dyDescent="0.35">
      <c r="A5" s="1" t="s">
        <v>772</v>
      </c>
      <c r="C5" s="420" t="str">
        <f>'As-Filed Schedule 1'!C5</f>
        <v>Mind Springs Health</v>
      </c>
    </row>
    <row r="6" spans="1:19" x14ac:dyDescent="0.35">
      <c r="A6" s="1" t="s">
        <v>0</v>
      </c>
      <c r="C6" s="35">
        <f>'As-Filed Schedule 1'!C6</f>
        <v>45473</v>
      </c>
      <c r="F6" s="35"/>
      <c r="N6" s="130"/>
      <c r="O6" s="130"/>
      <c r="P6" s="130"/>
    </row>
    <row r="7" spans="1:19" x14ac:dyDescent="0.35">
      <c r="N7" s="40"/>
      <c r="O7" s="40"/>
      <c r="P7" s="40"/>
    </row>
    <row r="8" spans="1:19" x14ac:dyDescent="0.35">
      <c r="A8" s="1" t="s">
        <v>252</v>
      </c>
      <c r="B8" s="1" t="s">
        <v>251</v>
      </c>
      <c r="C8" s="1"/>
      <c r="D8" s="119" t="s">
        <v>954</v>
      </c>
      <c r="E8" s="41" t="s">
        <v>258</v>
      </c>
      <c r="N8" s="40"/>
      <c r="O8" s="40"/>
      <c r="P8" s="40"/>
    </row>
    <row r="9" spans="1:19" x14ac:dyDescent="0.35">
      <c r="N9" s="130"/>
      <c r="O9" s="130"/>
      <c r="P9" s="130"/>
    </row>
    <row r="10" spans="1:19" x14ac:dyDescent="0.35">
      <c r="A10" s="1" t="s">
        <v>253</v>
      </c>
      <c r="B10" s="1" t="s">
        <v>255</v>
      </c>
      <c r="C10" s="1"/>
      <c r="N10" s="40"/>
      <c r="O10" s="40"/>
      <c r="P10" s="40"/>
    </row>
    <row r="11" spans="1:19" x14ac:dyDescent="0.35">
      <c r="A11" s="1"/>
      <c r="B11" s="1"/>
      <c r="C11" s="1"/>
      <c r="N11" s="40"/>
      <c r="O11" s="40"/>
      <c r="P11" s="40"/>
    </row>
    <row r="12" spans="1:19" x14ac:dyDescent="0.35">
      <c r="B12" s="526">
        <v>1</v>
      </c>
      <c r="C12" s="526"/>
      <c r="D12" s="526"/>
      <c r="F12" s="23">
        <v>2</v>
      </c>
      <c r="G12" s="23">
        <v>3</v>
      </c>
      <c r="H12" s="23">
        <v>4</v>
      </c>
      <c r="J12" s="23">
        <v>5</v>
      </c>
      <c r="K12" s="23">
        <v>6</v>
      </c>
      <c r="L12" s="23">
        <v>7</v>
      </c>
      <c r="N12" s="23">
        <v>8</v>
      </c>
      <c r="O12" s="23">
        <v>9</v>
      </c>
      <c r="Q12" s="40"/>
      <c r="R12" s="40"/>
      <c r="S12" s="40"/>
    </row>
    <row r="13" spans="1:19" x14ac:dyDescent="0.35">
      <c r="B13" s="535" t="s">
        <v>254</v>
      </c>
      <c r="C13" s="536"/>
      <c r="D13" s="537"/>
      <c r="F13" s="529" t="s">
        <v>260</v>
      </c>
      <c r="G13" s="534"/>
      <c r="H13" s="530"/>
      <c r="J13" s="529" t="s">
        <v>261</v>
      </c>
      <c r="K13" s="534"/>
      <c r="L13" s="530"/>
      <c r="N13" s="532" t="s">
        <v>249</v>
      </c>
      <c r="O13" s="532" t="s">
        <v>311</v>
      </c>
      <c r="Q13" s="40"/>
      <c r="R13" s="40"/>
      <c r="S13" s="40"/>
    </row>
    <row r="14" spans="1:19" ht="56.25" customHeight="1" x14ac:dyDescent="0.35">
      <c r="B14" s="538"/>
      <c r="C14" s="539"/>
      <c r="D14" s="540"/>
      <c r="F14" s="10" t="s">
        <v>213</v>
      </c>
      <c r="G14" s="151" t="s">
        <v>490</v>
      </c>
      <c r="H14" s="151" t="s">
        <v>214</v>
      </c>
      <c r="I14" s="100"/>
      <c r="J14" s="151" t="s">
        <v>213</v>
      </c>
      <c r="K14" s="151" t="s">
        <v>490</v>
      </c>
      <c r="L14" s="10" t="s">
        <v>214</v>
      </c>
      <c r="N14" s="533"/>
      <c r="O14" s="533"/>
    </row>
    <row r="15" spans="1:19" x14ac:dyDescent="0.35">
      <c r="A15" s="24">
        <v>1</v>
      </c>
      <c r="B15" s="531" t="s">
        <v>956</v>
      </c>
      <c r="C15" s="531"/>
      <c r="D15" s="531"/>
      <c r="F15" s="117">
        <v>2492738.6040167371</v>
      </c>
      <c r="G15" s="68">
        <f>IFERROR(F15*'As-Filed Schedule 1'!$E$103,0)</f>
        <v>372101.87393598893</v>
      </c>
      <c r="H15" s="68">
        <f>SUM(F15:G15)</f>
        <v>2864840.4779527262</v>
      </c>
      <c r="J15" s="117"/>
      <c r="K15" s="68">
        <f>IFERROR(J15*'As-Filed Schedule 1'!$E$103,0)</f>
        <v>0</v>
      </c>
      <c r="L15" s="68">
        <f>SUM(J15:K15)</f>
        <v>0</v>
      </c>
      <c r="N15" s="120"/>
      <c r="O15" s="120"/>
    </row>
    <row r="16" spans="1:19" x14ac:dyDescent="0.35">
      <c r="A16" s="24">
        <v>2</v>
      </c>
      <c r="B16" s="531" t="s">
        <v>957</v>
      </c>
      <c r="C16" s="531"/>
      <c r="D16" s="531"/>
      <c r="F16" s="117">
        <v>104095.07089315614</v>
      </c>
      <c r="G16" s="68">
        <f>IFERROR(F16*'As-Filed Schedule 1'!$E$103,0)</f>
        <v>15538.721502699103</v>
      </c>
      <c r="H16" s="68">
        <f t="shared" ref="H16:H72" si="0">SUM(F16:G16)</f>
        <v>119633.79239585524</v>
      </c>
      <c r="J16" s="117"/>
      <c r="K16" s="68">
        <f>IFERROR(J16*'As-Filed Schedule 1'!$E$103,0)</f>
        <v>0</v>
      </c>
      <c r="L16" s="68">
        <f t="shared" ref="L16:L72" si="1">SUM(J16:K16)</f>
        <v>0</v>
      </c>
      <c r="N16" s="120"/>
      <c r="O16" s="120"/>
    </row>
    <row r="17" spans="1:15" x14ac:dyDescent="0.35">
      <c r="A17" s="24">
        <v>3</v>
      </c>
      <c r="B17" s="531" t="s">
        <v>958</v>
      </c>
      <c r="C17" s="531"/>
      <c r="D17" s="531"/>
      <c r="F17" s="117">
        <v>283431.46401381161</v>
      </c>
      <c r="G17" s="68">
        <f>IFERROR(F17*'As-Filed Schedule 1'!$E$103,0)</f>
        <v>42309.040635875666</v>
      </c>
      <c r="H17" s="68">
        <f t="shared" si="0"/>
        <v>325740.50464968727</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2880265.1389237051</v>
      </c>
      <c r="G73" s="18">
        <f t="shared" ref="G73:H73" si="2">SUM(G15:G72)</f>
        <v>429949.63607456372</v>
      </c>
      <c r="H73" s="18">
        <f t="shared" si="2"/>
        <v>3310214.7749982686</v>
      </c>
      <c r="J73" s="18">
        <f>SUM(J15:J72)</f>
        <v>0</v>
      </c>
      <c r="K73" s="18">
        <f t="shared" ref="K73:L73" si="3">SUM(K15:K72)</f>
        <v>0</v>
      </c>
      <c r="L73" s="18">
        <f t="shared" si="3"/>
        <v>0</v>
      </c>
      <c r="O73" s="83" t="s">
        <v>312</v>
      </c>
    </row>
    <row r="74" spans="1:15" ht="15" thickBot="1" x14ac:dyDescent="0.4">
      <c r="H74" s="37" t="s">
        <v>256</v>
      </c>
      <c r="L74" s="37" t="s">
        <v>257</v>
      </c>
    </row>
    <row r="75" spans="1:15" ht="16" thickBot="1" x14ac:dyDescent="0.4">
      <c r="A75" s="24">
        <v>60</v>
      </c>
      <c r="B75" s="143" t="s">
        <v>462</v>
      </c>
      <c r="C75" s="72"/>
      <c r="E75" s="72"/>
      <c r="F75" s="75">
        <f>H73+L73</f>
        <v>3310214.7749982686</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36:D36"/>
    <mergeCell ref="B72:D72"/>
    <mergeCell ref="B40:D40"/>
    <mergeCell ref="B58:D58"/>
    <mergeCell ref="B59:D59"/>
    <mergeCell ref="B53:D53"/>
    <mergeCell ref="B54:D54"/>
    <mergeCell ref="B55:D55"/>
    <mergeCell ref="B56:D56"/>
    <mergeCell ref="B57:D57"/>
    <mergeCell ref="B51:D51"/>
    <mergeCell ref="B52:D52"/>
    <mergeCell ref="B41:D41"/>
    <mergeCell ref="B42:D42"/>
    <mergeCell ref="B43:D43"/>
    <mergeCell ref="B44:D44"/>
    <mergeCell ref="B46:D46"/>
    <mergeCell ref="B47:D47"/>
    <mergeCell ref="B48:D48"/>
    <mergeCell ref="B49:D49"/>
    <mergeCell ref="B45:D45"/>
    <mergeCell ref="B50:D50"/>
    <mergeCell ref="B71:D71"/>
    <mergeCell ref="B60:D60"/>
    <mergeCell ref="B61:D61"/>
    <mergeCell ref="B62:D62"/>
    <mergeCell ref="B63:D63"/>
    <mergeCell ref="B64:D64"/>
    <mergeCell ref="B65:D65"/>
    <mergeCell ref="B66:D66"/>
    <mergeCell ref="B67:D67"/>
    <mergeCell ref="B68:D68"/>
    <mergeCell ref="B69:D69"/>
    <mergeCell ref="B70:D70"/>
    <mergeCell ref="O13:O14"/>
    <mergeCell ref="F13:H13"/>
    <mergeCell ref="J13:L13"/>
    <mergeCell ref="B13:D14"/>
    <mergeCell ref="N13:N14"/>
    <mergeCell ref="B39:D39"/>
    <mergeCell ref="B21:D21"/>
    <mergeCell ref="B22:D22"/>
    <mergeCell ref="B23:D23"/>
    <mergeCell ref="B24:D24"/>
    <mergeCell ref="B27:D27"/>
    <mergeCell ref="B28:D28"/>
    <mergeCell ref="B29:D29"/>
    <mergeCell ref="B37:D37"/>
    <mergeCell ref="B38:D38"/>
    <mergeCell ref="B30:D30"/>
    <mergeCell ref="B31:D31"/>
    <mergeCell ref="B32:D32"/>
    <mergeCell ref="B33:D33"/>
    <mergeCell ref="B34:D34"/>
    <mergeCell ref="B35:D35"/>
    <mergeCell ref="B20:D20"/>
    <mergeCell ref="B25:D25"/>
    <mergeCell ref="B26:D26"/>
    <mergeCell ref="B12:D12"/>
    <mergeCell ref="A3:F3"/>
    <mergeCell ref="B15:D15"/>
    <mergeCell ref="B16:D16"/>
    <mergeCell ref="B17:D17"/>
    <mergeCell ref="B18:D18"/>
    <mergeCell ref="B19:D19"/>
  </mergeCells>
  <pageMargins left="0.7" right="0.7" top="0.75" bottom="0.75" header="0.3" footer="0.3"/>
  <pageSetup orientation="portrait" horizontalDpi="1200" verticalDpi="1200" r:id="rId3"/>
  <customProperties>
    <customPr name="OrphanNamesChecke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2" t="s">
        <v>767</v>
      </c>
      <c r="B3" s="512"/>
      <c r="C3" s="512"/>
      <c r="D3" s="512"/>
      <c r="E3" s="512"/>
      <c r="F3" s="512"/>
      <c r="G3" s="512"/>
      <c r="H3" s="512"/>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259</v>
      </c>
      <c r="C8" s="1"/>
      <c r="F8" s="119" t="s">
        <v>954</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35" t="s">
        <v>254</v>
      </c>
      <c r="C13" s="536"/>
      <c r="D13" s="537"/>
      <c r="F13" s="529" t="s">
        <v>260</v>
      </c>
      <c r="G13" s="534"/>
      <c r="H13" s="530"/>
      <c r="J13" s="529" t="s">
        <v>261</v>
      </c>
      <c r="K13" s="534"/>
      <c r="L13" s="530"/>
      <c r="N13" s="532" t="s">
        <v>249</v>
      </c>
      <c r="O13" s="528" t="s">
        <v>311</v>
      </c>
    </row>
    <row r="14" spans="1:15" ht="55.5" customHeight="1" x14ac:dyDescent="0.35">
      <c r="B14" s="538"/>
      <c r="C14" s="539"/>
      <c r="D14" s="540"/>
      <c r="E14" s="48"/>
      <c r="F14" s="10" t="s">
        <v>213</v>
      </c>
      <c r="G14" s="151" t="s">
        <v>490</v>
      </c>
      <c r="H14" s="151" t="s">
        <v>214</v>
      </c>
      <c r="I14" s="100"/>
      <c r="J14" s="151" t="s">
        <v>213</v>
      </c>
      <c r="K14" s="151" t="s">
        <v>490</v>
      </c>
      <c r="L14" s="10" t="s">
        <v>214</v>
      </c>
      <c r="M14" s="48"/>
      <c r="N14" s="533"/>
      <c r="O14" s="528"/>
    </row>
    <row r="15" spans="1:15" x14ac:dyDescent="0.35">
      <c r="A15" s="24">
        <v>1</v>
      </c>
      <c r="B15" s="562" t="s">
        <v>959</v>
      </c>
      <c r="C15" s="563"/>
      <c r="D15" s="564"/>
      <c r="F15" s="117"/>
      <c r="G15" s="181">
        <f>IFERROR(F15*'As-Filed Schedule 1'!$E$103,0)</f>
        <v>0</v>
      </c>
      <c r="H15" s="181">
        <f>SUM(F15:G15)</f>
        <v>0</v>
      </c>
      <c r="I15" s="100"/>
      <c r="J15" s="180">
        <v>14137.73263825416</v>
      </c>
      <c r="K15" s="181">
        <f>IFERROR(J15*'As-Filed Schedule 1'!$E$103,0)</f>
        <v>2110.4005046591897</v>
      </c>
      <c r="L15" s="68">
        <f>SUM(J15:K15)</f>
        <v>16248.13314291335</v>
      </c>
      <c r="N15" s="120"/>
      <c r="O15" s="120"/>
    </row>
    <row r="16" spans="1:15" x14ac:dyDescent="0.35">
      <c r="A16" s="24">
        <v>2</v>
      </c>
      <c r="B16" s="562" t="s">
        <v>960</v>
      </c>
      <c r="C16" s="563"/>
      <c r="D16" s="564"/>
      <c r="F16" s="117"/>
      <c r="G16" s="68">
        <f>IFERROR(F16*'As-Filed Schedule 1'!$E$103,0)</f>
        <v>0</v>
      </c>
      <c r="H16" s="68">
        <f t="shared" ref="H16:H72" si="0">SUM(F16:G16)</f>
        <v>0</v>
      </c>
      <c r="J16" s="117">
        <v>41347.738531586379</v>
      </c>
      <c r="K16" s="68">
        <f>IFERROR(J16*'As-Filed Schedule 1'!$E$103,0)</f>
        <v>6172.1557831321188</v>
      </c>
      <c r="L16" s="68">
        <f t="shared" ref="L16:L72" si="1">SUM(J16:K16)</f>
        <v>47519.894314718498</v>
      </c>
      <c r="N16" s="120"/>
      <c r="O16" s="120"/>
    </row>
    <row r="17" spans="1:15" x14ac:dyDescent="0.35">
      <c r="A17" s="24">
        <v>3</v>
      </c>
      <c r="B17" s="562" t="s">
        <v>961</v>
      </c>
      <c r="C17" s="563"/>
      <c r="D17" s="564"/>
      <c r="F17" s="117"/>
      <c r="G17" s="68">
        <f>IFERROR(F17*'As-Filed Schedule 1'!$E$103,0)</f>
        <v>0</v>
      </c>
      <c r="H17" s="68">
        <f t="shared" si="0"/>
        <v>0</v>
      </c>
      <c r="J17" s="117">
        <v>-8.3728795055147062E-2</v>
      </c>
      <c r="K17" s="68">
        <f>IFERROR(J17*'As-Filed Schedule 1'!$E$103,0)</f>
        <v>-1.2498559412615169E-2</v>
      </c>
      <c r="L17" s="68">
        <f t="shared" si="1"/>
        <v>-9.6227354467762233E-2</v>
      </c>
      <c r="N17" s="120"/>
      <c r="O17" s="120"/>
    </row>
    <row r="18" spans="1:15" x14ac:dyDescent="0.35">
      <c r="A18" s="24">
        <v>4</v>
      </c>
      <c r="B18" s="562" t="s">
        <v>962</v>
      </c>
      <c r="C18" s="563"/>
      <c r="D18" s="564"/>
      <c r="F18" s="117"/>
      <c r="G18" s="68">
        <f>IFERROR(F18*'As-Filed Schedule 1'!$E$103,0)</f>
        <v>0</v>
      </c>
      <c r="H18" s="68">
        <f t="shared" si="0"/>
        <v>0</v>
      </c>
      <c r="J18" s="117">
        <v>-8.3728795055147062E-2</v>
      </c>
      <c r="K18" s="68">
        <f>IFERROR(J18*'As-Filed Schedule 1'!$E$103,0)</f>
        <v>-1.2498559412615169E-2</v>
      </c>
      <c r="L18" s="68">
        <f t="shared" si="1"/>
        <v>-9.6227354467762233E-2</v>
      </c>
      <c r="N18" s="120"/>
      <c r="O18" s="120"/>
    </row>
    <row r="19" spans="1:15" x14ac:dyDescent="0.35">
      <c r="A19" s="24">
        <v>5</v>
      </c>
      <c r="B19" s="531" t="s">
        <v>963</v>
      </c>
      <c r="C19" s="531"/>
      <c r="D19" s="531"/>
      <c r="F19" s="117"/>
      <c r="G19" s="68">
        <f>IFERROR(F19*'As-Filed Schedule 1'!$E$103,0)</f>
        <v>0</v>
      </c>
      <c r="H19" s="68">
        <f t="shared" si="0"/>
        <v>0</v>
      </c>
      <c r="J19" s="117">
        <v>8783.7576350490781</v>
      </c>
      <c r="K19" s="68">
        <f>IFERROR(J19*'As-Filed Schedule 1'!$E$103,0)</f>
        <v>1311.189496939073</v>
      </c>
      <c r="L19" s="68">
        <f t="shared" si="1"/>
        <v>10094.94713198815</v>
      </c>
      <c r="N19" s="120"/>
      <c r="O19" s="120"/>
    </row>
    <row r="20" spans="1:15" x14ac:dyDescent="0.35">
      <c r="A20" s="24">
        <v>6</v>
      </c>
      <c r="B20" s="531" t="s">
        <v>964</v>
      </c>
      <c r="C20" s="531"/>
      <c r="D20" s="531"/>
      <c r="F20" s="117"/>
      <c r="G20" s="68">
        <f>IFERROR(F20*'As-Filed Schedule 1'!$E$103,0)</f>
        <v>0</v>
      </c>
      <c r="H20" s="68">
        <f t="shared" si="0"/>
        <v>0</v>
      </c>
      <c r="J20" s="117">
        <v>1436.9326485376703</v>
      </c>
      <c r="K20" s="68">
        <f>IFERROR(J20*'As-Filed Schedule 1'!$E$103,0)</f>
        <v>214.49715199944842</v>
      </c>
      <c r="L20" s="68">
        <f t="shared" si="1"/>
        <v>1651.4298005371188</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65705.993995837169</v>
      </c>
      <c r="K73" s="18">
        <f t="shared" ref="K73:L73" si="3">SUM(K15:K72)</f>
        <v>9808.2179396110059</v>
      </c>
      <c r="L73" s="18">
        <f t="shared" si="3"/>
        <v>75514.211935448198</v>
      </c>
      <c r="O73" s="83" t="s">
        <v>312</v>
      </c>
    </row>
    <row r="74" spans="1:15" ht="15" thickBot="1" x14ac:dyDescent="0.4">
      <c r="H74" s="37" t="s">
        <v>256</v>
      </c>
      <c r="L74" s="37" t="s">
        <v>257</v>
      </c>
    </row>
    <row r="75" spans="1:15" s="72" customFormat="1" ht="16" thickBot="1" x14ac:dyDescent="0.4">
      <c r="A75" s="24">
        <v>60</v>
      </c>
      <c r="B75" s="73" t="s">
        <v>459</v>
      </c>
      <c r="F75" s="75">
        <f>H73+L73</f>
        <v>75514.211935448198</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49:D49"/>
    <mergeCell ref="B40:D40"/>
    <mergeCell ref="B41:D41"/>
    <mergeCell ref="B42:D42"/>
    <mergeCell ref="B43:D43"/>
    <mergeCell ref="B44:D44"/>
    <mergeCell ref="B45:D45"/>
    <mergeCell ref="B46:D46"/>
    <mergeCell ref="B35:D35"/>
    <mergeCell ref="B36:D36"/>
    <mergeCell ref="B63:D63"/>
    <mergeCell ref="B58:D58"/>
    <mergeCell ref="B59:D59"/>
    <mergeCell ref="B60:D60"/>
    <mergeCell ref="B61:D61"/>
    <mergeCell ref="B62:D62"/>
    <mergeCell ref="B53:D53"/>
    <mergeCell ref="B54:D54"/>
    <mergeCell ref="B55:D55"/>
    <mergeCell ref="B56:D56"/>
    <mergeCell ref="B57:D57"/>
    <mergeCell ref="B50:D50"/>
    <mergeCell ref="B47:D47"/>
    <mergeCell ref="B48:D48"/>
    <mergeCell ref="B64:D64"/>
    <mergeCell ref="B70:D70"/>
    <mergeCell ref="B71:D71"/>
    <mergeCell ref="B72:D72"/>
    <mergeCell ref="B65:D65"/>
    <mergeCell ref="B66:D66"/>
    <mergeCell ref="B67:D67"/>
    <mergeCell ref="B68:D68"/>
    <mergeCell ref="B69:D69"/>
    <mergeCell ref="B51:D51"/>
    <mergeCell ref="B52:D52"/>
    <mergeCell ref="A3:H3"/>
    <mergeCell ref="F13:H13"/>
    <mergeCell ref="B12:D12"/>
    <mergeCell ref="B38:D38"/>
    <mergeCell ref="B39:D39"/>
    <mergeCell ref="B31:D31"/>
    <mergeCell ref="B16:D16"/>
    <mergeCell ref="B17:D17"/>
    <mergeCell ref="B18:D18"/>
    <mergeCell ref="B19:D19"/>
    <mergeCell ref="B20:D20"/>
    <mergeCell ref="B21:D21"/>
    <mergeCell ref="B15:D15"/>
    <mergeCell ref="B33:D33"/>
    <mergeCell ref="O13:O14"/>
    <mergeCell ref="J13:L13"/>
    <mergeCell ref="B13:D14"/>
    <mergeCell ref="N13:N14"/>
    <mergeCell ref="B37:D37"/>
    <mergeCell ref="B32:D32"/>
    <mergeCell ref="B27:D27"/>
    <mergeCell ref="B28:D28"/>
    <mergeCell ref="B29:D29"/>
    <mergeCell ref="B30:D30"/>
    <mergeCell ref="B22:D22"/>
    <mergeCell ref="B23:D23"/>
    <mergeCell ref="B24:D24"/>
    <mergeCell ref="B25:D25"/>
    <mergeCell ref="B26:D26"/>
    <mergeCell ref="B34:D34"/>
  </mergeCells>
  <pageMargins left="0.7" right="0.7" top="0.75" bottom="0.75" header="0.3" footer="0.3"/>
  <pageSetup orientation="portrait" horizontalDpi="1200" verticalDpi="1200" r:id="rId3"/>
  <customProperties>
    <customPr name="OrphanNamesChecke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2" t="s">
        <v>768</v>
      </c>
      <c r="B3" s="512"/>
      <c r="C3" s="512"/>
      <c r="D3" s="512"/>
      <c r="E3" s="512"/>
      <c r="F3" s="512"/>
      <c r="G3" s="512"/>
      <c r="H3" s="512"/>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203</v>
      </c>
      <c r="C8" s="1"/>
      <c r="D8" s="119" t="s">
        <v>954</v>
      </c>
      <c r="E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35" t="s">
        <v>254</v>
      </c>
      <c r="C13" s="536"/>
      <c r="D13" s="537"/>
      <c r="F13" s="529" t="s">
        <v>260</v>
      </c>
      <c r="G13" s="534"/>
      <c r="H13" s="530"/>
      <c r="J13" s="529" t="s">
        <v>261</v>
      </c>
      <c r="K13" s="534"/>
      <c r="L13" s="530"/>
      <c r="N13" s="532" t="s">
        <v>249</v>
      </c>
      <c r="O13" s="528" t="s">
        <v>311</v>
      </c>
    </row>
    <row r="14" spans="1:15" ht="55.5" customHeight="1" x14ac:dyDescent="0.35">
      <c r="B14" s="538"/>
      <c r="C14" s="539"/>
      <c r="D14" s="540"/>
      <c r="E14" s="48"/>
      <c r="F14" s="10" t="s">
        <v>213</v>
      </c>
      <c r="G14" s="151" t="s">
        <v>490</v>
      </c>
      <c r="H14" s="151" t="s">
        <v>214</v>
      </c>
      <c r="I14" s="100"/>
      <c r="J14" s="151" t="s">
        <v>213</v>
      </c>
      <c r="K14" s="151" t="s">
        <v>490</v>
      </c>
      <c r="L14" s="10" t="s">
        <v>214</v>
      </c>
      <c r="M14" s="48"/>
      <c r="N14" s="533"/>
      <c r="O14" s="528"/>
    </row>
    <row r="15" spans="1:15" x14ac:dyDescent="0.35">
      <c r="A15" s="24">
        <v>1</v>
      </c>
      <c r="B15" s="531" t="s">
        <v>965</v>
      </c>
      <c r="C15" s="531"/>
      <c r="D15" s="531"/>
      <c r="F15" s="117">
        <v>21591.740948535549</v>
      </c>
      <c r="G15" s="68">
        <f>IFERROR(F15*'As-Filed Schedule 1'!$E$103,0)</f>
        <v>3223.0925679668899</v>
      </c>
      <c r="H15" s="68">
        <f>SUM(F15:G15)</f>
        <v>24814.83351650244</v>
      </c>
      <c r="J15" s="117"/>
      <c r="K15" s="68">
        <f>IFERROR(J15*'As-Filed Schedule 1'!$E$103,0)</f>
        <v>0</v>
      </c>
      <c r="L15" s="68">
        <f>SUM(J15:K15)</f>
        <v>0</v>
      </c>
      <c r="N15" s="120"/>
      <c r="O15" s="120"/>
    </row>
    <row r="16" spans="1:15" x14ac:dyDescent="0.35">
      <c r="A16" s="24">
        <v>2</v>
      </c>
      <c r="B16" s="562" t="s">
        <v>966</v>
      </c>
      <c r="C16" s="563"/>
      <c r="D16" s="564"/>
      <c r="F16" s="117">
        <v>75428.895660622118</v>
      </c>
      <c r="G16" s="68">
        <f>IFERROR(F16*'As-Filed Schedule 1'!$E$103,0)</f>
        <v>11259.597528201646</v>
      </c>
      <c r="H16" s="68">
        <f t="shared" ref="H16:H72" si="0">SUM(F16:G16)</f>
        <v>86688.493188823762</v>
      </c>
      <c r="J16" s="117"/>
      <c r="K16" s="68">
        <f>IFERROR(J16*'As-Filed Schedule 1'!$E$103,0)</f>
        <v>0</v>
      </c>
      <c r="L16" s="68">
        <f t="shared" ref="L16:L72" si="1">SUM(J16:K16)</f>
        <v>0</v>
      </c>
      <c r="N16" s="120"/>
      <c r="O16" s="120"/>
    </row>
    <row r="17" spans="1:15" x14ac:dyDescent="0.35">
      <c r="A17" s="24">
        <v>3</v>
      </c>
      <c r="B17" s="562" t="s">
        <v>967</v>
      </c>
      <c r="C17" s="563"/>
      <c r="D17" s="564"/>
      <c r="F17" s="117">
        <v>37134.379971218877</v>
      </c>
      <c r="G17" s="68">
        <f>IFERROR(F17*'As-Filed Schedule 1'!$E$103,0)</f>
        <v>5543.2095256502162</v>
      </c>
      <c r="H17" s="68">
        <f t="shared" si="0"/>
        <v>42677.589496869092</v>
      </c>
      <c r="J17" s="117"/>
      <c r="K17" s="68">
        <f>IFERROR(J17*'As-Filed Schedule 1'!$E$103,0)</f>
        <v>0</v>
      </c>
      <c r="L17" s="68">
        <f t="shared" si="1"/>
        <v>0</v>
      </c>
      <c r="N17" s="120"/>
      <c r="O17" s="120"/>
    </row>
    <row r="18" spans="1:15" x14ac:dyDescent="0.35">
      <c r="A18" s="24">
        <v>4</v>
      </c>
      <c r="B18" s="562" t="s">
        <v>968</v>
      </c>
      <c r="C18" s="563"/>
      <c r="D18" s="564"/>
      <c r="F18" s="117"/>
      <c r="G18" s="68">
        <f>IFERROR(F18*'As-Filed Schedule 1'!$E$103,0)</f>
        <v>0</v>
      </c>
      <c r="H18" s="68">
        <f t="shared" si="0"/>
        <v>0</v>
      </c>
      <c r="J18" s="117">
        <v>161963.94501083752</v>
      </c>
      <c r="K18" s="68">
        <f>IFERROR(J18*'As-Filed Schedule 1'!$E$103,0)</f>
        <v>24177.058658090031</v>
      </c>
      <c r="L18" s="68">
        <f t="shared" si="1"/>
        <v>186141.00366892756</v>
      </c>
      <c r="N18" s="120"/>
      <c r="O18" s="120"/>
    </row>
    <row r="19" spans="1:15" x14ac:dyDescent="0.35">
      <c r="A19" s="24">
        <v>5</v>
      </c>
      <c r="B19" s="562" t="s">
        <v>969</v>
      </c>
      <c r="C19" s="563"/>
      <c r="D19" s="564"/>
      <c r="F19" s="117">
        <v>179506.60329490353</v>
      </c>
      <c r="G19" s="68">
        <f>IFERROR(F19*'As-Filed Schedule 1'!$E$103,0)</f>
        <v>26795.727142142532</v>
      </c>
      <c r="H19" s="68">
        <f t="shared" si="0"/>
        <v>206302.33043704607</v>
      </c>
      <c r="J19" s="117"/>
      <c r="K19" s="68">
        <f>IFERROR(J19*'As-Filed Schedule 1'!$E$103,0)</f>
        <v>0</v>
      </c>
      <c r="L19" s="68">
        <f t="shared" si="1"/>
        <v>0</v>
      </c>
      <c r="N19" s="120"/>
      <c r="O19" s="120"/>
    </row>
    <row r="20" spans="1:15" x14ac:dyDescent="0.35">
      <c r="A20" s="24">
        <v>6</v>
      </c>
      <c r="B20" s="562" t="s">
        <v>970</v>
      </c>
      <c r="C20" s="563"/>
      <c r="D20" s="564"/>
      <c r="F20" s="117">
        <v>34863.98996450338</v>
      </c>
      <c r="G20" s="68">
        <f>IFERROR(F20*'As-Filed Schedule 1'!$E$103,0)</f>
        <v>5204.2985886177239</v>
      </c>
      <c r="H20" s="68">
        <f t="shared" si="0"/>
        <v>40068.288553121107</v>
      </c>
      <c r="J20" s="117"/>
      <c r="K20" s="68">
        <f>IFERROR(J20*'As-Filed Schedule 1'!$E$103,0)</f>
        <v>0</v>
      </c>
      <c r="L20" s="68">
        <f t="shared" si="1"/>
        <v>0</v>
      </c>
      <c r="N20" s="120"/>
      <c r="O20" s="120"/>
    </row>
    <row r="21" spans="1:15" x14ac:dyDescent="0.35">
      <c r="A21" s="24">
        <v>7</v>
      </c>
      <c r="B21" s="562" t="s">
        <v>971</v>
      </c>
      <c r="C21" s="563"/>
      <c r="D21" s="564"/>
      <c r="F21" s="117">
        <v>66252.303451373227</v>
      </c>
      <c r="G21" s="68">
        <f>IFERROR(F21*'As-Filed Schedule 1'!$E$103,0)</f>
        <v>9889.7679151384618</v>
      </c>
      <c r="H21" s="68">
        <f t="shared" si="0"/>
        <v>76142.071366511693</v>
      </c>
      <c r="J21" s="117"/>
      <c r="K21" s="68">
        <f>IFERROR(J21*'As-Filed Schedule 1'!$E$103,0)</f>
        <v>0</v>
      </c>
      <c r="L21" s="68">
        <f t="shared" si="1"/>
        <v>0</v>
      </c>
      <c r="N21" s="120"/>
      <c r="O21" s="120"/>
    </row>
    <row r="22" spans="1:15" x14ac:dyDescent="0.35">
      <c r="A22" s="24">
        <v>8</v>
      </c>
      <c r="B22" s="562" t="s">
        <v>972</v>
      </c>
      <c r="C22" s="563"/>
      <c r="D22" s="564"/>
      <c r="F22" s="117">
        <v>45485.196939236521</v>
      </c>
      <c r="G22" s="68">
        <f>IFERROR(F22*'As-Filed Schedule 1'!$E$103,0)</f>
        <v>6789.7720965065046</v>
      </c>
      <c r="H22" s="68">
        <f t="shared" si="0"/>
        <v>52274.969035743023</v>
      </c>
      <c r="J22" s="117"/>
      <c r="K22" s="68">
        <f>IFERROR(J22*'As-Filed Schedule 1'!$E$103,0)</f>
        <v>0</v>
      </c>
      <c r="L22" s="68">
        <f t="shared" si="1"/>
        <v>0</v>
      </c>
      <c r="N22" s="120"/>
      <c r="O22" s="120"/>
    </row>
    <row r="23" spans="1:15" x14ac:dyDescent="0.35">
      <c r="A23" s="24">
        <v>9</v>
      </c>
      <c r="B23" s="562" t="s">
        <v>973</v>
      </c>
      <c r="C23" s="563"/>
      <c r="D23" s="564"/>
      <c r="F23" s="117">
        <v>136230.16150312277</v>
      </c>
      <c r="G23" s="68">
        <f>IFERROR(F23*'As-Filed Schedule 1'!$E$103,0)</f>
        <v>20335.665480620944</v>
      </c>
      <c r="H23" s="68">
        <f t="shared" si="0"/>
        <v>156565.82698374373</v>
      </c>
      <c r="J23" s="117"/>
      <c r="K23" s="68">
        <f>IFERROR(J23*'As-Filed Schedule 1'!$E$103,0)</f>
        <v>0</v>
      </c>
      <c r="L23" s="68">
        <f t="shared" si="1"/>
        <v>0</v>
      </c>
      <c r="N23" s="120"/>
      <c r="O23" s="120"/>
    </row>
    <row r="24" spans="1:15" x14ac:dyDescent="0.35">
      <c r="A24" s="24">
        <v>10</v>
      </c>
      <c r="B24" s="562" t="s">
        <v>974</v>
      </c>
      <c r="C24" s="563"/>
      <c r="D24" s="564"/>
      <c r="F24" s="117">
        <v>234386.32803081794</v>
      </c>
      <c r="G24" s="68">
        <f>IFERROR(F24*'As-Filed Schedule 1'!$E$103,0)</f>
        <v>34987.861039543306</v>
      </c>
      <c r="H24" s="68">
        <f t="shared" si="0"/>
        <v>269374.18907036126</v>
      </c>
      <c r="J24" s="117"/>
      <c r="K24" s="68">
        <f>IFERROR(J24*'As-Filed Schedule 1'!$E$103,0)</f>
        <v>0</v>
      </c>
      <c r="L24" s="68">
        <f t="shared" si="1"/>
        <v>0</v>
      </c>
      <c r="N24" s="120"/>
      <c r="O24" s="120"/>
    </row>
    <row r="25" spans="1:15" x14ac:dyDescent="0.35">
      <c r="A25" s="24">
        <v>11</v>
      </c>
      <c r="B25" s="562" t="s">
        <v>975</v>
      </c>
      <c r="C25" s="563"/>
      <c r="D25" s="564"/>
      <c r="F25" s="117">
        <v>13465830.639033508</v>
      </c>
      <c r="G25" s="68">
        <f>IFERROR(F25*'As-Filed Schedule 1'!$E$103,0)</f>
        <v>2010102.7868766382</v>
      </c>
      <c r="H25" s="68">
        <f t="shared" si="0"/>
        <v>15475933.425910145</v>
      </c>
      <c r="J25" s="117">
        <v>427.84367663241954</v>
      </c>
      <c r="K25" s="68">
        <f>IFERROR(J25*'As-Filed Schedule 1'!$E$103,0)</f>
        <v>63.86607627853693</v>
      </c>
      <c r="L25" s="68">
        <f t="shared" si="1"/>
        <v>491.70975291095647</v>
      </c>
      <c r="N25" s="120"/>
      <c r="O25" s="120"/>
    </row>
    <row r="26" spans="1:15" x14ac:dyDescent="0.35">
      <c r="A26" s="24">
        <v>12</v>
      </c>
      <c r="B26" s="562" t="s">
        <v>976</v>
      </c>
      <c r="C26" s="563"/>
      <c r="D26" s="564"/>
      <c r="F26" s="117"/>
      <c r="G26" s="68">
        <f>IFERROR(F26*'As-Filed Schedule 1'!$E$103,0)</f>
        <v>0</v>
      </c>
      <c r="H26" s="68">
        <f t="shared" si="0"/>
        <v>0</v>
      </c>
      <c r="J26" s="117">
        <v>2294.2108489085567</v>
      </c>
      <c r="K26" s="68">
        <f>IFERROR(J26*'As-Filed Schedule 1'!$E$103,0)</f>
        <v>342.46677718536188</v>
      </c>
      <c r="L26" s="68">
        <f t="shared" si="1"/>
        <v>2636.6776260939187</v>
      </c>
      <c r="N26" s="120"/>
      <c r="O26" s="120"/>
    </row>
    <row r="27" spans="1:15" x14ac:dyDescent="0.35">
      <c r="A27" s="24">
        <v>13</v>
      </c>
      <c r="B27" s="562" t="s">
        <v>977</v>
      </c>
      <c r="C27" s="563"/>
      <c r="D27" s="564"/>
      <c r="F27" s="117">
        <v>103153.65571985385</v>
      </c>
      <c r="G27" s="68">
        <f>IFERROR(F27*'As-Filed Schedule 1'!$E$103,0)</f>
        <v>15398.192387623385</v>
      </c>
      <c r="H27" s="68">
        <f t="shared" si="0"/>
        <v>118551.84810747724</v>
      </c>
      <c r="J27" s="117"/>
      <c r="K27" s="68">
        <f>IFERROR(J27*'As-Filed Schedule 1'!$E$103,0)</f>
        <v>0</v>
      </c>
      <c r="L27" s="68">
        <f t="shared" si="1"/>
        <v>0</v>
      </c>
      <c r="N27" s="120"/>
      <c r="O27" s="120"/>
    </row>
    <row r="28" spans="1:15" x14ac:dyDescent="0.35">
      <c r="A28" s="24">
        <v>14</v>
      </c>
      <c r="B28" s="562" t="s">
        <v>978</v>
      </c>
      <c r="C28" s="563"/>
      <c r="D28" s="564"/>
      <c r="F28" s="117">
        <v>43498.396361372877</v>
      </c>
      <c r="G28" s="68">
        <f>IFERROR(F28*'As-Filed Schedule 1'!$E$103,0)</f>
        <v>6493.1937802045504</v>
      </c>
      <c r="H28" s="68">
        <f t="shared" si="0"/>
        <v>49991.590141577428</v>
      </c>
      <c r="J28" s="117">
        <v>47884.665349628907</v>
      </c>
      <c r="K28" s="68">
        <f>IFERROR(J28*'As-Filed Schedule 1'!$E$103,0)</f>
        <v>7147.9511251934691</v>
      </c>
      <c r="L28" s="68">
        <f t="shared" si="1"/>
        <v>55032.616474822375</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14443362.290879069</v>
      </c>
      <c r="G73" s="18">
        <f t="shared" ref="G73:H73" si="2">SUM(G15:G72)</f>
        <v>2156023.1649288544</v>
      </c>
      <c r="H73" s="18">
        <f t="shared" si="2"/>
        <v>16599385.455807922</v>
      </c>
      <c r="J73" s="18">
        <f>SUM(J15:J72)</f>
        <v>212570.66488600738</v>
      </c>
      <c r="K73" s="18">
        <f>SUM(K15:K72)</f>
        <v>31731.342636747395</v>
      </c>
      <c r="L73" s="18">
        <f>SUM(L15:L72)</f>
        <v>244302.00752275478</v>
      </c>
      <c r="O73" s="83" t="s">
        <v>312</v>
      </c>
    </row>
    <row r="74" spans="1:15" ht="15" thickBot="1" x14ac:dyDescent="0.4">
      <c r="H74" s="37" t="s">
        <v>256</v>
      </c>
      <c r="L74" s="37" t="s">
        <v>257</v>
      </c>
    </row>
    <row r="75" spans="1:15" s="72" customFormat="1" ht="16" thickBot="1" x14ac:dyDescent="0.4">
      <c r="A75" s="24">
        <v>60</v>
      </c>
      <c r="B75" s="73" t="s">
        <v>460</v>
      </c>
      <c r="F75" s="75">
        <f>H73+L73</f>
        <v>16843687.463330679</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5">
    <mergeCell ref="B64:D64"/>
    <mergeCell ref="B65:D65"/>
    <mergeCell ref="B55:D55"/>
    <mergeCell ref="B56:D56"/>
    <mergeCell ref="B45:D45"/>
    <mergeCell ref="B46:D46"/>
    <mergeCell ref="B47:D47"/>
    <mergeCell ref="B48:D48"/>
    <mergeCell ref="B49:D49"/>
    <mergeCell ref="B50:D50"/>
    <mergeCell ref="B51:D51"/>
    <mergeCell ref="B52:D52"/>
    <mergeCell ref="B53:D53"/>
    <mergeCell ref="B54:D54"/>
    <mergeCell ref="B59:D59"/>
    <mergeCell ref="B60:D60"/>
    <mergeCell ref="B42:D42"/>
    <mergeCell ref="B43:D43"/>
    <mergeCell ref="B44:D44"/>
    <mergeCell ref="B29:D29"/>
    <mergeCell ref="B30:D30"/>
    <mergeCell ref="B31:D31"/>
    <mergeCell ref="B32:D32"/>
    <mergeCell ref="B33:D33"/>
    <mergeCell ref="B34:D34"/>
    <mergeCell ref="B35:D35"/>
    <mergeCell ref="B36:D36"/>
    <mergeCell ref="B37:D37"/>
    <mergeCell ref="B38:D38"/>
    <mergeCell ref="B39:D39"/>
    <mergeCell ref="B40:D40"/>
    <mergeCell ref="B41:D41"/>
    <mergeCell ref="B66:D66"/>
    <mergeCell ref="B72:D72"/>
    <mergeCell ref="B67:D67"/>
    <mergeCell ref="B68:D68"/>
    <mergeCell ref="B69:D69"/>
    <mergeCell ref="B70:D70"/>
    <mergeCell ref="B71:D71"/>
    <mergeCell ref="B61:D61"/>
    <mergeCell ref="B62:D62"/>
    <mergeCell ref="B63:D63"/>
    <mergeCell ref="B57:D57"/>
    <mergeCell ref="B58:D58"/>
    <mergeCell ref="N13:N14"/>
    <mergeCell ref="O13:O14"/>
    <mergeCell ref="J13:L13"/>
    <mergeCell ref="B28:D28"/>
    <mergeCell ref="B22:D22"/>
    <mergeCell ref="B21:D21"/>
    <mergeCell ref="B20:D20"/>
    <mergeCell ref="B19:D19"/>
    <mergeCell ref="B18:D18"/>
    <mergeCell ref="B27:D27"/>
    <mergeCell ref="B26:D26"/>
    <mergeCell ref="B25:D25"/>
    <mergeCell ref="B24:D24"/>
    <mergeCell ref="B23:D23"/>
    <mergeCell ref="A3:H3"/>
    <mergeCell ref="F13:H13"/>
    <mergeCell ref="B12:D12"/>
    <mergeCell ref="B13:D14"/>
    <mergeCell ref="B17:D17"/>
    <mergeCell ref="B16:D16"/>
    <mergeCell ref="B15:D15"/>
  </mergeCells>
  <pageMargins left="0.7" right="0.7" top="0.75" bottom="0.75" header="0.3" footer="0.3"/>
  <customProperties>
    <customPr name="OrphanNamesChecke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12" t="s">
        <v>769</v>
      </c>
      <c r="B3" s="512"/>
      <c r="C3" s="512"/>
      <c r="D3" s="512"/>
      <c r="E3" s="512"/>
      <c r="F3" s="512"/>
      <c r="G3" s="512"/>
      <c r="H3" s="512"/>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202</v>
      </c>
      <c r="C8" s="1"/>
      <c r="F8" s="119" t="s">
        <v>954</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t="s">
        <v>979</v>
      </c>
      <c r="C15" s="531"/>
      <c r="D15" s="531"/>
      <c r="F15" s="117">
        <v>679368.66104506189</v>
      </c>
      <c r="G15" s="68">
        <f>IFERROR(F15*'As-Filed Schedule 1'!$E$103,0)</f>
        <v>101412.29869064677</v>
      </c>
      <c r="H15" s="68">
        <f>SUM(F15:G15)</f>
        <v>780780.95973570866</v>
      </c>
      <c r="J15" s="117"/>
      <c r="K15" s="68">
        <f>IFERROR(J15*'As-Filed Schedule 1'!$E$103,0)</f>
        <v>0</v>
      </c>
      <c r="L15" s="68">
        <f>SUM(J15:K15)</f>
        <v>0</v>
      </c>
      <c r="N15" s="120"/>
      <c r="O15" s="120"/>
    </row>
    <row r="16" spans="1:15" x14ac:dyDescent="0.35">
      <c r="A16" s="24">
        <v>2</v>
      </c>
      <c r="B16" s="531" t="s">
        <v>980</v>
      </c>
      <c r="C16" s="531"/>
      <c r="D16" s="531"/>
      <c r="F16" s="117">
        <v>284289.86208681669</v>
      </c>
      <c r="G16" s="68">
        <f>IFERROR(F16*'As-Filed Schedule 1'!$E$103,0)</f>
        <v>42437.177429293777</v>
      </c>
      <c r="H16" s="68">
        <f t="shared" ref="H16:H72" si="0">SUM(F16:G16)</f>
        <v>326727.03951611044</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963658.52313187858</v>
      </c>
      <c r="G73" s="18">
        <f t="shared" ref="G73:H73" si="2">SUM(G15:G72)</f>
        <v>143849.47611994055</v>
      </c>
      <c r="H73" s="18">
        <f t="shared" si="2"/>
        <v>1107507.9992518192</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461</v>
      </c>
      <c r="F75" s="75">
        <f>H73+L73</f>
        <v>1107507.9992518192</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3:D53"/>
    <mergeCell ref="B54:D54"/>
    <mergeCell ref="B55:D55"/>
    <mergeCell ref="B57:D57"/>
    <mergeCell ref="B58:D58"/>
    <mergeCell ref="B56:D56"/>
    <mergeCell ref="B15:D15"/>
    <mergeCell ref="B16:D16"/>
    <mergeCell ref="B17:D17"/>
    <mergeCell ref="B32:D32"/>
    <mergeCell ref="B30:D30"/>
    <mergeCell ref="B31:D31"/>
    <mergeCell ref="B18:D18"/>
    <mergeCell ref="B19:D19"/>
    <mergeCell ref="B20:D20"/>
    <mergeCell ref="B28:D28"/>
    <mergeCell ref="B29:D29"/>
    <mergeCell ref="B21:D21"/>
    <mergeCell ref="B27:D27"/>
    <mergeCell ref="B33:D33"/>
    <mergeCell ref="B34:D34"/>
    <mergeCell ref="B35:D35"/>
    <mergeCell ref="B36:D36"/>
    <mergeCell ref="B22:D22"/>
    <mergeCell ref="B23:D23"/>
    <mergeCell ref="B24:D24"/>
    <mergeCell ref="B25:D25"/>
    <mergeCell ref="B26:D26"/>
    <mergeCell ref="B48:D48"/>
    <mergeCell ref="B49:D49"/>
    <mergeCell ref="B50:D50"/>
    <mergeCell ref="B51:D51"/>
    <mergeCell ref="B52:D52"/>
    <mergeCell ref="B41:D41"/>
    <mergeCell ref="B46:D46"/>
    <mergeCell ref="B47:D47"/>
    <mergeCell ref="B37:D37"/>
    <mergeCell ref="B38:D38"/>
    <mergeCell ref="B42:D42"/>
    <mergeCell ref="B43:D43"/>
    <mergeCell ref="B44:D44"/>
    <mergeCell ref="B45:D45"/>
    <mergeCell ref="B39:D39"/>
    <mergeCell ref="B40:D40"/>
    <mergeCell ref="A3:H3"/>
    <mergeCell ref="F13:H13"/>
    <mergeCell ref="B12:D12"/>
    <mergeCell ref="B13:D14"/>
    <mergeCell ref="O13:O14"/>
    <mergeCell ref="N13:N14"/>
    <mergeCell ref="J13:L13"/>
  </mergeCells>
  <pageMargins left="0.7" right="0.7" top="0.75" bottom="0.75" header="0.3" footer="0.3"/>
  <pageSetup orientation="portrait" horizontalDpi="1200" verticalDpi="1200" r:id="rId3"/>
  <customProperties>
    <customPr name="OrphanNamesChecke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811</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809</v>
      </c>
      <c r="C8" s="1"/>
      <c r="F8" s="119" t="s">
        <v>981</v>
      </c>
      <c r="G8" s="41" t="s">
        <v>258</v>
      </c>
    </row>
    <row r="10" spans="1:15" x14ac:dyDescent="0.35">
      <c r="A10" s="1" t="s">
        <v>253</v>
      </c>
      <c r="B10" s="1" t="s">
        <v>255</v>
      </c>
      <c r="C10" s="1"/>
    </row>
    <row r="12" spans="1:15" x14ac:dyDescent="0.35">
      <c r="B12" s="565">
        <v>1</v>
      </c>
      <c r="C12" s="566"/>
      <c r="D12" s="567"/>
      <c r="F12" s="23">
        <v>2</v>
      </c>
      <c r="G12" s="23">
        <v>3</v>
      </c>
      <c r="H12" s="23">
        <v>4</v>
      </c>
      <c r="J12" s="23">
        <v>5</v>
      </c>
      <c r="K12" s="23">
        <v>6</v>
      </c>
      <c r="L12" s="23">
        <v>7</v>
      </c>
      <c r="N12" s="23">
        <v>8</v>
      </c>
      <c r="O12" s="23">
        <v>9</v>
      </c>
    </row>
    <row r="13" spans="1:15" ht="15" customHeight="1" x14ac:dyDescent="0.35">
      <c r="B13" s="535" t="s">
        <v>254</v>
      </c>
      <c r="C13" s="536"/>
      <c r="D13" s="537"/>
      <c r="F13" s="529" t="s">
        <v>260</v>
      </c>
      <c r="G13" s="534"/>
      <c r="H13" s="530"/>
      <c r="J13" s="529" t="s">
        <v>261</v>
      </c>
      <c r="K13" s="534"/>
      <c r="L13" s="530"/>
      <c r="N13" s="532" t="s">
        <v>249</v>
      </c>
      <c r="O13" s="532" t="s">
        <v>311</v>
      </c>
    </row>
    <row r="14" spans="1:15" ht="55.5" customHeight="1" x14ac:dyDescent="0.35">
      <c r="B14" s="538"/>
      <c r="C14" s="539"/>
      <c r="D14" s="540"/>
      <c r="E14" s="48"/>
      <c r="F14" s="10" t="s">
        <v>213</v>
      </c>
      <c r="G14" s="151" t="s">
        <v>490</v>
      </c>
      <c r="H14" s="151" t="s">
        <v>214</v>
      </c>
      <c r="I14" s="100"/>
      <c r="J14" s="151" t="s">
        <v>213</v>
      </c>
      <c r="K14" s="151" t="s">
        <v>490</v>
      </c>
      <c r="L14" s="10" t="s">
        <v>214</v>
      </c>
      <c r="M14" s="48"/>
      <c r="N14" s="533"/>
      <c r="O14" s="533"/>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62"/>
      <c r="C16" s="563"/>
      <c r="D16" s="56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62"/>
      <c r="C17" s="563"/>
      <c r="D17" s="56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62"/>
      <c r="C18" s="563"/>
      <c r="D18" s="56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62"/>
      <c r="C19" s="563"/>
      <c r="D19" s="56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62"/>
      <c r="C20" s="563"/>
      <c r="D20" s="56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62"/>
      <c r="C21" s="563"/>
      <c r="D21" s="56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62"/>
      <c r="C22" s="563"/>
      <c r="D22" s="56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62"/>
      <c r="C23" s="563"/>
      <c r="D23" s="56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62"/>
      <c r="C24" s="563"/>
      <c r="D24" s="56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62"/>
      <c r="C25" s="563"/>
      <c r="D25" s="56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62"/>
      <c r="C26" s="563"/>
      <c r="D26" s="56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62"/>
      <c r="C27" s="563"/>
      <c r="D27" s="56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62"/>
      <c r="C28" s="563"/>
      <c r="D28" s="56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62"/>
      <c r="C29" s="563"/>
      <c r="D29" s="56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2"/>
      <c r="C30" s="563"/>
      <c r="D30" s="56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2"/>
      <c r="C31" s="563"/>
      <c r="D31" s="56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2"/>
      <c r="C32" s="563"/>
      <c r="D32" s="56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2"/>
      <c r="C33" s="563"/>
      <c r="D33" s="56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2"/>
      <c r="C34" s="563"/>
      <c r="D34" s="56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2"/>
      <c r="C35" s="563"/>
      <c r="D35" s="56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2"/>
      <c r="C36" s="563"/>
      <c r="D36" s="56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2"/>
      <c r="C37" s="563"/>
      <c r="D37" s="56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2"/>
      <c r="C38" s="563"/>
      <c r="D38" s="56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2"/>
      <c r="C39" s="563"/>
      <c r="D39" s="56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2"/>
      <c r="C40" s="563"/>
      <c r="D40" s="56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62"/>
      <c r="C41" s="563"/>
      <c r="D41" s="56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62"/>
      <c r="C42" s="563"/>
      <c r="D42" s="56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62"/>
      <c r="C43" s="563"/>
      <c r="D43" s="56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62"/>
      <c r="C44" s="563"/>
      <c r="D44" s="56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62"/>
      <c r="C45" s="563"/>
      <c r="D45" s="56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62"/>
      <c r="C46" s="563"/>
      <c r="D46" s="56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62"/>
      <c r="C47" s="563"/>
      <c r="D47" s="56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62"/>
      <c r="C48" s="563"/>
      <c r="D48" s="56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62"/>
      <c r="C49" s="563"/>
      <c r="D49" s="56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62"/>
      <c r="C50" s="563"/>
      <c r="D50" s="56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62"/>
      <c r="C51" s="563"/>
      <c r="D51" s="56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62"/>
      <c r="C52" s="563"/>
      <c r="D52" s="56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62"/>
      <c r="C53" s="563"/>
      <c r="D53" s="56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62"/>
      <c r="C54" s="563"/>
      <c r="D54" s="56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62"/>
      <c r="C55" s="563"/>
      <c r="D55" s="56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62"/>
      <c r="C56" s="563"/>
      <c r="D56" s="56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62"/>
      <c r="C57" s="563"/>
      <c r="D57" s="56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62"/>
      <c r="C58" s="563"/>
      <c r="D58" s="56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62"/>
      <c r="C59" s="563"/>
      <c r="D59" s="56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62"/>
      <c r="C60" s="563"/>
      <c r="D60" s="56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62"/>
      <c r="C61" s="563"/>
      <c r="D61" s="56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62"/>
      <c r="C62" s="563"/>
      <c r="D62" s="56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62"/>
      <c r="C63" s="563"/>
      <c r="D63" s="56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62"/>
      <c r="C64" s="563"/>
      <c r="D64" s="56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62"/>
      <c r="C65" s="563"/>
      <c r="D65" s="56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62"/>
      <c r="C66" s="563"/>
      <c r="D66" s="56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62"/>
      <c r="C67" s="563"/>
      <c r="D67" s="56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62"/>
      <c r="C68" s="563"/>
      <c r="D68" s="56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62"/>
      <c r="C69" s="563"/>
      <c r="D69" s="56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62"/>
      <c r="C70" s="563"/>
      <c r="D70" s="56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62"/>
      <c r="C71" s="563"/>
      <c r="D71" s="56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62"/>
      <c r="C72" s="563"/>
      <c r="D72" s="56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814</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812</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1"/>
      <c r="C22" s="452"/>
      <c r="D22" s="45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1"/>
      <c r="C23" s="452"/>
      <c r="D23" s="45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1"/>
      <c r="C24" s="452"/>
      <c r="D24" s="45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1"/>
      <c r="C27" s="452"/>
      <c r="D27" s="45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48"/>
      <c r="C28" s="449"/>
      <c r="D28" s="45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48"/>
      <c r="C29" s="449"/>
      <c r="D29" s="45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68"/>
      <c r="C30" s="569"/>
      <c r="D30" s="57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68"/>
      <c r="C31" s="569"/>
      <c r="D31" s="57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68"/>
      <c r="C32" s="569"/>
      <c r="D32" s="57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68"/>
      <c r="C33" s="569"/>
      <c r="D33" s="57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68"/>
      <c r="C34" s="569"/>
      <c r="D34" s="57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68"/>
      <c r="C35" s="569"/>
      <c r="D35" s="57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68"/>
      <c r="C36" s="569"/>
      <c r="D36" s="57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68"/>
      <c r="C37" s="569"/>
      <c r="D37" s="57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68"/>
      <c r="C38" s="569"/>
      <c r="D38" s="57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68"/>
      <c r="C39" s="569"/>
      <c r="D39" s="57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68"/>
      <c r="C40" s="569"/>
      <c r="D40" s="57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817</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815</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68"/>
      <c r="C16" s="569"/>
      <c r="D16" s="57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312</v>
      </c>
    </row>
    <row r="74" spans="1:15" ht="15" thickBot="1" x14ac:dyDescent="0.4">
      <c r="H74" s="37" t="s">
        <v>256</v>
      </c>
      <c r="L74" s="37" t="s">
        <v>257</v>
      </c>
    </row>
    <row r="75" spans="1:15" s="72" customFormat="1" ht="16" thickBot="1" x14ac:dyDescent="0.4">
      <c r="A75" s="24">
        <v>60</v>
      </c>
      <c r="B75" s="73" t="s">
        <v>816</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820</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818</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823</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821</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826</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824</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825</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829</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827</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828</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832</v>
      </c>
      <c r="B3" s="5"/>
      <c r="C3" s="5"/>
      <c r="D3" s="5"/>
      <c r="E3" s="5"/>
      <c r="F3" s="5"/>
      <c r="G3" s="5"/>
      <c r="H3" s="5"/>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830</v>
      </c>
      <c r="C8" s="1"/>
      <c r="F8" s="119" t="s">
        <v>981</v>
      </c>
      <c r="G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836</v>
      </c>
      <c r="B3" s="5"/>
      <c r="C3" s="5"/>
      <c r="D3" s="5"/>
      <c r="E3" s="5"/>
      <c r="F3" s="5"/>
      <c r="G3" s="5"/>
      <c r="H3" s="5"/>
    </row>
    <row r="4" spans="1:15" ht="21" x14ac:dyDescent="0.5">
      <c r="A4" s="242" t="s">
        <v>833</v>
      </c>
    </row>
    <row r="5" spans="1:15" x14ac:dyDescent="0.35">
      <c r="A5" s="1" t="s">
        <v>772</v>
      </c>
      <c r="C5" s="420" t="str">
        <f>'As-Filed Schedule 1'!C5</f>
        <v>Mind Springs Health</v>
      </c>
    </row>
    <row r="6" spans="1:15" x14ac:dyDescent="0.35">
      <c r="A6" s="1" t="s">
        <v>0</v>
      </c>
      <c r="C6" s="35">
        <f>'As-Filed Schedule 1'!C6</f>
        <v>45473</v>
      </c>
      <c r="F6" s="35"/>
    </row>
    <row r="8" spans="1:15" x14ac:dyDescent="0.35">
      <c r="A8" s="1" t="s">
        <v>252</v>
      </c>
      <c r="B8" s="1" t="s">
        <v>834</v>
      </c>
      <c r="C8" s="1"/>
      <c r="K8" s="119" t="s">
        <v>981</v>
      </c>
      <c r="L8" s="41" t="s">
        <v>258</v>
      </c>
    </row>
    <row r="10" spans="1:15" x14ac:dyDescent="0.35">
      <c r="A10" s="1" t="s">
        <v>253</v>
      </c>
      <c r="B10" s="1" t="s">
        <v>255</v>
      </c>
      <c r="C10" s="1"/>
    </row>
    <row r="12" spans="1:15" x14ac:dyDescent="0.35">
      <c r="B12" s="526">
        <v>1</v>
      </c>
      <c r="C12" s="526"/>
      <c r="D12" s="526"/>
      <c r="F12" s="23">
        <v>2</v>
      </c>
      <c r="G12" s="23">
        <v>3</v>
      </c>
      <c r="H12" s="23">
        <v>4</v>
      </c>
      <c r="J12" s="23">
        <v>5</v>
      </c>
      <c r="K12" s="23">
        <v>6</v>
      </c>
      <c r="L12" s="23">
        <v>7</v>
      </c>
      <c r="N12" s="23">
        <v>8</v>
      </c>
      <c r="O12" s="23">
        <v>9</v>
      </c>
    </row>
    <row r="13" spans="1:15" x14ac:dyDescent="0.35">
      <c r="B13" s="527" t="s">
        <v>254</v>
      </c>
      <c r="C13" s="527"/>
      <c r="D13" s="527"/>
      <c r="F13" s="529" t="s">
        <v>260</v>
      </c>
      <c r="G13" s="534"/>
      <c r="H13" s="530"/>
      <c r="J13" s="529" t="s">
        <v>261</v>
      </c>
      <c r="K13" s="534"/>
      <c r="L13" s="530"/>
      <c r="N13" s="528" t="s">
        <v>249</v>
      </c>
      <c r="O13" s="528" t="s">
        <v>311</v>
      </c>
    </row>
    <row r="14" spans="1:15" ht="55.5" customHeight="1" x14ac:dyDescent="0.35">
      <c r="B14" s="527"/>
      <c r="C14" s="527"/>
      <c r="D14" s="527"/>
      <c r="E14" s="48"/>
      <c r="F14" s="10" t="s">
        <v>213</v>
      </c>
      <c r="G14" s="151" t="s">
        <v>490</v>
      </c>
      <c r="H14" s="151" t="s">
        <v>214</v>
      </c>
      <c r="I14" s="100"/>
      <c r="J14" s="151" t="s">
        <v>213</v>
      </c>
      <c r="K14" s="151" t="s">
        <v>490</v>
      </c>
      <c r="L14" s="10" t="s">
        <v>214</v>
      </c>
      <c r="M14" s="48"/>
      <c r="N14" s="528"/>
      <c r="O14" s="528"/>
    </row>
    <row r="15" spans="1:15" x14ac:dyDescent="0.35">
      <c r="A15" s="24">
        <v>1</v>
      </c>
      <c r="B15" s="531"/>
      <c r="C15" s="531"/>
      <c r="D15" s="53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1"/>
      <c r="C16" s="531"/>
      <c r="D16" s="53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1"/>
      <c r="C17" s="531"/>
      <c r="D17" s="53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1"/>
      <c r="C18" s="531"/>
      <c r="D18" s="53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1"/>
      <c r="C19" s="531"/>
      <c r="D19" s="53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1"/>
      <c r="C20" s="531"/>
      <c r="D20" s="53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1"/>
      <c r="C21" s="531"/>
      <c r="D21" s="53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1"/>
      <c r="C22" s="531"/>
      <c r="D22" s="53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1"/>
      <c r="C23" s="531"/>
      <c r="D23" s="53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1"/>
      <c r="C24" s="531"/>
      <c r="D24" s="53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1"/>
      <c r="C25" s="531"/>
      <c r="D25" s="53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1"/>
      <c r="C26" s="531"/>
      <c r="D26" s="53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1"/>
      <c r="C27" s="531"/>
      <c r="D27" s="53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1"/>
      <c r="C28" s="531"/>
      <c r="D28" s="53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1"/>
      <c r="C29" s="531"/>
      <c r="D29" s="53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1"/>
      <c r="C30" s="531"/>
      <c r="D30" s="53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1"/>
      <c r="C31" s="531"/>
      <c r="D31" s="53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1"/>
      <c r="C32" s="531"/>
      <c r="D32" s="53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1"/>
      <c r="C33" s="531"/>
      <c r="D33" s="53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1"/>
      <c r="C34" s="531"/>
      <c r="D34" s="53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1"/>
      <c r="C35" s="531"/>
      <c r="D35" s="53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1"/>
      <c r="C36" s="531"/>
      <c r="D36" s="53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1"/>
      <c r="C37" s="531"/>
      <c r="D37" s="53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1"/>
      <c r="C38" s="531"/>
      <c r="D38" s="53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1"/>
      <c r="C39" s="531"/>
      <c r="D39" s="53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1"/>
      <c r="C40" s="531"/>
      <c r="D40" s="53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1"/>
      <c r="C41" s="531"/>
      <c r="D41" s="53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1"/>
      <c r="C42" s="531"/>
      <c r="D42" s="53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1"/>
      <c r="C43" s="531"/>
      <c r="D43" s="53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1"/>
      <c r="C44" s="531"/>
      <c r="D44" s="53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1"/>
      <c r="C45" s="531"/>
      <c r="D45" s="53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1"/>
      <c r="C46" s="531"/>
      <c r="D46" s="53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1"/>
      <c r="C47" s="531"/>
      <c r="D47" s="53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1"/>
      <c r="C48" s="531"/>
      <c r="D48" s="53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1"/>
      <c r="C49" s="531"/>
      <c r="D49" s="53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1"/>
      <c r="C50" s="531"/>
      <c r="D50" s="53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1"/>
      <c r="C51" s="531"/>
      <c r="D51" s="53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1"/>
      <c r="C52" s="531"/>
      <c r="D52" s="53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1"/>
      <c r="C53" s="531"/>
      <c r="D53" s="53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1"/>
      <c r="C54" s="531"/>
      <c r="D54" s="53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1"/>
      <c r="C55" s="531"/>
      <c r="D55" s="53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1"/>
      <c r="C56" s="531"/>
      <c r="D56" s="53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1"/>
      <c r="C57" s="531"/>
      <c r="D57" s="53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1"/>
      <c r="C58" s="531"/>
      <c r="D58" s="53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1"/>
      <c r="C59" s="531"/>
      <c r="D59" s="53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1"/>
      <c r="C60" s="531"/>
      <c r="D60" s="53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1"/>
      <c r="C61" s="531"/>
      <c r="D61" s="53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1"/>
      <c r="C62" s="531"/>
      <c r="D62" s="53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1"/>
      <c r="C63" s="531"/>
      <c r="D63" s="53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1"/>
      <c r="C64" s="531"/>
      <c r="D64" s="53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1"/>
      <c r="C65" s="531"/>
      <c r="D65" s="53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1"/>
      <c r="C66" s="531"/>
      <c r="D66" s="53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1"/>
      <c r="C67" s="531"/>
      <c r="D67" s="53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1"/>
      <c r="C68" s="531"/>
      <c r="D68" s="53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1"/>
      <c r="C69" s="531"/>
      <c r="D69" s="53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1"/>
      <c r="C70" s="531"/>
      <c r="D70" s="53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1"/>
      <c r="C71" s="531"/>
      <c r="D71" s="53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1"/>
      <c r="C72" s="531"/>
      <c r="D72" s="53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835</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customProperties>
    <customPr name="OrphanNamesChecked" r:id="rId4"/>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924</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772</v>
      </c>
      <c r="C5" s="420" t="str">
        <f>'As-Filed Schedule 1'!C5</f>
        <v>Mind Springs Health</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478</v>
      </c>
      <c r="B8" s="100"/>
      <c r="C8" s="100"/>
      <c r="D8" s="100"/>
      <c r="E8" s="100"/>
      <c r="F8" s="100"/>
      <c r="G8" s="204"/>
      <c r="H8" s="113"/>
      <c r="I8" s="100"/>
      <c r="J8" s="206"/>
      <c r="K8" s="100"/>
      <c r="L8" s="100"/>
      <c r="T8" s="40"/>
      <c r="U8" s="40"/>
      <c r="V8" s="40"/>
    </row>
    <row r="9" spans="1:22" ht="15" customHeight="1" x14ac:dyDescent="0.35">
      <c r="A9" s="520" t="s">
        <v>479</v>
      </c>
      <c r="B9" s="520"/>
      <c r="C9" s="520"/>
      <c r="D9" s="520"/>
      <c r="E9" s="520"/>
      <c r="F9" s="520"/>
      <c r="G9" s="520"/>
      <c r="H9" s="520"/>
      <c r="I9" s="520"/>
      <c r="J9" s="520"/>
      <c r="K9" s="520"/>
      <c r="L9" s="100"/>
      <c r="T9" s="40"/>
      <c r="U9" s="40"/>
      <c r="V9" s="40"/>
    </row>
    <row r="10" spans="1:22" x14ac:dyDescent="0.35">
      <c r="A10" s="520"/>
      <c r="B10" s="520"/>
      <c r="C10" s="520"/>
      <c r="D10" s="520"/>
      <c r="E10" s="520"/>
      <c r="F10" s="520"/>
      <c r="G10" s="520"/>
      <c r="H10" s="520"/>
      <c r="I10" s="520"/>
      <c r="J10" s="520"/>
      <c r="K10" s="520"/>
      <c r="L10" s="100"/>
      <c r="T10" s="40"/>
      <c r="U10" s="40"/>
      <c r="V10" s="40"/>
    </row>
    <row r="11" spans="1:22" x14ac:dyDescent="0.35">
      <c r="A11" s="520"/>
      <c r="B11" s="520"/>
      <c r="C11" s="520"/>
      <c r="D11" s="520"/>
      <c r="E11" s="520"/>
      <c r="F11" s="520"/>
      <c r="G11" s="520"/>
      <c r="H11" s="520"/>
      <c r="I11" s="520"/>
      <c r="J11" s="520"/>
      <c r="K11" s="520"/>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14">
        <v>1</v>
      </c>
      <c r="C13" s="515"/>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47" t="s">
        <v>158</v>
      </c>
      <c r="C14" s="548"/>
      <c r="D14" s="544" t="s">
        <v>463</v>
      </c>
      <c r="E14" s="544" t="s">
        <v>436</v>
      </c>
      <c r="F14" s="544" t="s">
        <v>440</v>
      </c>
      <c r="G14" s="551" t="s">
        <v>491</v>
      </c>
      <c r="H14" s="551" t="s">
        <v>492</v>
      </c>
      <c r="I14" s="208"/>
      <c r="J14" s="208"/>
      <c r="K14" s="544" t="s">
        <v>160</v>
      </c>
      <c r="L14" s="544" t="s">
        <v>161</v>
      </c>
      <c r="M14" s="546" t="s">
        <v>168</v>
      </c>
      <c r="N14" s="546"/>
      <c r="O14" s="546" t="s">
        <v>34</v>
      </c>
      <c r="P14" s="546"/>
      <c r="Q14" s="546" t="s">
        <v>169</v>
      </c>
      <c r="R14" s="546"/>
    </row>
    <row r="15" spans="1:22" ht="60" customHeight="1" x14ac:dyDescent="0.35">
      <c r="A15" s="100"/>
      <c r="B15" s="549"/>
      <c r="C15" s="550"/>
      <c r="D15" s="545"/>
      <c r="E15" s="545"/>
      <c r="F15" s="545"/>
      <c r="G15" s="552"/>
      <c r="H15" s="552"/>
      <c r="I15" s="209" t="s">
        <v>453</v>
      </c>
      <c r="J15" s="209" t="s">
        <v>493</v>
      </c>
      <c r="K15" s="545"/>
      <c r="L15" s="545"/>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73" t="s">
        <v>982</v>
      </c>
      <c r="C17" s="574"/>
      <c r="D17" s="479" t="s">
        <v>170</v>
      </c>
      <c r="E17" s="479"/>
      <c r="F17" s="480">
        <v>32</v>
      </c>
      <c r="G17" s="481"/>
      <c r="H17" s="481"/>
      <c r="I17" s="139">
        <f>IF(B17=0,"",IF(AND(G17=0,H17=0),365,IF(AND(G17&gt;0,H17=0),$C$6-G17+1,IF(AND(G17=0,H17&gt;0),H17-($C$6-365),H17-G17+1))))</f>
        <v>365</v>
      </c>
      <c r="J17" s="98"/>
      <c r="K17" s="8">
        <f>SUM(K18:K20)</f>
        <v>9785</v>
      </c>
      <c r="L17" s="91">
        <f>IF(K17&gt;0,K17/(F17*I17),"")</f>
        <v>0.83775684931506844</v>
      </c>
      <c r="M17" s="126">
        <v>5752445</v>
      </c>
      <c r="N17" s="85">
        <f>IFERROR(M17/K17,"")</f>
        <v>587.88400613183444</v>
      </c>
      <c r="O17" s="126">
        <v>1156765</v>
      </c>
      <c r="P17" s="85">
        <f>IFERROR(O17/K17,"")</f>
        <v>118.21819110884006</v>
      </c>
      <c r="Q17" s="86">
        <f>IF(M17=0,"",M17-O17)</f>
        <v>4595680</v>
      </c>
      <c r="R17" s="85">
        <f>IFERROR(Q17/K17,"")</f>
        <v>469.66581502299437</v>
      </c>
    </row>
    <row r="18" spans="1:18" x14ac:dyDescent="0.35">
      <c r="A18" s="101" t="s">
        <v>446</v>
      </c>
      <c r="B18" s="217"/>
      <c r="C18" s="217"/>
      <c r="D18" s="217"/>
      <c r="E18" s="217"/>
      <c r="F18" s="218"/>
      <c r="G18" s="219"/>
      <c r="H18" s="219"/>
      <c r="I18" s="104"/>
      <c r="J18" s="99"/>
      <c r="K18" s="221">
        <v>9785</v>
      </c>
      <c r="L18" s="89"/>
      <c r="M18" s="87"/>
      <c r="N18" s="87"/>
      <c r="O18" s="87"/>
      <c r="P18" s="87"/>
      <c r="Q18" s="87"/>
      <c r="R18" s="87"/>
    </row>
    <row r="19" spans="1:18" x14ac:dyDescent="0.35">
      <c r="A19" s="102" t="s">
        <v>447</v>
      </c>
      <c r="B19" s="224"/>
      <c r="C19" s="224"/>
      <c r="D19" s="224"/>
      <c r="E19" s="224"/>
      <c r="F19" s="225"/>
      <c r="G19" s="226"/>
      <c r="H19" s="226"/>
      <c r="I19" s="105"/>
      <c r="J19" s="114"/>
      <c r="K19" s="228"/>
      <c r="L19" s="90"/>
      <c r="M19" s="88"/>
      <c r="N19" s="88"/>
      <c r="O19" s="88"/>
      <c r="P19" s="88"/>
      <c r="Q19" s="88"/>
      <c r="R19" s="88"/>
    </row>
    <row r="20" spans="1:18" x14ac:dyDescent="0.35">
      <c r="A20" s="103" t="s">
        <v>448</v>
      </c>
      <c r="B20" s="224"/>
      <c r="C20" s="224"/>
      <c r="D20" s="224"/>
      <c r="E20" s="224"/>
      <c r="F20" s="225"/>
      <c r="G20" s="226"/>
      <c r="H20" s="226"/>
      <c r="I20" s="105"/>
      <c r="J20" s="115"/>
      <c r="K20" s="231"/>
      <c r="L20" s="90"/>
      <c r="M20" s="88"/>
      <c r="N20" s="88"/>
      <c r="O20" s="88"/>
      <c r="P20" s="88"/>
      <c r="Q20" s="88"/>
      <c r="R20" s="88"/>
    </row>
    <row r="21" spans="1:18" x14ac:dyDescent="0.35">
      <c r="G21"/>
      <c r="H21"/>
      <c r="J21" s="100"/>
      <c r="L21" s="28"/>
    </row>
    <row r="22" spans="1:18" s="34" customFormat="1" x14ac:dyDescent="0.35">
      <c r="A22" s="84">
        <v>2</v>
      </c>
      <c r="B22" s="571" t="s">
        <v>983</v>
      </c>
      <c r="C22" s="572"/>
      <c r="D22" s="121" t="s">
        <v>481</v>
      </c>
      <c r="E22" s="121"/>
      <c r="F22" s="122">
        <v>15</v>
      </c>
      <c r="G22" s="134"/>
      <c r="H22" s="134"/>
      <c r="I22" s="139">
        <f>IF(B22=0,"",IF(AND(G22=0,H22=0),365,IF(AND(G22&gt;0,H22=0),$C$6-G22+1,IF(AND(G22=0,H22&gt;0),H22-($C$6-365),H22-G22+1))))</f>
        <v>365</v>
      </c>
      <c r="J22" s="98"/>
      <c r="K22" s="8">
        <f>SUM(K23:K25)</f>
        <v>3124</v>
      </c>
      <c r="L22" s="91">
        <f>IF(K22&gt;0,K22/(F22*I22),"")</f>
        <v>0.57059360730593611</v>
      </c>
      <c r="M22" s="126">
        <v>3219822</v>
      </c>
      <c r="N22" s="85">
        <f>IFERROR(M22/K22,"")</f>
        <v>1030.6728553137004</v>
      </c>
      <c r="O22" s="126">
        <v>371438</v>
      </c>
      <c r="P22" s="85">
        <f>IFERROR(O22/K22,"")</f>
        <v>118.89820742637644</v>
      </c>
      <c r="Q22" s="86">
        <f>IF(M22=0,"",M22-O22)</f>
        <v>2848384</v>
      </c>
      <c r="R22" s="85">
        <f>IFERROR(Q22/K22,"")</f>
        <v>911.77464788732391</v>
      </c>
    </row>
    <row r="23" spans="1:18" x14ac:dyDescent="0.35">
      <c r="A23" s="101" t="s">
        <v>446</v>
      </c>
      <c r="B23" s="87"/>
      <c r="C23" s="87"/>
      <c r="D23" s="87"/>
      <c r="E23" s="87"/>
      <c r="F23" s="132"/>
      <c r="G23" s="135"/>
      <c r="H23" s="135"/>
      <c r="I23" s="104"/>
      <c r="J23" s="99"/>
      <c r="K23" s="123">
        <v>3124</v>
      </c>
      <c r="L23" s="89"/>
      <c r="M23" s="87"/>
      <c r="N23" s="87"/>
      <c r="O23" s="87"/>
      <c r="P23" s="87"/>
      <c r="Q23" s="87"/>
      <c r="R23" s="87"/>
    </row>
    <row r="24" spans="1:18" x14ac:dyDescent="0.35">
      <c r="A24" s="102" t="s">
        <v>447</v>
      </c>
      <c r="B24" s="88"/>
      <c r="C24" s="88"/>
      <c r="D24" s="88"/>
      <c r="E24" s="88"/>
      <c r="F24" s="133"/>
      <c r="G24" s="136"/>
      <c r="H24" s="136"/>
      <c r="I24" s="105"/>
      <c r="J24" s="114"/>
      <c r="K24" s="124"/>
      <c r="L24" s="90"/>
      <c r="M24" s="88"/>
      <c r="N24" s="88"/>
      <c r="O24" s="88"/>
      <c r="P24" s="88"/>
      <c r="Q24" s="88"/>
      <c r="R24" s="88"/>
    </row>
    <row r="25" spans="1:18" x14ac:dyDescent="0.35">
      <c r="A25" s="103" t="s">
        <v>448</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71" t="s">
        <v>984</v>
      </c>
      <c r="C27" s="572"/>
      <c r="D27" s="121" t="s">
        <v>434</v>
      </c>
      <c r="E27" s="121"/>
      <c r="F27" s="122">
        <v>48</v>
      </c>
      <c r="G27" s="134"/>
      <c r="H27" s="134"/>
      <c r="I27" s="139">
        <f>IF(B27=0,"",IF(AND(G27=0,H27=0),365,IF(AND(G27&gt;0,H27=0),$C$6-G27+1,IF(AND(G27=0,H27&gt;0),H27-($C$6-365),H27-G27+1))))</f>
        <v>365</v>
      </c>
      <c r="J27" s="98"/>
      <c r="K27" s="8">
        <f>SUM(K28:K30)</f>
        <v>10498</v>
      </c>
      <c r="L27" s="91">
        <f>IF(K27&gt;0,K27/(F27*I27),"")</f>
        <v>0.59920091324200908</v>
      </c>
      <c r="M27" s="126">
        <v>24592783</v>
      </c>
      <c r="N27" s="85">
        <f>IFERROR(M27/K27,"")</f>
        <v>2342.6160220994475</v>
      </c>
      <c r="O27" s="126">
        <v>2056778</v>
      </c>
      <c r="P27" s="85">
        <f>IFERROR(O27/K27,"")</f>
        <v>195.92093732139455</v>
      </c>
      <c r="Q27" s="86">
        <f>IF(M27=0,"",M27-O27)</f>
        <v>22536005</v>
      </c>
      <c r="R27" s="85">
        <f>IFERROR(Q27/K27,"")</f>
        <v>2146.6950847780531</v>
      </c>
    </row>
    <row r="28" spans="1:18" x14ac:dyDescent="0.35">
      <c r="A28" s="101" t="s">
        <v>446</v>
      </c>
      <c r="B28" s="87"/>
      <c r="C28" s="87"/>
      <c r="D28" s="87"/>
      <c r="E28" s="87"/>
      <c r="F28" s="132"/>
      <c r="G28" s="135"/>
      <c r="H28" s="135"/>
      <c r="I28" s="104"/>
      <c r="J28" s="99"/>
      <c r="K28" s="123">
        <v>10498</v>
      </c>
      <c r="L28" s="89"/>
      <c r="M28" s="87"/>
      <c r="N28" s="87"/>
      <c r="O28" s="87"/>
      <c r="P28" s="87"/>
      <c r="Q28" s="87"/>
      <c r="R28" s="87"/>
    </row>
    <row r="29" spans="1:18" x14ac:dyDescent="0.35">
      <c r="A29" s="102" t="s">
        <v>447</v>
      </c>
      <c r="B29" s="88"/>
      <c r="C29" s="88"/>
      <c r="D29" s="88"/>
      <c r="E29" s="88"/>
      <c r="F29" s="133"/>
      <c r="G29" s="136"/>
      <c r="H29" s="136"/>
      <c r="I29" s="105"/>
      <c r="J29" s="114"/>
      <c r="K29" s="124"/>
      <c r="L29" s="90"/>
      <c r="M29" s="88"/>
      <c r="N29" s="88"/>
      <c r="O29" s="88"/>
      <c r="P29" s="88"/>
      <c r="Q29" s="88"/>
      <c r="R29" s="88"/>
    </row>
    <row r="30" spans="1:18" x14ac:dyDescent="0.35">
      <c r="A30" s="103" t="s">
        <v>448</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71"/>
      <c r="C32" s="572"/>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446</v>
      </c>
      <c r="B33" s="87"/>
      <c r="C33" s="87"/>
      <c r="D33" s="87"/>
      <c r="E33" s="87"/>
      <c r="F33" s="132"/>
      <c r="G33" s="135"/>
      <c r="H33" s="135"/>
      <c r="I33" s="104"/>
      <c r="J33" s="99"/>
      <c r="K33" s="221"/>
      <c r="L33" s="89"/>
      <c r="M33" s="87"/>
      <c r="N33" s="87"/>
      <c r="O33" s="87"/>
      <c r="P33" s="87"/>
      <c r="Q33" s="87"/>
      <c r="R33" s="87"/>
    </row>
    <row r="34" spans="1:18" x14ac:dyDescent="0.35">
      <c r="A34" s="102" t="s">
        <v>447</v>
      </c>
      <c r="B34" s="88"/>
      <c r="C34" s="88"/>
      <c r="D34" s="88"/>
      <c r="E34" s="88"/>
      <c r="F34" s="133"/>
      <c r="G34" s="136"/>
      <c r="H34" s="136"/>
      <c r="I34" s="105"/>
      <c r="J34" s="114"/>
      <c r="K34" s="124"/>
      <c r="L34" s="90"/>
      <c r="M34" s="88"/>
      <c r="N34" s="88"/>
      <c r="O34" s="88"/>
      <c r="P34" s="88"/>
      <c r="Q34" s="88"/>
      <c r="R34" s="88"/>
    </row>
    <row r="35" spans="1:18" x14ac:dyDescent="0.35">
      <c r="A35" s="103" t="s">
        <v>448</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71"/>
      <c r="C37" s="572"/>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446</v>
      </c>
      <c r="B38" s="87"/>
      <c r="C38" s="87"/>
      <c r="D38" s="87"/>
      <c r="E38" s="87"/>
      <c r="F38" s="132"/>
      <c r="G38" s="135"/>
      <c r="H38" s="135"/>
      <c r="I38" s="104"/>
      <c r="J38" s="99"/>
      <c r="K38" s="123"/>
      <c r="L38" s="89"/>
      <c r="M38" s="87"/>
      <c r="N38" s="87"/>
      <c r="O38" s="87"/>
      <c r="P38" s="87"/>
      <c r="Q38" s="87"/>
      <c r="R38" s="87"/>
    </row>
    <row r="39" spans="1:18" x14ac:dyDescent="0.35">
      <c r="A39" s="102" t="s">
        <v>447</v>
      </c>
      <c r="B39" s="88"/>
      <c r="C39" s="88"/>
      <c r="D39" s="88"/>
      <c r="E39" s="88"/>
      <c r="F39" s="133"/>
      <c r="G39" s="136"/>
      <c r="H39" s="136"/>
      <c r="I39" s="105"/>
      <c r="J39" s="114"/>
      <c r="K39" s="124"/>
      <c r="L39" s="90"/>
      <c r="M39" s="88"/>
      <c r="N39" s="88"/>
      <c r="O39" s="88"/>
      <c r="P39" s="88"/>
      <c r="Q39" s="88"/>
      <c r="R39" s="88"/>
    </row>
    <row r="40" spans="1:18" x14ac:dyDescent="0.35">
      <c r="A40" s="103" t="s">
        <v>448</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71"/>
      <c r="C42" s="572"/>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446</v>
      </c>
      <c r="B43" s="87"/>
      <c r="C43" s="87"/>
      <c r="D43" s="87"/>
      <c r="E43" s="87"/>
      <c r="F43" s="132"/>
      <c r="G43" s="135"/>
      <c r="H43" s="135"/>
      <c r="I43" s="104"/>
      <c r="J43" s="99"/>
      <c r="K43" s="123"/>
      <c r="L43" s="89"/>
      <c r="M43" s="87"/>
      <c r="N43" s="87"/>
      <c r="O43" s="87"/>
      <c r="P43" s="87"/>
      <c r="Q43" s="87"/>
      <c r="R43" s="87"/>
    </row>
    <row r="44" spans="1:18" x14ac:dyDescent="0.35">
      <c r="A44" s="102" t="s">
        <v>447</v>
      </c>
      <c r="B44" s="88"/>
      <c r="C44" s="88"/>
      <c r="D44" s="88"/>
      <c r="E44" s="88"/>
      <c r="F44" s="133"/>
      <c r="G44" s="136"/>
      <c r="H44" s="136"/>
      <c r="I44" s="105"/>
      <c r="J44" s="114"/>
      <c r="K44" s="124"/>
      <c r="L44" s="90"/>
      <c r="M44" s="88"/>
      <c r="N44" s="88"/>
      <c r="O44" s="88"/>
      <c r="P44" s="88"/>
      <c r="Q44" s="88"/>
      <c r="R44" s="88"/>
    </row>
    <row r="45" spans="1:18" x14ac:dyDescent="0.35">
      <c r="A45" s="103" t="s">
        <v>448</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71"/>
      <c r="C47" s="572"/>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446</v>
      </c>
      <c r="B48" s="87"/>
      <c r="C48" s="87"/>
      <c r="D48" s="87"/>
      <c r="E48" s="87"/>
      <c r="F48" s="132"/>
      <c r="G48" s="135"/>
      <c r="H48" s="135"/>
      <c r="I48" s="104"/>
      <c r="J48" s="99"/>
      <c r="K48" s="123"/>
      <c r="L48" s="89"/>
      <c r="M48" s="87"/>
      <c r="N48" s="87"/>
      <c r="O48" s="87"/>
      <c r="P48" s="87"/>
      <c r="Q48" s="87"/>
      <c r="R48" s="87"/>
    </row>
    <row r="49" spans="1:18" x14ac:dyDescent="0.35">
      <c r="A49" s="102" t="s">
        <v>447</v>
      </c>
      <c r="B49" s="88"/>
      <c r="C49" s="88"/>
      <c r="D49" s="88"/>
      <c r="E49" s="88"/>
      <c r="F49" s="133"/>
      <c r="G49" s="136"/>
      <c r="H49" s="136"/>
      <c r="I49" s="105"/>
      <c r="J49" s="114"/>
      <c r="K49" s="124"/>
      <c r="L49" s="90"/>
      <c r="M49" s="88"/>
      <c r="N49" s="88"/>
      <c r="O49" s="88"/>
      <c r="P49" s="88"/>
      <c r="Q49" s="88"/>
      <c r="R49" s="88"/>
    </row>
    <row r="50" spans="1:18" x14ac:dyDescent="0.35">
      <c r="A50" s="103" t="s">
        <v>448</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71"/>
      <c r="C52" s="572"/>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446</v>
      </c>
      <c r="B53" s="87"/>
      <c r="C53" s="87"/>
      <c r="D53" s="87"/>
      <c r="E53" s="87"/>
      <c r="F53" s="132"/>
      <c r="G53" s="135"/>
      <c r="H53" s="135"/>
      <c r="I53" s="104"/>
      <c r="J53" s="99"/>
      <c r="K53" s="123"/>
      <c r="L53" s="89"/>
      <c r="M53" s="87"/>
      <c r="N53" s="87"/>
      <c r="O53" s="87"/>
      <c r="P53" s="87"/>
      <c r="Q53" s="87"/>
      <c r="R53" s="87"/>
    </row>
    <row r="54" spans="1:18" x14ac:dyDescent="0.35">
      <c r="A54" s="102" t="s">
        <v>447</v>
      </c>
      <c r="B54" s="88"/>
      <c r="C54" s="88"/>
      <c r="D54" s="88"/>
      <c r="E54" s="88"/>
      <c r="F54" s="133"/>
      <c r="G54" s="136"/>
      <c r="H54" s="136"/>
      <c r="I54" s="105"/>
      <c r="J54" s="114"/>
      <c r="K54" s="124"/>
      <c r="L54" s="90"/>
      <c r="M54" s="88"/>
      <c r="N54" s="88"/>
      <c r="O54" s="88"/>
      <c r="P54" s="88"/>
      <c r="Q54" s="88"/>
      <c r="R54" s="88"/>
    </row>
    <row r="55" spans="1:18" x14ac:dyDescent="0.35">
      <c r="A55" s="103" t="s">
        <v>448</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71"/>
      <c r="C57" s="572"/>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446</v>
      </c>
      <c r="B58" s="87"/>
      <c r="C58" s="87"/>
      <c r="D58" s="87"/>
      <c r="E58" s="87"/>
      <c r="F58" s="132"/>
      <c r="G58" s="135"/>
      <c r="H58" s="135"/>
      <c r="I58" s="104"/>
      <c r="J58" s="99"/>
      <c r="K58" s="123"/>
      <c r="L58" s="89"/>
      <c r="M58" s="87"/>
      <c r="N58" s="87"/>
      <c r="O58" s="87"/>
      <c r="P58" s="87"/>
      <c r="Q58" s="87"/>
      <c r="R58" s="87"/>
    </row>
    <row r="59" spans="1:18" x14ac:dyDescent="0.35">
      <c r="A59" s="102" t="s">
        <v>447</v>
      </c>
      <c r="B59" s="88"/>
      <c r="C59" s="88"/>
      <c r="D59" s="88"/>
      <c r="E59" s="88"/>
      <c r="F59" s="133"/>
      <c r="G59" s="136"/>
      <c r="H59" s="136"/>
      <c r="I59" s="105"/>
      <c r="J59" s="114"/>
      <c r="K59" s="124"/>
      <c r="L59" s="90"/>
      <c r="M59" s="88"/>
      <c r="N59" s="88"/>
      <c r="O59" s="88"/>
      <c r="P59" s="88"/>
      <c r="Q59" s="88"/>
      <c r="R59" s="88"/>
    </row>
    <row r="60" spans="1:18" x14ac:dyDescent="0.35">
      <c r="A60" s="103" t="s">
        <v>448</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71"/>
      <c r="C62" s="572"/>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446</v>
      </c>
      <c r="B63" s="87"/>
      <c r="C63" s="87"/>
      <c r="D63" s="87"/>
      <c r="E63" s="87"/>
      <c r="F63" s="132"/>
      <c r="G63" s="135"/>
      <c r="H63" s="135"/>
      <c r="I63" s="104"/>
      <c r="J63" s="99"/>
      <c r="K63" s="123"/>
      <c r="L63" s="89"/>
      <c r="M63" s="87"/>
      <c r="N63" s="87"/>
      <c r="O63" s="87"/>
      <c r="P63" s="87"/>
      <c r="Q63" s="87"/>
      <c r="R63" s="87"/>
    </row>
    <row r="64" spans="1:18" x14ac:dyDescent="0.35">
      <c r="A64" s="102" t="s">
        <v>447</v>
      </c>
      <c r="B64" s="88"/>
      <c r="C64" s="88"/>
      <c r="D64" s="88"/>
      <c r="E64" s="88"/>
      <c r="F64" s="133"/>
      <c r="G64" s="136"/>
      <c r="H64" s="136"/>
      <c r="I64" s="105"/>
      <c r="J64" s="114"/>
      <c r="K64" s="124"/>
      <c r="L64" s="90"/>
      <c r="M64" s="88"/>
      <c r="N64" s="88"/>
      <c r="O64" s="88"/>
      <c r="P64" s="88"/>
      <c r="Q64" s="88"/>
      <c r="R64" s="88"/>
    </row>
    <row r="65" spans="1:18" x14ac:dyDescent="0.35">
      <c r="A65" s="103" t="s">
        <v>448</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71"/>
      <c r="C67" s="572"/>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446</v>
      </c>
      <c r="B68" s="87"/>
      <c r="C68" s="87"/>
      <c r="D68" s="87"/>
      <c r="E68" s="87"/>
      <c r="F68" s="132"/>
      <c r="G68" s="135"/>
      <c r="H68" s="135"/>
      <c r="I68" s="104"/>
      <c r="J68" s="99"/>
      <c r="K68" s="123"/>
      <c r="L68" s="89"/>
      <c r="M68" s="87"/>
      <c r="N68" s="87"/>
      <c r="O68" s="87"/>
      <c r="P68" s="87"/>
      <c r="Q68" s="87"/>
      <c r="R68" s="87"/>
    </row>
    <row r="69" spans="1:18" x14ac:dyDescent="0.35">
      <c r="A69" s="102" t="s">
        <v>447</v>
      </c>
      <c r="B69" s="88"/>
      <c r="C69" s="88"/>
      <c r="D69" s="88"/>
      <c r="E69" s="88"/>
      <c r="F69" s="133"/>
      <c r="G69" s="136"/>
      <c r="H69" s="136"/>
      <c r="I69" s="105"/>
      <c r="J69" s="114"/>
      <c r="K69" s="124"/>
      <c r="L69" s="90"/>
      <c r="M69" s="88"/>
      <c r="N69" s="88"/>
      <c r="O69" s="88"/>
      <c r="P69" s="88"/>
      <c r="Q69" s="88"/>
      <c r="R69" s="88"/>
    </row>
    <row r="70" spans="1:18" x14ac:dyDescent="0.35">
      <c r="A70" s="103" t="s">
        <v>448</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71"/>
      <c r="C72" s="572"/>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446</v>
      </c>
      <c r="B73" s="87"/>
      <c r="C73" s="87"/>
      <c r="D73" s="87"/>
      <c r="E73" s="87"/>
      <c r="F73" s="132"/>
      <c r="G73" s="135"/>
      <c r="H73" s="135"/>
      <c r="I73" s="104"/>
      <c r="J73" s="99"/>
      <c r="K73" s="123"/>
      <c r="L73" s="89"/>
      <c r="M73" s="87"/>
      <c r="N73" s="87"/>
      <c r="O73" s="87"/>
      <c r="P73" s="87"/>
      <c r="Q73" s="87"/>
      <c r="R73" s="87"/>
    </row>
    <row r="74" spans="1:18" x14ac:dyDescent="0.35">
      <c r="A74" s="102" t="s">
        <v>447</v>
      </c>
      <c r="B74" s="88"/>
      <c r="C74" s="88"/>
      <c r="D74" s="88"/>
      <c r="E74" s="88"/>
      <c r="F74" s="133"/>
      <c r="G74" s="136"/>
      <c r="H74" s="136"/>
      <c r="I74" s="105"/>
      <c r="J74" s="114"/>
      <c r="K74" s="124"/>
      <c r="L74" s="90"/>
      <c r="M74" s="88"/>
      <c r="N74" s="88"/>
      <c r="O74" s="88"/>
      <c r="P74" s="88"/>
      <c r="Q74" s="88"/>
      <c r="R74" s="88"/>
    </row>
    <row r="75" spans="1:18" x14ac:dyDescent="0.35">
      <c r="A75" s="103" t="s">
        <v>448</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71"/>
      <c r="C77" s="572"/>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446</v>
      </c>
      <c r="B78" s="87"/>
      <c r="C78" s="87"/>
      <c r="D78" s="87"/>
      <c r="E78" s="87"/>
      <c r="F78" s="132"/>
      <c r="G78" s="135"/>
      <c r="H78" s="135"/>
      <c r="I78" s="104"/>
      <c r="J78" s="99"/>
      <c r="K78" s="123"/>
      <c r="L78" s="89"/>
      <c r="M78" s="87"/>
      <c r="N78" s="87"/>
      <c r="O78" s="87"/>
      <c r="P78" s="87"/>
      <c r="Q78" s="87"/>
      <c r="R78" s="87"/>
    </row>
    <row r="79" spans="1:18" x14ac:dyDescent="0.35">
      <c r="A79" s="102" t="s">
        <v>447</v>
      </c>
      <c r="B79" s="88"/>
      <c r="C79" s="88"/>
      <c r="D79" s="88"/>
      <c r="E79" s="88"/>
      <c r="F79" s="133"/>
      <c r="G79" s="136"/>
      <c r="H79" s="136"/>
      <c r="I79" s="105"/>
      <c r="J79" s="114"/>
      <c r="K79" s="124"/>
      <c r="L79" s="90"/>
      <c r="M79" s="88"/>
      <c r="N79" s="88"/>
      <c r="O79" s="88"/>
      <c r="P79" s="88"/>
      <c r="Q79" s="88"/>
      <c r="R79" s="88"/>
    </row>
    <row r="80" spans="1:18" x14ac:dyDescent="0.35">
      <c r="A80" s="103" t="s">
        <v>448</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71"/>
      <c r="C82" s="572"/>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446</v>
      </c>
      <c r="B83" s="87"/>
      <c r="C83" s="87"/>
      <c r="D83" s="87"/>
      <c r="E83" s="87"/>
      <c r="F83" s="132"/>
      <c r="G83" s="135"/>
      <c r="H83" s="135"/>
      <c r="I83" s="104"/>
      <c r="J83" s="99"/>
      <c r="K83" s="123"/>
      <c r="L83" s="89"/>
      <c r="M83" s="87"/>
      <c r="N83" s="87"/>
      <c r="O83" s="87"/>
      <c r="P83" s="87"/>
      <c r="Q83" s="87"/>
      <c r="R83" s="87"/>
    </row>
    <row r="84" spans="1:18" x14ac:dyDescent="0.35">
      <c r="A84" s="102" t="s">
        <v>447</v>
      </c>
      <c r="B84" s="88"/>
      <c r="C84" s="88"/>
      <c r="D84" s="88"/>
      <c r="E84" s="88"/>
      <c r="F84" s="133"/>
      <c r="G84" s="136"/>
      <c r="H84" s="136"/>
      <c r="I84" s="105"/>
      <c r="J84" s="114"/>
      <c r="K84" s="124"/>
      <c r="L84" s="90"/>
      <c r="M84" s="88"/>
      <c r="N84" s="88"/>
      <c r="O84" s="88"/>
      <c r="P84" s="88"/>
      <c r="Q84" s="88"/>
      <c r="R84" s="88"/>
    </row>
    <row r="85" spans="1:18" x14ac:dyDescent="0.35">
      <c r="A85" s="103" t="s">
        <v>448</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71"/>
      <c r="C87" s="572"/>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446</v>
      </c>
      <c r="B88" s="87"/>
      <c r="C88" s="87"/>
      <c r="D88" s="87"/>
      <c r="E88" s="87"/>
      <c r="F88" s="132"/>
      <c r="G88" s="135"/>
      <c r="H88" s="135"/>
      <c r="I88" s="104"/>
      <c r="J88" s="99"/>
      <c r="K88" s="123"/>
      <c r="L88" s="89"/>
      <c r="M88" s="87"/>
      <c r="N88" s="87"/>
      <c r="O88" s="87"/>
      <c r="P88" s="87"/>
      <c r="Q88" s="87"/>
      <c r="R88" s="87"/>
    </row>
    <row r="89" spans="1:18" x14ac:dyDescent="0.35">
      <c r="A89" s="102" t="s">
        <v>447</v>
      </c>
      <c r="B89" s="88"/>
      <c r="C89" s="88"/>
      <c r="D89" s="88"/>
      <c r="E89" s="88"/>
      <c r="F89" s="133"/>
      <c r="G89" s="136"/>
      <c r="H89" s="136"/>
      <c r="I89" s="105"/>
      <c r="J89" s="114"/>
      <c r="K89" s="124"/>
      <c r="L89" s="90"/>
      <c r="M89" s="88"/>
      <c r="N89" s="88"/>
      <c r="O89" s="88"/>
      <c r="P89" s="88"/>
      <c r="Q89" s="88"/>
      <c r="R89" s="88"/>
    </row>
    <row r="90" spans="1:18" x14ac:dyDescent="0.35">
      <c r="A90" s="103" t="s">
        <v>448</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71"/>
      <c r="C92" s="572"/>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446</v>
      </c>
      <c r="B93" s="87"/>
      <c r="C93" s="87"/>
      <c r="D93" s="87"/>
      <c r="E93" s="87"/>
      <c r="F93" s="132"/>
      <c r="G93" s="135"/>
      <c r="H93" s="135"/>
      <c r="I93" s="104"/>
      <c r="J93" s="99"/>
      <c r="K93" s="123"/>
      <c r="L93" s="89"/>
      <c r="M93" s="87"/>
      <c r="N93" s="87"/>
      <c r="O93" s="87"/>
      <c r="P93" s="87"/>
      <c r="Q93" s="87"/>
      <c r="R93" s="87"/>
    </row>
    <row r="94" spans="1:18" x14ac:dyDescent="0.35">
      <c r="A94" s="102" t="s">
        <v>447</v>
      </c>
      <c r="B94" s="88"/>
      <c r="C94" s="88"/>
      <c r="D94" s="88"/>
      <c r="E94" s="88"/>
      <c r="F94" s="133"/>
      <c r="G94" s="136"/>
      <c r="H94" s="136"/>
      <c r="I94" s="105"/>
      <c r="J94" s="114"/>
      <c r="K94" s="124"/>
      <c r="L94" s="90"/>
      <c r="M94" s="88"/>
      <c r="N94" s="88"/>
      <c r="O94" s="88"/>
      <c r="P94" s="88"/>
      <c r="Q94" s="88"/>
      <c r="R94" s="88"/>
    </row>
    <row r="95" spans="1:18" x14ac:dyDescent="0.35">
      <c r="A95" s="103" t="s">
        <v>448</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71"/>
      <c r="C97" s="572"/>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446</v>
      </c>
      <c r="B98" s="87"/>
      <c r="C98" s="87"/>
      <c r="D98" s="87"/>
      <c r="E98" s="87"/>
      <c r="F98" s="132"/>
      <c r="G98" s="135"/>
      <c r="H98" s="135"/>
      <c r="I98" s="104"/>
      <c r="J98" s="99"/>
      <c r="K98" s="123"/>
      <c r="L98" s="89"/>
      <c r="M98" s="87"/>
      <c r="N98" s="87"/>
      <c r="O98" s="87"/>
      <c r="P98" s="87"/>
      <c r="Q98" s="87"/>
      <c r="R98" s="87"/>
    </row>
    <row r="99" spans="1:18" x14ac:dyDescent="0.35">
      <c r="A99" s="102" t="s">
        <v>447</v>
      </c>
      <c r="B99" s="88"/>
      <c r="C99" s="88"/>
      <c r="D99" s="88"/>
      <c r="E99" s="88"/>
      <c r="F99" s="133"/>
      <c r="G99" s="136"/>
      <c r="H99" s="136"/>
      <c r="I99" s="105"/>
      <c r="J99" s="114"/>
      <c r="K99" s="124"/>
      <c r="L99" s="90"/>
      <c r="M99" s="88"/>
      <c r="N99" s="88"/>
      <c r="O99" s="88"/>
      <c r="P99" s="88"/>
      <c r="Q99" s="88"/>
      <c r="R99" s="88"/>
    </row>
    <row r="100" spans="1:18" x14ac:dyDescent="0.35">
      <c r="A100" s="103" t="s">
        <v>448</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71"/>
      <c r="C102" s="572"/>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446</v>
      </c>
      <c r="B103" s="87"/>
      <c r="C103" s="87"/>
      <c r="D103" s="87"/>
      <c r="E103" s="87"/>
      <c r="F103" s="132"/>
      <c r="G103" s="135"/>
      <c r="H103" s="135"/>
      <c r="I103" s="104"/>
      <c r="J103" s="99"/>
      <c r="K103" s="123"/>
      <c r="L103" s="89"/>
      <c r="M103" s="87"/>
      <c r="N103" s="87"/>
      <c r="O103" s="87"/>
      <c r="P103" s="87"/>
      <c r="Q103" s="87"/>
      <c r="R103" s="87"/>
    </row>
    <row r="104" spans="1:18" x14ac:dyDescent="0.35">
      <c r="A104" s="102" t="s">
        <v>447</v>
      </c>
      <c r="B104" s="88"/>
      <c r="C104" s="88"/>
      <c r="D104" s="88"/>
      <c r="E104" s="88"/>
      <c r="F104" s="133"/>
      <c r="G104" s="136"/>
      <c r="H104" s="136"/>
      <c r="I104" s="105"/>
      <c r="J104" s="114"/>
      <c r="K104" s="124"/>
      <c r="L104" s="90"/>
      <c r="M104" s="88"/>
      <c r="N104" s="88"/>
      <c r="O104" s="88"/>
      <c r="P104" s="88"/>
      <c r="Q104" s="88"/>
      <c r="R104" s="88"/>
    </row>
    <row r="105" spans="1:18" x14ac:dyDescent="0.35">
      <c r="A105" s="103" t="s">
        <v>448</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71"/>
      <c r="C107" s="572"/>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446</v>
      </c>
      <c r="B108" s="87"/>
      <c r="C108" s="87"/>
      <c r="D108" s="87"/>
      <c r="E108" s="87"/>
      <c r="F108" s="132"/>
      <c r="G108" s="135"/>
      <c r="H108" s="135"/>
      <c r="I108" s="104"/>
      <c r="J108" s="99"/>
      <c r="K108" s="123"/>
      <c r="L108" s="89"/>
      <c r="M108" s="87"/>
      <c r="N108" s="87"/>
      <c r="O108" s="87"/>
      <c r="P108" s="87"/>
      <c r="Q108" s="87"/>
      <c r="R108" s="87"/>
    </row>
    <row r="109" spans="1:18" x14ac:dyDescent="0.35">
      <c r="A109" s="102" t="s">
        <v>447</v>
      </c>
      <c r="B109" s="88"/>
      <c r="C109" s="88"/>
      <c r="D109" s="88"/>
      <c r="E109" s="88"/>
      <c r="F109" s="133"/>
      <c r="G109" s="136"/>
      <c r="H109" s="136"/>
      <c r="I109" s="105"/>
      <c r="J109" s="114"/>
      <c r="K109" s="124"/>
      <c r="L109" s="90"/>
      <c r="M109" s="88"/>
      <c r="N109" s="88"/>
      <c r="O109" s="88"/>
      <c r="P109" s="88"/>
      <c r="Q109" s="88"/>
      <c r="R109" s="88"/>
    </row>
    <row r="110" spans="1:18" x14ac:dyDescent="0.35">
      <c r="A110" s="103" t="s">
        <v>448</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71"/>
      <c r="C112" s="572"/>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446</v>
      </c>
      <c r="B113" s="87"/>
      <c r="C113" s="87"/>
      <c r="D113" s="87"/>
      <c r="E113" s="87"/>
      <c r="F113" s="132"/>
      <c r="G113" s="135"/>
      <c r="H113" s="135"/>
      <c r="I113" s="104"/>
      <c r="J113" s="99"/>
      <c r="K113" s="123"/>
      <c r="L113" s="89"/>
      <c r="M113" s="87"/>
      <c r="N113" s="87"/>
      <c r="O113" s="87"/>
      <c r="P113" s="87"/>
      <c r="Q113" s="87"/>
      <c r="R113" s="87"/>
    </row>
    <row r="114" spans="1:18" x14ac:dyDescent="0.35">
      <c r="A114" s="102" t="s">
        <v>447</v>
      </c>
      <c r="B114" s="88"/>
      <c r="C114" s="88"/>
      <c r="D114" s="88"/>
      <c r="E114" s="88"/>
      <c r="F114" s="133"/>
      <c r="G114" s="136"/>
      <c r="H114" s="136"/>
      <c r="I114" s="105"/>
      <c r="J114" s="114"/>
      <c r="K114" s="124"/>
      <c r="L114" s="90"/>
      <c r="M114" s="88"/>
      <c r="N114" s="88"/>
      <c r="O114" s="88"/>
      <c r="P114" s="88"/>
      <c r="Q114" s="88"/>
      <c r="R114" s="88"/>
    </row>
    <row r="115" spans="1:18" x14ac:dyDescent="0.35">
      <c r="A115" s="103" t="s">
        <v>448</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71"/>
      <c r="C117" s="572"/>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446</v>
      </c>
      <c r="B118" s="87"/>
      <c r="C118" s="87"/>
      <c r="D118" s="87"/>
      <c r="E118" s="87"/>
      <c r="F118" s="132"/>
      <c r="G118" s="135"/>
      <c r="H118" s="135"/>
      <c r="I118" s="104"/>
      <c r="J118" s="99"/>
      <c r="K118" s="123"/>
      <c r="L118" s="89"/>
      <c r="M118" s="87"/>
      <c r="N118" s="87"/>
      <c r="O118" s="87"/>
      <c r="P118" s="87"/>
      <c r="Q118" s="87"/>
      <c r="R118" s="87"/>
    </row>
    <row r="119" spans="1:18" x14ac:dyDescent="0.35">
      <c r="A119" s="102" t="s">
        <v>447</v>
      </c>
      <c r="B119" s="88"/>
      <c r="C119" s="88"/>
      <c r="D119" s="88"/>
      <c r="E119" s="88"/>
      <c r="F119" s="133"/>
      <c r="G119" s="136"/>
      <c r="H119" s="136"/>
      <c r="I119" s="105"/>
      <c r="J119" s="114"/>
      <c r="K119" s="124"/>
      <c r="L119" s="90"/>
      <c r="M119" s="88"/>
      <c r="N119" s="88"/>
      <c r="O119" s="88"/>
      <c r="P119" s="88"/>
      <c r="Q119" s="88"/>
      <c r="R119" s="88"/>
    </row>
    <row r="120" spans="1:18" x14ac:dyDescent="0.35">
      <c r="A120" s="103" t="s">
        <v>448</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71"/>
      <c r="C122" s="572"/>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446</v>
      </c>
      <c r="B123" s="87"/>
      <c r="C123" s="87"/>
      <c r="D123" s="87"/>
      <c r="E123" s="87"/>
      <c r="F123" s="132"/>
      <c r="G123" s="135"/>
      <c r="H123" s="135"/>
      <c r="I123" s="104"/>
      <c r="J123" s="99"/>
      <c r="K123" s="123"/>
      <c r="L123" s="89"/>
      <c r="M123" s="87"/>
      <c r="N123" s="87"/>
      <c r="O123" s="87"/>
      <c r="P123" s="87"/>
      <c r="Q123" s="87"/>
      <c r="R123" s="87"/>
    </row>
    <row r="124" spans="1:18" x14ac:dyDescent="0.35">
      <c r="A124" s="102" t="s">
        <v>447</v>
      </c>
      <c r="B124" s="88"/>
      <c r="C124" s="88"/>
      <c r="D124" s="88"/>
      <c r="E124" s="88"/>
      <c r="F124" s="133"/>
      <c r="G124" s="136"/>
      <c r="H124" s="136"/>
      <c r="I124" s="105"/>
      <c r="J124" s="114"/>
      <c r="K124" s="124"/>
      <c r="L124" s="90"/>
      <c r="M124" s="88"/>
      <c r="N124" s="88"/>
      <c r="O124" s="88"/>
      <c r="P124" s="88"/>
      <c r="Q124" s="88"/>
      <c r="R124" s="88"/>
    </row>
    <row r="125" spans="1:18" x14ac:dyDescent="0.35">
      <c r="A125" s="103" t="s">
        <v>448</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71"/>
      <c r="C127" s="572"/>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446</v>
      </c>
      <c r="B128" s="87"/>
      <c r="C128" s="87"/>
      <c r="D128" s="87"/>
      <c r="E128" s="87"/>
      <c r="F128" s="132"/>
      <c r="G128" s="135"/>
      <c r="H128" s="135"/>
      <c r="I128" s="104"/>
      <c r="J128" s="99"/>
      <c r="K128" s="123"/>
      <c r="L128" s="89"/>
      <c r="M128" s="87"/>
      <c r="N128" s="87"/>
      <c r="O128" s="87"/>
      <c r="P128" s="87"/>
      <c r="Q128" s="87"/>
      <c r="R128" s="87"/>
    </row>
    <row r="129" spans="1:18" x14ac:dyDescent="0.35">
      <c r="A129" s="102" t="s">
        <v>447</v>
      </c>
      <c r="B129" s="88"/>
      <c r="C129" s="88"/>
      <c r="D129" s="88"/>
      <c r="E129" s="88"/>
      <c r="F129" s="133"/>
      <c r="G129" s="136"/>
      <c r="H129" s="136"/>
      <c r="I129" s="105"/>
      <c r="J129" s="114"/>
      <c r="K129" s="124"/>
      <c r="L129" s="90"/>
      <c r="M129" s="88"/>
      <c r="N129" s="88"/>
      <c r="O129" s="88"/>
      <c r="P129" s="88"/>
      <c r="Q129" s="88"/>
      <c r="R129" s="88"/>
    </row>
    <row r="130" spans="1:18" x14ac:dyDescent="0.35">
      <c r="A130" s="103" t="s">
        <v>448</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71"/>
      <c r="C132" s="572"/>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446</v>
      </c>
      <c r="B133" s="87"/>
      <c r="C133" s="87"/>
      <c r="D133" s="87"/>
      <c r="E133" s="87"/>
      <c r="F133" s="132"/>
      <c r="G133" s="135"/>
      <c r="H133" s="135"/>
      <c r="I133" s="104"/>
      <c r="J133" s="99"/>
      <c r="K133" s="123"/>
      <c r="L133" s="89"/>
      <c r="M133" s="87"/>
      <c r="N133" s="87"/>
      <c r="O133" s="87"/>
      <c r="P133" s="87"/>
      <c r="Q133" s="87"/>
      <c r="R133" s="87"/>
    </row>
    <row r="134" spans="1:18" x14ac:dyDescent="0.35">
      <c r="A134" s="102" t="s">
        <v>447</v>
      </c>
      <c r="B134" s="88"/>
      <c r="C134" s="88"/>
      <c r="D134" s="88"/>
      <c r="E134" s="88"/>
      <c r="F134" s="133"/>
      <c r="G134" s="136"/>
      <c r="H134" s="136"/>
      <c r="I134" s="105"/>
      <c r="J134" s="114"/>
      <c r="K134" s="124"/>
      <c r="L134" s="90"/>
      <c r="M134" s="88"/>
      <c r="N134" s="88"/>
      <c r="O134" s="88"/>
      <c r="P134" s="88"/>
      <c r="Q134" s="88"/>
      <c r="R134" s="88"/>
    </row>
    <row r="135" spans="1:18" x14ac:dyDescent="0.35">
      <c r="A135" s="103" t="s">
        <v>448</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71"/>
      <c r="C137" s="572"/>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446</v>
      </c>
      <c r="B138" s="87"/>
      <c r="C138" s="87"/>
      <c r="D138" s="87"/>
      <c r="E138" s="87"/>
      <c r="F138" s="132"/>
      <c r="G138" s="135"/>
      <c r="H138" s="135"/>
      <c r="I138" s="104"/>
      <c r="J138" s="99"/>
      <c r="K138" s="123"/>
      <c r="L138" s="89"/>
      <c r="M138" s="87"/>
      <c r="N138" s="87"/>
      <c r="O138" s="87"/>
      <c r="P138" s="87"/>
      <c r="Q138" s="87"/>
      <c r="R138" s="87"/>
    </row>
    <row r="139" spans="1:18" x14ac:dyDescent="0.35">
      <c r="A139" s="102" t="s">
        <v>447</v>
      </c>
      <c r="B139" s="88"/>
      <c r="C139" s="88"/>
      <c r="D139" s="88"/>
      <c r="E139" s="88"/>
      <c r="F139" s="133"/>
      <c r="G139" s="136"/>
      <c r="H139" s="136"/>
      <c r="I139" s="105"/>
      <c r="J139" s="114"/>
      <c r="K139" s="124"/>
      <c r="L139" s="90"/>
      <c r="M139" s="88"/>
      <c r="N139" s="88"/>
      <c r="O139" s="88"/>
      <c r="P139" s="88"/>
      <c r="Q139" s="88"/>
      <c r="R139" s="88"/>
    </row>
    <row r="140" spans="1:18" x14ac:dyDescent="0.35">
      <c r="A140" s="103" t="s">
        <v>448</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71"/>
      <c r="C142" s="572"/>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446</v>
      </c>
      <c r="B143" s="87"/>
      <c r="C143" s="87"/>
      <c r="D143" s="87"/>
      <c r="E143" s="87"/>
      <c r="F143" s="132"/>
      <c r="G143" s="135"/>
      <c r="H143" s="135"/>
      <c r="I143" s="104"/>
      <c r="J143" s="99"/>
      <c r="K143" s="123"/>
      <c r="L143" s="89"/>
      <c r="M143" s="87"/>
      <c r="N143" s="87"/>
      <c r="O143" s="87"/>
      <c r="P143" s="87"/>
      <c r="Q143" s="87"/>
      <c r="R143" s="87"/>
    </row>
    <row r="144" spans="1:18" x14ac:dyDescent="0.35">
      <c r="A144" s="102" t="s">
        <v>447</v>
      </c>
      <c r="B144" s="88"/>
      <c r="C144" s="88"/>
      <c r="D144" s="88"/>
      <c r="E144" s="88"/>
      <c r="F144" s="133"/>
      <c r="G144" s="136"/>
      <c r="H144" s="136"/>
      <c r="I144" s="105"/>
      <c r="J144" s="114"/>
      <c r="K144" s="124"/>
      <c r="L144" s="90"/>
      <c r="M144" s="88"/>
      <c r="N144" s="88"/>
      <c r="O144" s="88"/>
      <c r="P144" s="88"/>
      <c r="Q144" s="88"/>
      <c r="R144" s="88"/>
    </row>
    <row r="145" spans="1:18" x14ac:dyDescent="0.35">
      <c r="A145" s="103" t="s">
        <v>448</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71"/>
      <c r="C147" s="572"/>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446</v>
      </c>
      <c r="B148" s="87"/>
      <c r="C148" s="87"/>
      <c r="D148" s="87"/>
      <c r="E148" s="87"/>
      <c r="F148" s="132"/>
      <c r="G148" s="135"/>
      <c r="H148" s="135"/>
      <c r="I148" s="104"/>
      <c r="J148" s="99"/>
      <c r="K148" s="123"/>
      <c r="L148" s="89"/>
      <c r="M148" s="87"/>
      <c r="N148" s="87"/>
      <c r="O148" s="87"/>
      <c r="P148" s="87"/>
      <c r="Q148" s="87"/>
      <c r="R148" s="87"/>
    </row>
    <row r="149" spans="1:18" x14ac:dyDescent="0.35">
      <c r="A149" s="102" t="s">
        <v>447</v>
      </c>
      <c r="B149" s="88"/>
      <c r="C149" s="88"/>
      <c r="D149" s="88"/>
      <c r="E149" s="88"/>
      <c r="F149" s="133"/>
      <c r="G149" s="136"/>
      <c r="H149" s="136"/>
      <c r="I149" s="105"/>
      <c r="J149" s="114"/>
      <c r="K149" s="124"/>
      <c r="L149" s="90"/>
      <c r="M149" s="88"/>
      <c r="N149" s="88"/>
      <c r="O149" s="88"/>
      <c r="P149" s="88"/>
      <c r="Q149" s="88"/>
      <c r="R149" s="88"/>
    </row>
    <row r="150" spans="1:18" x14ac:dyDescent="0.35">
      <c r="A150" s="103" t="s">
        <v>448</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71"/>
      <c r="C152" s="572"/>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446</v>
      </c>
      <c r="B153" s="87"/>
      <c r="C153" s="87"/>
      <c r="D153" s="87"/>
      <c r="E153" s="87"/>
      <c r="F153" s="132"/>
      <c r="G153" s="135"/>
      <c r="H153" s="135"/>
      <c r="I153" s="104"/>
      <c r="J153" s="99"/>
      <c r="K153" s="123"/>
      <c r="L153" s="89"/>
      <c r="M153" s="87"/>
      <c r="N153" s="87"/>
      <c r="O153" s="87"/>
      <c r="P153" s="87"/>
      <c r="Q153" s="87"/>
      <c r="R153" s="87"/>
    </row>
    <row r="154" spans="1:18" x14ac:dyDescent="0.35">
      <c r="A154" s="102" t="s">
        <v>447</v>
      </c>
      <c r="B154" s="88"/>
      <c r="C154" s="88"/>
      <c r="D154" s="88"/>
      <c r="E154" s="88"/>
      <c r="F154" s="133"/>
      <c r="G154" s="136"/>
      <c r="H154" s="136"/>
      <c r="I154" s="105"/>
      <c r="J154" s="114"/>
      <c r="K154" s="124"/>
      <c r="L154" s="90"/>
      <c r="M154" s="88"/>
      <c r="N154" s="88"/>
      <c r="O154" s="88"/>
      <c r="P154" s="88"/>
      <c r="Q154" s="88"/>
      <c r="R154" s="88"/>
    </row>
    <row r="155" spans="1:18" x14ac:dyDescent="0.35">
      <c r="A155" s="103" t="s">
        <v>448</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71"/>
      <c r="C157" s="572"/>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446</v>
      </c>
      <c r="B158" s="87"/>
      <c r="C158" s="87"/>
      <c r="D158" s="87"/>
      <c r="E158" s="87"/>
      <c r="F158" s="132"/>
      <c r="G158" s="135"/>
      <c r="H158" s="135"/>
      <c r="I158" s="104"/>
      <c r="J158" s="99"/>
      <c r="K158" s="123"/>
      <c r="L158" s="89"/>
      <c r="M158" s="87"/>
      <c r="N158" s="87"/>
      <c r="O158" s="87"/>
      <c r="P158" s="87"/>
      <c r="Q158" s="87"/>
      <c r="R158" s="87"/>
    </row>
    <row r="159" spans="1:18" x14ac:dyDescent="0.35">
      <c r="A159" s="102" t="s">
        <v>447</v>
      </c>
      <c r="B159" s="88"/>
      <c r="C159" s="88"/>
      <c r="D159" s="88"/>
      <c r="E159" s="88"/>
      <c r="F159" s="133"/>
      <c r="G159" s="136"/>
      <c r="H159" s="136"/>
      <c r="I159" s="105"/>
      <c r="J159" s="114"/>
      <c r="K159" s="124"/>
      <c r="L159" s="90"/>
      <c r="M159" s="88"/>
      <c r="N159" s="88"/>
      <c r="O159" s="88"/>
      <c r="P159" s="88"/>
      <c r="Q159" s="88"/>
      <c r="R159" s="88"/>
    </row>
    <row r="160" spans="1:18" x14ac:dyDescent="0.35">
      <c r="A160" s="103" t="s">
        <v>448</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71"/>
      <c r="C162" s="572"/>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446</v>
      </c>
      <c r="B163" s="87"/>
      <c r="C163" s="87"/>
      <c r="D163" s="87"/>
      <c r="E163" s="87"/>
      <c r="F163" s="132"/>
      <c r="G163" s="135"/>
      <c r="H163" s="135"/>
      <c r="I163" s="104"/>
      <c r="J163" s="99"/>
      <c r="K163" s="123"/>
      <c r="L163" s="89"/>
      <c r="M163" s="87"/>
      <c r="N163" s="87"/>
      <c r="O163" s="87"/>
      <c r="P163" s="87"/>
      <c r="Q163" s="87"/>
      <c r="R163" s="87"/>
    </row>
    <row r="164" spans="1:18" x14ac:dyDescent="0.35">
      <c r="A164" s="102" t="s">
        <v>447</v>
      </c>
      <c r="B164" s="88"/>
      <c r="C164" s="88"/>
      <c r="D164" s="88"/>
      <c r="E164" s="88"/>
      <c r="F164" s="133"/>
      <c r="G164" s="136"/>
      <c r="H164" s="136"/>
      <c r="I164" s="105"/>
      <c r="J164" s="114"/>
      <c r="K164" s="124"/>
      <c r="L164" s="90"/>
      <c r="M164" s="88"/>
      <c r="N164" s="88"/>
      <c r="O164" s="88"/>
      <c r="P164" s="88"/>
      <c r="Q164" s="88"/>
      <c r="R164" s="88"/>
    </row>
    <row r="165" spans="1:18" x14ac:dyDescent="0.35">
      <c r="A165" s="103" t="s">
        <v>448</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41" t="s">
        <v>173</v>
      </c>
      <c r="C167" s="541"/>
      <c r="D167" s="541"/>
      <c r="E167" s="541"/>
      <c r="F167" s="27">
        <f>F162+F157+F152+F147+F142+F137+F132+F127+F122+F117+F112+F107+F102+F97+F92+F87+F82+F77+F72+F67+F62+F57+F52+F47+F42+F37+F32+F27+F22+F17</f>
        <v>95</v>
      </c>
      <c r="G167" s="32"/>
      <c r="H167" s="32"/>
      <c r="I167" s="32"/>
      <c r="J167" s="32"/>
      <c r="K167" s="27">
        <f>K162+K157+K152+K147+K142+K137+K132+K127+K122+K117+K112+K107+K102+K97+K92+K87+K82+K77+K72+K67+K62+K57+K52+K47+K42+K37+K32+K27+K22+K17</f>
        <v>23407</v>
      </c>
      <c r="L167" s="29">
        <f>IF(K167&gt;0,K167/(F167*365),"")</f>
        <v>0.67503965392934395</v>
      </c>
      <c r="M167" s="27">
        <f>M162+M157+M152+M147+M142+M137+M132+M127+M122+M117+M112+M107+M102+M97+M92+M87+M82+M77+M72+M67+M62+M57+M52+M47+M42+M37+M32+M27+M22+M17</f>
        <v>33565050</v>
      </c>
      <c r="N167" s="17">
        <f t="shared" ref="N167" si="0">IFERROR(M167/K167,"")</f>
        <v>1433.9748793096082</v>
      </c>
      <c r="O167" s="27">
        <f>O162+O157+O152+O147+O142+O137+O132+O127+O122+O117+O112+O107+O102+O97+O92+O87+O82+O77+O72+O67+O62+O57+O52+O47+O42+O37+O32+O27+O22+O17</f>
        <v>3584981</v>
      </c>
      <c r="P167" s="17">
        <f t="shared" ref="P167" si="1">IFERROR(O167/K167,"")</f>
        <v>153.1584995941385</v>
      </c>
      <c r="Q167" s="30">
        <f t="shared" ref="Q167" si="2">IF(M167=0,"",M167-O167)</f>
        <v>29980069</v>
      </c>
      <c r="R167" s="17">
        <f t="shared" ref="R167" si="3">IFERROR(Q167/K167,"")</f>
        <v>1280.8163797154698</v>
      </c>
    </row>
    <row r="169" spans="1:18" x14ac:dyDescent="0.35">
      <c r="A169" s="19">
        <v>32</v>
      </c>
      <c r="L169" s="37" t="s">
        <v>198</v>
      </c>
      <c r="M169" s="39">
        <f>'As-Filed Schedule 1'!G91</f>
        <v>33565050.909999996</v>
      </c>
    </row>
    <row r="170" spans="1:18" x14ac:dyDescent="0.35">
      <c r="A170" s="19">
        <v>33</v>
      </c>
      <c r="L170" s="37" t="s">
        <v>185</v>
      </c>
      <c r="M170" s="39">
        <f>'As-Filed Schedule 1'!G93</f>
        <v>5010400</v>
      </c>
    </row>
    <row r="171" spans="1:18" x14ac:dyDescent="0.35">
      <c r="A171" s="19">
        <v>34</v>
      </c>
      <c r="L171" s="37" t="s">
        <v>199</v>
      </c>
      <c r="M171" s="18">
        <f>SUM(M169:M170)</f>
        <v>38575450.909999996</v>
      </c>
    </row>
    <row r="172" spans="1:18" x14ac:dyDescent="0.35">
      <c r="A172" s="19">
        <v>35</v>
      </c>
      <c r="L172" s="37" t="s">
        <v>10</v>
      </c>
      <c r="M172" s="18">
        <f>M167-M171</f>
        <v>-5010400.9099999964</v>
      </c>
    </row>
    <row r="173" spans="1:18" x14ac:dyDescent="0.35">
      <c r="M173" s="38" t="str">
        <f>IF(M172&lt;&gt;0,"ERROR","")</f>
        <v>ERROR</v>
      </c>
    </row>
    <row r="174" spans="1:18" ht="39" customHeight="1" x14ac:dyDescent="0.35">
      <c r="J174" s="6" t="s">
        <v>40</v>
      </c>
      <c r="K174" s="6" t="s">
        <v>445</v>
      </c>
      <c r="L174" s="6" t="s">
        <v>444</v>
      </c>
      <c r="M174" s="78" t="s">
        <v>10</v>
      </c>
    </row>
    <row r="175" spans="1:18" x14ac:dyDescent="0.35">
      <c r="A175" s="19">
        <v>36</v>
      </c>
      <c r="J175" s="93" t="s">
        <v>441</v>
      </c>
      <c r="K175" s="27">
        <f>SUMIF($J$17:$J$167,"H0010 3.2 WM",$K$17:$K$167)</f>
        <v>0</v>
      </c>
      <c r="L175" s="27">
        <f>'As-Filed Schedule 4'!D122+'As-Filed Schedule 4'!H122</f>
        <v>386</v>
      </c>
      <c r="M175" s="27">
        <f>L175-K175</f>
        <v>386</v>
      </c>
      <c r="N175" s="92" t="str">
        <f>IF(M175&lt;&gt;0,"ERROR","")</f>
        <v>ERROR</v>
      </c>
    </row>
    <row r="176" spans="1:18" x14ac:dyDescent="0.35">
      <c r="A176" s="19">
        <v>37</v>
      </c>
      <c r="J176" s="94" t="s">
        <v>442</v>
      </c>
      <c r="K176" s="27">
        <f>SUMIF($J$17:$J$167,"H0011 3.7 WM",$K$17:$K$167)</f>
        <v>0</v>
      </c>
      <c r="L176" s="27">
        <f>'As-Filed Schedule 4'!D123+'As-Filed Schedule 4'!H123</f>
        <v>3736</v>
      </c>
      <c r="M176" s="27">
        <f t="shared" ref="M176:M179" si="4">L176-K176</f>
        <v>3736</v>
      </c>
      <c r="N176" s="92" t="str">
        <f t="shared" ref="N176:N179" si="5">IF(M176&lt;&gt;0,"ERROR","")</f>
        <v>ERROR</v>
      </c>
    </row>
    <row r="177" spans="1:14" x14ac:dyDescent="0.35">
      <c r="A177" s="19">
        <v>38</v>
      </c>
      <c r="C177" s="232" t="s">
        <v>475</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467</v>
      </c>
      <c r="D178" s="235"/>
      <c r="E178" s="235" t="s">
        <v>471</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476</v>
      </c>
      <c r="D179" s="235"/>
      <c r="E179" s="235" t="s">
        <v>473</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468</v>
      </c>
      <c r="D180" s="235"/>
      <c r="E180" s="235" t="s">
        <v>472</v>
      </c>
      <c r="F180" s="100"/>
      <c r="G180" s="146"/>
      <c r="J180" s="95" t="s">
        <v>439</v>
      </c>
      <c r="K180" s="106">
        <f t="shared" si="6"/>
        <v>0</v>
      </c>
      <c r="L180" s="89"/>
      <c r="M180" s="87"/>
    </row>
    <row r="181" spans="1:14" x14ac:dyDescent="0.35">
      <c r="A181" s="19">
        <v>42</v>
      </c>
      <c r="C181" s="234" t="s">
        <v>469</v>
      </c>
      <c r="D181" s="235"/>
      <c r="E181" s="235" t="s">
        <v>470</v>
      </c>
      <c r="F181" s="100"/>
      <c r="G181" s="146"/>
      <c r="J181" s="95" t="s">
        <v>443</v>
      </c>
      <c r="K181" s="108">
        <f t="shared" si="6"/>
        <v>0</v>
      </c>
      <c r="L181" s="90"/>
      <c r="M181" s="88"/>
    </row>
    <row r="182" spans="1:14" x14ac:dyDescent="0.35">
      <c r="A182" s="19">
        <v>43</v>
      </c>
      <c r="C182" s="236" t="s">
        <v>477</v>
      </c>
      <c r="D182" s="237"/>
      <c r="E182" s="237" t="s">
        <v>474</v>
      </c>
      <c r="F182" s="238"/>
      <c r="G182" s="147"/>
      <c r="J182" s="95" t="s">
        <v>438</v>
      </c>
      <c r="K182" s="108">
        <f t="shared" si="6"/>
        <v>0</v>
      </c>
      <c r="L182" s="109"/>
      <c r="M182" s="110"/>
    </row>
    <row r="183" spans="1:14" x14ac:dyDescent="0.35">
      <c r="A183" s="19">
        <v>44</v>
      </c>
      <c r="C183" s="100"/>
      <c r="D183" s="100"/>
      <c r="E183" s="100"/>
      <c r="F183" s="100"/>
      <c r="J183" s="96" t="s">
        <v>437</v>
      </c>
      <c r="K183" s="107">
        <f t="shared" si="6"/>
        <v>0</v>
      </c>
      <c r="L183" s="27">
        <f>'As-Filed Schedule 4'!D180+'As-Filed Schedule 4'!H180</f>
        <v>9375</v>
      </c>
      <c r="M183" s="27">
        <f>L183-SUM(K180:K183)</f>
        <v>9375</v>
      </c>
      <c r="N183" s="92" t="str">
        <f t="shared" ref="N183" si="7">IF(M183&lt;&gt;0,"ERROR","")</f>
        <v>ERROR</v>
      </c>
    </row>
    <row r="184" spans="1:14" x14ac:dyDescent="0.35">
      <c r="A184" s="19">
        <v>45</v>
      </c>
      <c r="C184" s="100"/>
      <c r="D184" s="100"/>
      <c r="E184" s="100"/>
      <c r="F184" s="100"/>
      <c r="J184" s="94" t="s">
        <v>480</v>
      </c>
      <c r="K184" s="27">
        <f t="shared" si="6"/>
        <v>0</v>
      </c>
      <c r="L184" s="90"/>
      <c r="M184" s="88"/>
    </row>
    <row r="185" spans="1:14" x14ac:dyDescent="0.35">
      <c r="C185" s="100"/>
      <c r="D185" s="100"/>
      <c r="E185" s="100"/>
      <c r="F185" s="100"/>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17:C17"/>
    <mergeCell ref="B22:C22"/>
    <mergeCell ref="B27:C27"/>
    <mergeCell ref="B37:C37"/>
    <mergeCell ref="B32:C32"/>
    <mergeCell ref="B67:C67"/>
    <mergeCell ref="B72:C72"/>
    <mergeCell ref="B42:C42"/>
    <mergeCell ref="B52:C52"/>
    <mergeCell ref="B47:C47"/>
    <mergeCell ref="B57:C57"/>
    <mergeCell ref="B62:C62"/>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162:C162"/>
    <mergeCell ref="B132:C132"/>
    <mergeCell ref="B137:C137"/>
    <mergeCell ref="B142:C142"/>
    <mergeCell ref="B147:C147"/>
    <mergeCell ref="B152:C152"/>
    <mergeCell ref="B77:C77"/>
    <mergeCell ref="B82:C82"/>
    <mergeCell ref="B87:C87"/>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928</v>
      </c>
      <c r="B3" s="5"/>
      <c r="C3" s="7"/>
      <c r="D3" s="54"/>
      <c r="E3" s="51"/>
      <c r="F3" s="51"/>
      <c r="G3" s="52"/>
      <c r="H3" s="52"/>
      <c r="I3" s="14"/>
      <c r="J3" s="14"/>
    </row>
    <row r="4" spans="1:12" x14ac:dyDescent="0.35">
      <c r="D4" s="54"/>
      <c r="E4" s="49"/>
      <c r="F4" s="49"/>
      <c r="G4" s="50"/>
      <c r="H4" s="50"/>
      <c r="K4" s="553"/>
      <c r="L4" s="553"/>
    </row>
    <row r="5" spans="1:12" ht="15" customHeight="1" x14ac:dyDescent="0.35">
      <c r="A5" s="1" t="s">
        <v>772</v>
      </c>
      <c r="C5" s="420" t="str">
        <f>'As-Filed Schedule 1'!C5</f>
        <v>Mind Springs Health</v>
      </c>
      <c r="D5" s="55"/>
      <c r="E5" s="53"/>
      <c r="F5" s="53"/>
      <c r="G5" s="50"/>
      <c r="H5" s="50"/>
      <c r="K5" s="553"/>
      <c r="L5" s="553"/>
    </row>
    <row r="6" spans="1:12" x14ac:dyDescent="0.35">
      <c r="A6" s="1" t="s">
        <v>0</v>
      </c>
      <c r="C6" s="35">
        <f>'As-Filed Schedule 1'!C6</f>
        <v>45473</v>
      </c>
      <c r="D6" s="35"/>
      <c r="E6" s="35"/>
      <c r="F6" s="35"/>
      <c r="K6" s="553"/>
      <c r="L6" s="553"/>
    </row>
    <row r="7" spans="1:12" x14ac:dyDescent="0.35">
      <c r="A7" s="1"/>
      <c r="C7" s="35"/>
      <c r="D7" s="23">
        <v>1</v>
      </c>
      <c r="E7" s="35"/>
      <c r="F7" s="23">
        <v>3</v>
      </c>
      <c r="H7" s="205"/>
      <c r="I7" s="175">
        <v>6</v>
      </c>
      <c r="J7" s="205"/>
      <c r="K7" s="175">
        <v>8</v>
      </c>
      <c r="L7" s="81"/>
    </row>
    <row r="8" spans="1:12" x14ac:dyDescent="0.35">
      <c r="A8" s="19">
        <v>1</v>
      </c>
      <c r="C8" s="46" t="s">
        <v>192</v>
      </c>
      <c r="D8" s="26">
        <f>'As-Filed Schedule 1'!F95</f>
        <v>21134360.25</v>
      </c>
      <c r="E8" s="46" t="s">
        <v>196</v>
      </c>
      <c r="F8" s="31">
        <f>F197</f>
        <v>151578.33999999997</v>
      </c>
      <c r="H8" s="427" t="s">
        <v>856</v>
      </c>
      <c r="I8" s="26">
        <f>'As-Filed Schedule 1'!F95</f>
        <v>21134360.25</v>
      </c>
      <c r="J8" s="427" t="s">
        <v>857</v>
      </c>
      <c r="K8" s="180"/>
      <c r="L8" s="25"/>
    </row>
    <row r="9" spans="1:12" x14ac:dyDescent="0.35">
      <c r="A9" s="19">
        <v>2</v>
      </c>
      <c r="C9" s="46" t="s">
        <v>250</v>
      </c>
      <c r="D9" s="117"/>
      <c r="E9" s="46" t="s">
        <v>197</v>
      </c>
      <c r="F9" s="31">
        <f>J197</f>
        <v>125369.76999999995</v>
      </c>
      <c r="H9" s="427" t="s">
        <v>858</v>
      </c>
      <c r="I9" s="180"/>
      <c r="J9" s="557"/>
      <c r="K9" s="557"/>
      <c r="L9" s="45"/>
    </row>
    <row r="10" spans="1:12" x14ac:dyDescent="0.35">
      <c r="A10" s="19">
        <v>3</v>
      </c>
      <c r="C10" s="42" t="s">
        <v>193</v>
      </c>
      <c r="D10" s="18">
        <f>D8-D9</f>
        <v>21134360.25</v>
      </c>
      <c r="E10" s="42" t="s">
        <v>194</v>
      </c>
      <c r="F10" s="9">
        <f>SUM(F8:F9)</f>
        <v>276948.10999999993</v>
      </c>
      <c r="H10" s="428" t="s">
        <v>859</v>
      </c>
      <c r="I10" s="185">
        <f>I8-I9</f>
        <v>21134360.25</v>
      </c>
      <c r="J10" s="557"/>
      <c r="K10" s="557"/>
      <c r="L10" s="45"/>
    </row>
    <row r="11" spans="1:12" x14ac:dyDescent="0.35">
      <c r="A11" s="1"/>
      <c r="H11" s="206"/>
      <c r="I11" s="206"/>
      <c r="J11" s="557"/>
      <c r="K11" s="558"/>
      <c r="L11" s="45"/>
    </row>
    <row r="12" spans="1:12" ht="18.5" x14ac:dyDescent="0.45">
      <c r="A12" s="19">
        <v>4</v>
      </c>
      <c r="E12" s="44" t="s">
        <v>195</v>
      </c>
      <c r="F12" s="43">
        <f>D10/F10</f>
        <v>76.311624766097907</v>
      </c>
      <c r="H12" s="206"/>
      <c r="I12" s="206"/>
      <c r="J12" s="429" t="s">
        <v>860</v>
      </c>
      <c r="K12" s="430" t="e">
        <f>I10/K8</f>
        <v>#DIV/0!</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54" t="s">
        <v>190</v>
      </c>
      <c r="E15" s="555"/>
      <c r="F15" s="555"/>
      <c r="G15" s="556"/>
      <c r="H15" s="554" t="s">
        <v>191</v>
      </c>
      <c r="I15" s="555"/>
      <c r="J15" s="555"/>
      <c r="K15" s="556"/>
    </row>
    <row r="16" spans="1:12" ht="29" x14ac:dyDescent="0.35">
      <c r="B16" s="208" t="s">
        <v>40</v>
      </c>
      <c r="C16" s="208" t="s">
        <v>11</v>
      </c>
      <c r="D16" s="208" t="s">
        <v>186</v>
      </c>
      <c r="E16" s="239" t="s">
        <v>482</v>
      </c>
      <c r="F16" s="239" t="s">
        <v>188</v>
      </c>
      <c r="G16" s="240" t="s">
        <v>156</v>
      </c>
      <c r="H16" s="240" t="s">
        <v>187</v>
      </c>
      <c r="I16" s="239" t="s">
        <v>483</v>
      </c>
      <c r="J16" s="16" t="s">
        <v>189</v>
      </c>
      <c r="K16" s="15" t="s">
        <v>157</v>
      </c>
    </row>
    <row r="17" spans="1:11" s="22" customFormat="1" x14ac:dyDescent="0.35">
      <c r="A17" s="19">
        <v>5</v>
      </c>
      <c r="B17" s="424" t="s">
        <v>786</v>
      </c>
      <c r="C17" s="20" t="s">
        <v>787</v>
      </c>
      <c r="D17" s="116"/>
      <c r="E17" s="410">
        <v>0</v>
      </c>
      <c r="F17" s="148">
        <f>D17*E17</f>
        <v>0</v>
      </c>
      <c r="G17" s="149">
        <f t="shared" ref="G17" si="0">E17*$F$12</f>
        <v>0</v>
      </c>
      <c r="H17" s="150"/>
      <c r="I17" s="410">
        <v>0</v>
      </c>
      <c r="J17" s="47">
        <f>H17*I17</f>
        <v>0</v>
      </c>
      <c r="K17" s="21">
        <f t="shared" ref="K17" si="1">I17*$F$12</f>
        <v>0</v>
      </c>
    </row>
    <row r="18" spans="1:11" s="22" customFormat="1" x14ac:dyDescent="0.35">
      <c r="A18" s="19">
        <v>6</v>
      </c>
      <c r="B18" s="19">
        <v>80305</v>
      </c>
      <c r="C18" s="20" t="s">
        <v>111</v>
      </c>
      <c r="D18" s="116">
        <v>2</v>
      </c>
      <c r="E18" s="410">
        <v>0</v>
      </c>
      <c r="F18" s="148">
        <f>D18*E18</f>
        <v>0</v>
      </c>
      <c r="G18" s="149">
        <f t="shared" ref="G18:G73" si="2">E18*$F$12</f>
        <v>0</v>
      </c>
      <c r="H18" s="116">
        <v>9</v>
      </c>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16"/>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16"/>
      <c r="I20" s="410">
        <v>0</v>
      </c>
      <c r="J20" s="47">
        <f t="shared" si="4"/>
        <v>0</v>
      </c>
      <c r="K20" s="21">
        <f t="shared" si="3"/>
        <v>0</v>
      </c>
    </row>
    <row r="21" spans="1:11" s="22" customFormat="1" x14ac:dyDescent="0.35">
      <c r="A21" s="19">
        <v>9</v>
      </c>
      <c r="B21" s="19">
        <v>90785</v>
      </c>
      <c r="C21" s="20" t="s">
        <v>318</v>
      </c>
      <c r="D21" s="116"/>
      <c r="E21" s="410">
        <v>0.44</v>
      </c>
      <c r="F21" s="47">
        <f t="shared" si="5"/>
        <v>0</v>
      </c>
      <c r="G21" s="21">
        <f t="shared" si="2"/>
        <v>33.577114897083078</v>
      </c>
      <c r="H21" s="116"/>
      <c r="I21" s="410">
        <v>0.39</v>
      </c>
      <c r="J21" s="47">
        <f t="shared" si="4"/>
        <v>0</v>
      </c>
      <c r="K21" s="21">
        <f t="shared" si="3"/>
        <v>29.761533658778184</v>
      </c>
    </row>
    <row r="22" spans="1:11" s="22" customFormat="1" x14ac:dyDescent="0.35">
      <c r="A22" s="19">
        <v>10</v>
      </c>
      <c r="B22" s="19">
        <v>90791</v>
      </c>
      <c r="C22" s="20" t="s">
        <v>319</v>
      </c>
      <c r="D22" s="116">
        <v>1021</v>
      </c>
      <c r="E22" s="410">
        <v>5.17</v>
      </c>
      <c r="F22" s="47">
        <f t="shared" si="5"/>
        <v>5278.57</v>
      </c>
      <c r="G22" s="21">
        <f t="shared" si="2"/>
        <v>394.53110004072619</v>
      </c>
      <c r="H22" s="116">
        <v>471</v>
      </c>
      <c r="I22" s="410">
        <v>4.43</v>
      </c>
      <c r="J22" s="47">
        <f t="shared" si="4"/>
        <v>2086.5299999999997</v>
      </c>
      <c r="K22" s="21">
        <f t="shared" si="3"/>
        <v>338.06049771381373</v>
      </c>
    </row>
    <row r="23" spans="1:11" s="22" customFormat="1" x14ac:dyDescent="0.35">
      <c r="A23" s="19">
        <v>11</v>
      </c>
      <c r="B23" s="19">
        <v>90792</v>
      </c>
      <c r="C23" s="20" t="s">
        <v>320</v>
      </c>
      <c r="D23" s="116">
        <v>791</v>
      </c>
      <c r="E23" s="410">
        <v>5.82</v>
      </c>
      <c r="F23" s="47">
        <f t="shared" si="5"/>
        <v>4603.62</v>
      </c>
      <c r="G23" s="21">
        <f t="shared" si="2"/>
        <v>444.13365613868984</v>
      </c>
      <c r="H23" s="116">
        <v>132</v>
      </c>
      <c r="I23" s="410">
        <v>5.08</v>
      </c>
      <c r="J23" s="47">
        <f t="shared" si="4"/>
        <v>670.56000000000006</v>
      </c>
      <c r="K23" s="21">
        <f t="shared" si="3"/>
        <v>387.66305381177739</v>
      </c>
    </row>
    <row r="24" spans="1:11" s="22" customFormat="1" x14ac:dyDescent="0.35">
      <c r="A24" s="19">
        <v>12</v>
      </c>
      <c r="B24" s="19">
        <v>90832</v>
      </c>
      <c r="C24" s="20" t="s">
        <v>324</v>
      </c>
      <c r="D24" s="116">
        <v>952</v>
      </c>
      <c r="E24" s="410">
        <v>2.35</v>
      </c>
      <c r="F24" s="47">
        <f t="shared" si="5"/>
        <v>2237.2000000000003</v>
      </c>
      <c r="G24" s="21">
        <f t="shared" si="2"/>
        <v>179.33231820033009</v>
      </c>
      <c r="H24" s="116">
        <v>329</v>
      </c>
      <c r="I24" s="410">
        <v>2.0499999999999998</v>
      </c>
      <c r="J24" s="47">
        <f t="shared" si="4"/>
        <v>674.44999999999993</v>
      </c>
      <c r="K24" s="21">
        <f t="shared" si="3"/>
        <v>156.43883077050069</v>
      </c>
    </row>
    <row r="25" spans="1:11" s="22" customFormat="1" x14ac:dyDescent="0.35">
      <c r="A25" s="19">
        <v>13</v>
      </c>
      <c r="B25" s="19">
        <v>90833</v>
      </c>
      <c r="C25" s="20" t="s">
        <v>321</v>
      </c>
      <c r="D25" s="116"/>
      <c r="E25" s="410">
        <v>2.16</v>
      </c>
      <c r="F25" s="47">
        <f t="shared" si="5"/>
        <v>0</v>
      </c>
      <c r="G25" s="21">
        <f t="shared" si="2"/>
        <v>164.83310949477149</v>
      </c>
      <c r="H25" s="116"/>
      <c r="I25" s="410">
        <v>1.92</v>
      </c>
      <c r="J25" s="47">
        <f t="shared" si="4"/>
        <v>0</v>
      </c>
      <c r="K25" s="21">
        <f t="shared" si="3"/>
        <v>146.51831955090799</v>
      </c>
    </row>
    <row r="26" spans="1:11" s="22" customFormat="1" x14ac:dyDescent="0.35">
      <c r="A26" s="19">
        <v>14</v>
      </c>
      <c r="B26" s="19">
        <v>90834</v>
      </c>
      <c r="C26" s="20" t="s">
        <v>322</v>
      </c>
      <c r="D26" s="116">
        <v>1016</v>
      </c>
      <c r="E26" s="410">
        <v>3.1</v>
      </c>
      <c r="F26" s="47">
        <f t="shared" si="5"/>
        <v>3149.6</v>
      </c>
      <c r="G26" s="21">
        <f t="shared" si="2"/>
        <v>236.56603677490352</v>
      </c>
      <c r="H26" s="116">
        <v>564</v>
      </c>
      <c r="I26" s="410">
        <v>2.71</v>
      </c>
      <c r="J26" s="47">
        <f t="shared" si="4"/>
        <v>1528.44</v>
      </c>
      <c r="K26" s="21">
        <f t="shared" si="3"/>
        <v>206.80450311612532</v>
      </c>
    </row>
    <row r="27" spans="1:11" s="22" customFormat="1" x14ac:dyDescent="0.35">
      <c r="A27" s="19">
        <v>15</v>
      </c>
      <c r="B27" s="19">
        <v>90836</v>
      </c>
      <c r="C27" s="20" t="s">
        <v>325</v>
      </c>
      <c r="D27" s="116"/>
      <c r="E27" s="410">
        <v>2.73</v>
      </c>
      <c r="F27" s="47">
        <f t="shared" si="5"/>
        <v>0</v>
      </c>
      <c r="G27" s="21">
        <f t="shared" si="2"/>
        <v>208.3307356114473</v>
      </c>
      <c r="H27" s="116"/>
      <c r="I27" s="410">
        <v>2.4300000000000002</v>
      </c>
      <c r="J27" s="47">
        <f t="shared" si="4"/>
        <v>0</v>
      </c>
      <c r="K27" s="21">
        <f t="shared" si="3"/>
        <v>185.43724818161792</v>
      </c>
    </row>
    <row r="28" spans="1:11" s="22" customFormat="1" x14ac:dyDescent="0.35">
      <c r="A28" s="19">
        <v>16</v>
      </c>
      <c r="B28" s="19">
        <v>90837</v>
      </c>
      <c r="C28" s="20" t="s">
        <v>323</v>
      </c>
      <c r="D28" s="116">
        <v>4693</v>
      </c>
      <c r="E28" s="410">
        <v>4.57</v>
      </c>
      <c r="F28" s="47">
        <f t="shared" si="5"/>
        <v>21447.010000000002</v>
      </c>
      <c r="G28" s="21">
        <f t="shared" si="2"/>
        <v>348.74412518106743</v>
      </c>
      <c r="H28" s="116">
        <v>5676</v>
      </c>
      <c r="I28" s="410">
        <v>4</v>
      </c>
      <c r="J28" s="47">
        <f t="shared" si="4"/>
        <v>22704</v>
      </c>
      <c r="K28" s="21">
        <f t="shared" si="3"/>
        <v>305.24649906439163</v>
      </c>
    </row>
    <row r="29" spans="1:11" s="22" customFormat="1" x14ac:dyDescent="0.35">
      <c r="A29" s="19">
        <v>17</v>
      </c>
      <c r="B29" s="19">
        <v>90838</v>
      </c>
      <c r="C29" s="20" t="s">
        <v>326</v>
      </c>
      <c r="D29" s="116"/>
      <c r="E29" s="410">
        <v>3.62</v>
      </c>
      <c r="F29" s="47">
        <f t="shared" si="5"/>
        <v>0</v>
      </c>
      <c r="G29" s="21">
        <f t="shared" si="2"/>
        <v>276.24808165327443</v>
      </c>
      <c r="H29" s="116"/>
      <c r="I29" s="410">
        <v>3.22</v>
      </c>
      <c r="J29" s="47">
        <f t="shared" si="4"/>
        <v>0</v>
      </c>
      <c r="K29" s="21">
        <f t="shared" si="3"/>
        <v>245.72343174683527</v>
      </c>
    </row>
    <row r="30" spans="1:11" s="22" customFormat="1" x14ac:dyDescent="0.35">
      <c r="A30" s="19">
        <v>18</v>
      </c>
      <c r="B30" s="19">
        <v>90839</v>
      </c>
      <c r="C30" s="20" t="s">
        <v>328</v>
      </c>
      <c r="D30" s="116">
        <v>189</v>
      </c>
      <c r="E30" s="410">
        <v>4.4000000000000004</v>
      </c>
      <c r="F30" s="47">
        <f t="shared" si="5"/>
        <v>831.6</v>
      </c>
      <c r="G30" s="21">
        <f t="shared" si="2"/>
        <v>335.77114897083084</v>
      </c>
      <c r="H30" s="116">
        <v>51</v>
      </c>
      <c r="I30" s="410">
        <v>3.87</v>
      </c>
      <c r="J30" s="47">
        <f t="shared" si="4"/>
        <v>197.37</v>
      </c>
      <c r="K30" s="21">
        <f t="shared" si="3"/>
        <v>295.32598784479893</v>
      </c>
    </row>
    <row r="31" spans="1:11" s="22" customFormat="1" x14ac:dyDescent="0.35">
      <c r="A31" s="19">
        <v>19</v>
      </c>
      <c r="B31" s="19">
        <v>90840</v>
      </c>
      <c r="C31" s="20" t="s">
        <v>327</v>
      </c>
      <c r="D31" s="116">
        <v>46</v>
      </c>
      <c r="E31" s="410">
        <v>2.1800000000000002</v>
      </c>
      <c r="F31" s="47">
        <f t="shared" si="5"/>
        <v>100.28</v>
      </c>
      <c r="G31" s="21">
        <f t="shared" si="2"/>
        <v>166.35934199009344</v>
      </c>
      <c r="H31" s="116">
        <v>18</v>
      </c>
      <c r="I31" s="410">
        <v>1.94</v>
      </c>
      <c r="J31" s="47">
        <f t="shared" si="4"/>
        <v>34.92</v>
      </c>
      <c r="K31" s="21">
        <f t="shared" si="3"/>
        <v>148.04455204622994</v>
      </c>
    </row>
    <row r="32" spans="1:11" s="22" customFormat="1" x14ac:dyDescent="0.35">
      <c r="A32" s="19">
        <v>20</v>
      </c>
      <c r="B32" s="19">
        <v>90846</v>
      </c>
      <c r="C32" s="20" t="s">
        <v>113</v>
      </c>
      <c r="D32" s="116">
        <v>78</v>
      </c>
      <c r="E32" s="410">
        <v>2.93</v>
      </c>
      <c r="F32" s="47">
        <f t="shared" si="5"/>
        <v>228.54000000000002</v>
      </c>
      <c r="G32" s="21">
        <f t="shared" si="2"/>
        <v>223.59306056466687</v>
      </c>
      <c r="H32" s="116">
        <v>40</v>
      </c>
      <c r="I32" s="410">
        <v>2.92</v>
      </c>
      <c r="J32" s="47">
        <f t="shared" si="4"/>
        <v>116.8</v>
      </c>
      <c r="K32" s="21">
        <f t="shared" si="3"/>
        <v>222.8299443170059</v>
      </c>
    </row>
    <row r="33" spans="1:11" s="22" customFormat="1" x14ac:dyDescent="0.35">
      <c r="A33" s="19">
        <v>21</v>
      </c>
      <c r="B33" s="19">
        <v>90847</v>
      </c>
      <c r="C33" s="20" t="s">
        <v>114</v>
      </c>
      <c r="D33" s="116">
        <v>188</v>
      </c>
      <c r="E33" s="410">
        <v>3.07</v>
      </c>
      <c r="F33" s="47">
        <f t="shared" si="5"/>
        <v>577.16</v>
      </c>
      <c r="G33" s="21">
        <f t="shared" si="2"/>
        <v>234.27668803192057</v>
      </c>
      <c r="H33" s="116">
        <v>222</v>
      </c>
      <c r="I33" s="410">
        <v>3.05</v>
      </c>
      <c r="J33" s="47">
        <f t="shared" si="4"/>
        <v>677.09999999999991</v>
      </c>
      <c r="K33" s="21">
        <f t="shared" si="3"/>
        <v>232.75045553659859</v>
      </c>
    </row>
    <row r="34" spans="1:11" s="22" customFormat="1" x14ac:dyDescent="0.35">
      <c r="A34" s="19">
        <v>22</v>
      </c>
      <c r="B34" s="19">
        <v>90849</v>
      </c>
      <c r="C34" s="20" t="s">
        <v>115</v>
      </c>
      <c r="D34" s="116"/>
      <c r="E34" s="410">
        <v>1.1299999999999999</v>
      </c>
      <c r="F34" s="47">
        <f t="shared" si="5"/>
        <v>0</v>
      </c>
      <c r="G34" s="21">
        <f t="shared" si="2"/>
        <v>86.232135985690633</v>
      </c>
      <c r="H34" s="116"/>
      <c r="I34" s="410">
        <v>0.88</v>
      </c>
      <c r="J34" s="47">
        <f t="shared" si="4"/>
        <v>0</v>
      </c>
      <c r="K34" s="21">
        <f t="shared" si="3"/>
        <v>67.154229794166156</v>
      </c>
    </row>
    <row r="35" spans="1:11" s="22" customFormat="1" x14ac:dyDescent="0.35">
      <c r="A35" s="19">
        <v>23</v>
      </c>
      <c r="B35" s="19">
        <v>90853</v>
      </c>
      <c r="C35" s="20" t="s">
        <v>116</v>
      </c>
      <c r="D35" s="116">
        <v>140</v>
      </c>
      <c r="E35" s="410">
        <v>0.83</v>
      </c>
      <c r="F35" s="47">
        <f t="shared" si="5"/>
        <v>116.19999999999999</v>
      </c>
      <c r="G35" s="21">
        <f t="shared" si="2"/>
        <v>63.338648555861262</v>
      </c>
      <c r="H35" s="116">
        <v>628</v>
      </c>
      <c r="I35" s="410">
        <v>0.72</v>
      </c>
      <c r="J35" s="47">
        <f t="shared" si="4"/>
        <v>452.15999999999997</v>
      </c>
      <c r="K35" s="21">
        <f t="shared" si="3"/>
        <v>54.944369831590492</v>
      </c>
    </row>
    <row r="36" spans="1:11" s="22" customFormat="1" x14ac:dyDescent="0.35">
      <c r="A36" s="19">
        <v>24</v>
      </c>
      <c r="B36" s="19">
        <v>90870</v>
      </c>
      <c r="C36" s="20" t="s">
        <v>117</v>
      </c>
      <c r="D36" s="116"/>
      <c r="E36" s="410">
        <v>5.18</v>
      </c>
      <c r="F36" s="47">
        <f t="shared" si="5"/>
        <v>0</v>
      </c>
      <c r="G36" s="21">
        <f t="shared" si="2"/>
        <v>395.29421628838713</v>
      </c>
      <c r="H36" s="116"/>
      <c r="I36" s="410">
        <v>3.12</v>
      </c>
      <c r="J36" s="47">
        <f t="shared" si="4"/>
        <v>0</v>
      </c>
      <c r="K36" s="21">
        <f t="shared" si="3"/>
        <v>238.09226927022547</v>
      </c>
    </row>
    <row r="37" spans="1:11" s="22" customFormat="1" x14ac:dyDescent="0.35">
      <c r="A37" s="19">
        <v>25</v>
      </c>
      <c r="B37" s="19">
        <v>90875</v>
      </c>
      <c r="C37" s="20" t="s">
        <v>152</v>
      </c>
      <c r="D37" s="116"/>
      <c r="E37" s="410">
        <v>1.75</v>
      </c>
      <c r="F37" s="47">
        <f t="shared" si="5"/>
        <v>0</v>
      </c>
      <c r="G37" s="21">
        <f t="shared" si="2"/>
        <v>133.54534334067134</v>
      </c>
      <c r="H37" s="116"/>
      <c r="I37" s="410">
        <v>1.74</v>
      </c>
      <c r="J37" s="47">
        <f t="shared" si="4"/>
        <v>0</v>
      </c>
      <c r="K37" s="21">
        <f t="shared" si="3"/>
        <v>132.78222709301036</v>
      </c>
    </row>
    <row r="38" spans="1:11" s="22" customFormat="1" x14ac:dyDescent="0.35">
      <c r="A38" s="19">
        <v>26</v>
      </c>
      <c r="B38" s="19">
        <v>90876</v>
      </c>
      <c r="C38" s="20" t="s">
        <v>153</v>
      </c>
      <c r="D38" s="116"/>
      <c r="E38" s="410">
        <v>3.08</v>
      </c>
      <c r="F38" s="47">
        <f t="shared" si="5"/>
        <v>0</v>
      </c>
      <c r="G38" s="21">
        <f t="shared" si="2"/>
        <v>235.03980427958155</v>
      </c>
      <c r="H38" s="116"/>
      <c r="I38" s="410">
        <v>2.76</v>
      </c>
      <c r="J38" s="47">
        <f t="shared" si="4"/>
        <v>0</v>
      </c>
      <c r="K38" s="21">
        <f t="shared" si="3"/>
        <v>210.62008435443022</v>
      </c>
    </row>
    <row r="39" spans="1:11" s="22" customFormat="1" x14ac:dyDescent="0.35">
      <c r="A39" s="19">
        <v>27</v>
      </c>
      <c r="B39" s="19">
        <v>90887</v>
      </c>
      <c r="C39" s="20" t="s">
        <v>329</v>
      </c>
      <c r="D39" s="116"/>
      <c r="E39" s="410">
        <v>2.56</v>
      </c>
      <c r="F39" s="47">
        <f t="shared" si="5"/>
        <v>0</v>
      </c>
      <c r="G39" s="21">
        <f t="shared" si="2"/>
        <v>195.35775940121064</v>
      </c>
      <c r="H39" s="116"/>
      <c r="I39" s="410">
        <v>2.14</v>
      </c>
      <c r="J39" s="47">
        <f t="shared" si="4"/>
        <v>0</v>
      </c>
      <c r="K39" s="21">
        <f t="shared" si="3"/>
        <v>163.30687699944954</v>
      </c>
    </row>
    <row r="40" spans="1:11" s="22" customFormat="1" x14ac:dyDescent="0.35">
      <c r="A40" s="19">
        <v>28</v>
      </c>
      <c r="B40" s="19">
        <v>96116</v>
      </c>
      <c r="C40" s="20" t="s">
        <v>340</v>
      </c>
      <c r="D40" s="116"/>
      <c r="E40" s="410">
        <v>2.76</v>
      </c>
      <c r="F40" s="47">
        <f t="shared" si="5"/>
        <v>0</v>
      </c>
      <c r="G40" s="21">
        <f t="shared" si="2"/>
        <v>210.62008435443022</v>
      </c>
      <c r="H40" s="116"/>
      <c r="I40" s="410">
        <v>2.37</v>
      </c>
      <c r="J40" s="47">
        <f t="shared" si="4"/>
        <v>0</v>
      </c>
      <c r="K40" s="21">
        <f t="shared" si="3"/>
        <v>180.85855069565204</v>
      </c>
    </row>
    <row r="41" spans="1:11" s="22" customFormat="1" x14ac:dyDescent="0.35">
      <c r="A41" s="19">
        <v>29</v>
      </c>
      <c r="B41" s="19">
        <v>96121</v>
      </c>
      <c r="C41" s="20" t="s">
        <v>339</v>
      </c>
      <c r="D41" s="116"/>
      <c r="E41" s="410">
        <v>2.25</v>
      </c>
      <c r="F41" s="47">
        <f t="shared" si="5"/>
        <v>0</v>
      </c>
      <c r="G41" s="21">
        <f t="shared" si="2"/>
        <v>171.70115572372029</v>
      </c>
      <c r="H41" s="116"/>
      <c r="I41" s="410">
        <v>1.97</v>
      </c>
      <c r="J41" s="47">
        <f t="shared" si="4"/>
        <v>0</v>
      </c>
      <c r="K41" s="21">
        <f t="shared" si="3"/>
        <v>150.33390078921286</v>
      </c>
    </row>
    <row r="42" spans="1:11" s="22" customFormat="1" x14ac:dyDescent="0.35">
      <c r="A42" s="19">
        <v>30</v>
      </c>
      <c r="B42" s="19">
        <v>96130</v>
      </c>
      <c r="C42" s="20" t="s">
        <v>337</v>
      </c>
      <c r="D42" s="116"/>
      <c r="E42" s="410">
        <v>3.6</v>
      </c>
      <c r="F42" s="47">
        <f t="shared" si="5"/>
        <v>0</v>
      </c>
      <c r="G42" s="21">
        <f t="shared" si="2"/>
        <v>274.72184915795248</v>
      </c>
      <c r="H42" s="116"/>
      <c r="I42" s="410">
        <v>3.25</v>
      </c>
      <c r="J42" s="47">
        <f t="shared" si="4"/>
        <v>0</v>
      </c>
      <c r="K42" s="21">
        <f t="shared" si="3"/>
        <v>248.0127804898182</v>
      </c>
    </row>
    <row r="43" spans="1:11" s="22" customFormat="1" x14ac:dyDescent="0.35">
      <c r="A43" s="19">
        <v>31</v>
      </c>
      <c r="B43" s="19">
        <v>96131</v>
      </c>
      <c r="C43" s="20" t="s">
        <v>338</v>
      </c>
      <c r="D43" s="116"/>
      <c r="E43" s="410">
        <v>2.57</v>
      </c>
      <c r="F43" s="47">
        <f t="shared" si="5"/>
        <v>0</v>
      </c>
      <c r="G43" s="21">
        <f t="shared" si="2"/>
        <v>196.12087564887162</v>
      </c>
      <c r="H43" s="116"/>
      <c r="I43" s="410">
        <v>2.25</v>
      </c>
      <c r="J43" s="47">
        <f t="shared" si="4"/>
        <v>0</v>
      </c>
      <c r="K43" s="21">
        <f t="shared" si="3"/>
        <v>171.70115572372029</v>
      </c>
    </row>
    <row r="44" spans="1:11" s="22" customFormat="1" x14ac:dyDescent="0.35">
      <c r="A44" s="19">
        <v>32</v>
      </c>
      <c r="B44" s="19">
        <v>96132</v>
      </c>
      <c r="C44" s="20" t="s">
        <v>331</v>
      </c>
      <c r="D44" s="116"/>
      <c r="E44" s="410">
        <v>3.85</v>
      </c>
      <c r="F44" s="47">
        <f t="shared" si="5"/>
        <v>0</v>
      </c>
      <c r="G44" s="21">
        <f t="shared" si="2"/>
        <v>293.79975534947692</v>
      </c>
      <c r="H44" s="116"/>
      <c r="I44" s="410">
        <v>3.14</v>
      </c>
      <c r="J44" s="47">
        <f t="shared" si="4"/>
        <v>0</v>
      </c>
      <c r="K44" s="21">
        <f t="shared" si="3"/>
        <v>239.61850176554745</v>
      </c>
    </row>
    <row r="45" spans="1:11" s="22" customFormat="1" x14ac:dyDescent="0.35">
      <c r="A45" s="19">
        <v>33</v>
      </c>
      <c r="B45" s="19">
        <v>96133</v>
      </c>
      <c r="C45" s="20" t="s">
        <v>332</v>
      </c>
      <c r="D45" s="116"/>
      <c r="E45" s="410">
        <v>2.92</v>
      </c>
      <c r="F45" s="47">
        <f t="shared" si="5"/>
        <v>0</v>
      </c>
      <c r="G45" s="21">
        <f t="shared" si="2"/>
        <v>222.8299443170059</v>
      </c>
      <c r="H45" s="116"/>
      <c r="I45" s="410">
        <v>2.2599999999999998</v>
      </c>
      <c r="J45" s="47">
        <f t="shared" si="4"/>
        <v>0</v>
      </c>
      <c r="K45" s="21">
        <f t="shared" si="3"/>
        <v>172.46427197138127</v>
      </c>
    </row>
    <row r="46" spans="1:11" s="22" customFormat="1" x14ac:dyDescent="0.35">
      <c r="A46" s="19">
        <v>34</v>
      </c>
      <c r="B46" s="19">
        <v>96136</v>
      </c>
      <c r="C46" s="20" t="s">
        <v>333</v>
      </c>
      <c r="D46" s="116"/>
      <c r="E46" s="410">
        <v>1.25</v>
      </c>
      <c r="F46" s="47">
        <f t="shared" si="5"/>
        <v>0</v>
      </c>
      <c r="G46" s="21">
        <f t="shared" si="2"/>
        <v>95.389530957622384</v>
      </c>
      <c r="H46" s="116"/>
      <c r="I46" s="410">
        <v>0.69</v>
      </c>
      <c r="J46" s="47">
        <f t="shared" si="4"/>
        <v>0</v>
      </c>
      <c r="K46" s="21">
        <f t="shared" si="3"/>
        <v>52.655021088607555</v>
      </c>
    </row>
    <row r="47" spans="1:11" s="22" customFormat="1" x14ac:dyDescent="0.35">
      <c r="A47" s="19">
        <v>35</v>
      </c>
      <c r="B47" s="19">
        <v>96137</v>
      </c>
      <c r="C47" s="20" t="s">
        <v>334</v>
      </c>
      <c r="D47" s="116"/>
      <c r="E47" s="410">
        <v>1.1299999999999999</v>
      </c>
      <c r="F47" s="47">
        <f t="shared" si="5"/>
        <v>0</v>
      </c>
      <c r="G47" s="21">
        <f t="shared" si="2"/>
        <v>86.232135985690633</v>
      </c>
      <c r="H47" s="116"/>
      <c r="I47" s="410">
        <v>0.53</v>
      </c>
      <c r="J47" s="47">
        <f t="shared" si="4"/>
        <v>0</v>
      </c>
      <c r="K47" s="21">
        <f t="shared" si="3"/>
        <v>40.445161126031891</v>
      </c>
    </row>
    <row r="48" spans="1:11" s="22" customFormat="1" x14ac:dyDescent="0.35">
      <c r="A48" s="19">
        <v>36</v>
      </c>
      <c r="B48" s="19">
        <v>96138</v>
      </c>
      <c r="C48" s="20" t="s">
        <v>335</v>
      </c>
      <c r="D48" s="116"/>
      <c r="E48" s="410">
        <v>1.03</v>
      </c>
      <c r="F48" s="47">
        <f t="shared" si="5"/>
        <v>0</v>
      </c>
      <c r="G48" s="21">
        <f t="shared" si="2"/>
        <v>78.600973509080845</v>
      </c>
      <c r="H48" s="116"/>
      <c r="I48" s="410">
        <v>0.56999999999999995</v>
      </c>
      <c r="J48" s="47">
        <f t="shared" si="4"/>
        <v>0</v>
      </c>
      <c r="K48" s="21">
        <f t="shared" si="3"/>
        <v>43.497626116675804</v>
      </c>
    </row>
    <row r="49" spans="1:11" s="22" customFormat="1" x14ac:dyDescent="0.35">
      <c r="A49" s="19">
        <v>37</v>
      </c>
      <c r="B49" s="19">
        <v>96139</v>
      </c>
      <c r="C49" s="20" t="s">
        <v>336</v>
      </c>
      <c r="D49" s="116"/>
      <c r="E49" s="410">
        <v>1.06</v>
      </c>
      <c r="F49" s="47">
        <f t="shared" si="5"/>
        <v>0</v>
      </c>
      <c r="G49" s="21">
        <f t="shared" si="2"/>
        <v>80.890322252063783</v>
      </c>
      <c r="H49" s="116"/>
      <c r="I49" s="410">
        <v>0.5</v>
      </c>
      <c r="J49" s="47">
        <f t="shared" si="4"/>
        <v>0</v>
      </c>
      <c r="K49" s="21">
        <f t="shared" si="3"/>
        <v>38.155812383048954</v>
      </c>
    </row>
    <row r="50" spans="1:11" s="22" customFormat="1" x14ac:dyDescent="0.35">
      <c r="A50" s="19">
        <v>38</v>
      </c>
      <c r="B50" s="19">
        <v>96146</v>
      </c>
      <c r="C50" s="20" t="s">
        <v>330</v>
      </c>
      <c r="D50" s="116"/>
      <c r="E50" s="410">
        <v>7.0000000000000007E-2</v>
      </c>
      <c r="F50" s="47">
        <f t="shared" si="5"/>
        <v>0</v>
      </c>
      <c r="G50" s="21">
        <f t="shared" si="2"/>
        <v>5.3418137336268536</v>
      </c>
      <c r="H50" s="116"/>
      <c r="I50" s="410">
        <v>7.0000000000000007E-2</v>
      </c>
      <c r="J50" s="47">
        <f t="shared" si="4"/>
        <v>0</v>
      </c>
      <c r="K50" s="21">
        <f t="shared" si="3"/>
        <v>5.3418137336268536</v>
      </c>
    </row>
    <row r="51" spans="1:11" s="22" customFormat="1" x14ac:dyDescent="0.35">
      <c r="A51" s="19">
        <v>39</v>
      </c>
      <c r="B51" s="19">
        <v>96372</v>
      </c>
      <c r="C51" s="20" t="s">
        <v>118</v>
      </c>
      <c r="D51" s="116">
        <v>148</v>
      </c>
      <c r="E51" s="410">
        <v>0.43</v>
      </c>
      <c r="F51" s="47">
        <f t="shared" si="5"/>
        <v>63.64</v>
      </c>
      <c r="G51" s="21">
        <f t="shared" si="2"/>
        <v>32.813998649422096</v>
      </c>
      <c r="H51" s="116">
        <v>184</v>
      </c>
      <c r="I51" s="410">
        <v>0.43</v>
      </c>
      <c r="J51" s="47">
        <f t="shared" si="4"/>
        <v>79.12</v>
      </c>
      <c r="K51" s="21">
        <f t="shared" si="3"/>
        <v>32.813998649422096</v>
      </c>
    </row>
    <row r="52" spans="1:11" s="22" customFormat="1" x14ac:dyDescent="0.35">
      <c r="A52" s="19">
        <v>40</v>
      </c>
      <c r="B52" s="19">
        <v>97535</v>
      </c>
      <c r="C52" s="20" t="s">
        <v>119</v>
      </c>
      <c r="D52" s="116"/>
      <c r="E52" s="410">
        <v>0.98</v>
      </c>
      <c r="F52" s="47">
        <f t="shared" si="5"/>
        <v>0</v>
      </c>
      <c r="G52" s="21">
        <f t="shared" si="2"/>
        <v>74.785392270775944</v>
      </c>
      <c r="H52" s="116"/>
      <c r="I52" s="410">
        <v>0.98</v>
      </c>
      <c r="J52" s="47">
        <f t="shared" si="4"/>
        <v>0</v>
      </c>
      <c r="K52" s="21">
        <f t="shared" si="3"/>
        <v>74.785392270775944</v>
      </c>
    </row>
    <row r="53" spans="1:11" s="22" customFormat="1" x14ac:dyDescent="0.35">
      <c r="A53" s="19">
        <v>41</v>
      </c>
      <c r="B53" s="19">
        <v>97537</v>
      </c>
      <c r="C53" s="20" t="s">
        <v>120</v>
      </c>
      <c r="D53" s="116"/>
      <c r="E53" s="410">
        <v>0.95</v>
      </c>
      <c r="F53" s="47">
        <f t="shared" si="5"/>
        <v>0</v>
      </c>
      <c r="G53" s="21">
        <f t="shared" si="2"/>
        <v>72.496043527793006</v>
      </c>
      <c r="H53" s="116"/>
      <c r="I53" s="410">
        <v>0.95</v>
      </c>
      <c r="J53" s="47">
        <f t="shared" si="4"/>
        <v>0</v>
      </c>
      <c r="K53" s="21">
        <f t="shared" si="3"/>
        <v>72.496043527793006</v>
      </c>
    </row>
    <row r="54" spans="1:11" s="22" customFormat="1" x14ac:dyDescent="0.35">
      <c r="A54" s="19">
        <v>42</v>
      </c>
      <c r="B54" s="19">
        <v>98966</v>
      </c>
      <c r="C54" s="20" t="s">
        <v>341</v>
      </c>
      <c r="D54" s="116"/>
      <c r="E54" s="410">
        <v>0.39</v>
      </c>
      <c r="F54" s="47">
        <f t="shared" si="5"/>
        <v>0</v>
      </c>
      <c r="G54" s="21">
        <f t="shared" si="2"/>
        <v>29.761533658778184</v>
      </c>
      <c r="H54" s="116"/>
      <c r="I54" s="410">
        <v>0.34</v>
      </c>
      <c r="J54" s="47">
        <f t="shared" si="4"/>
        <v>0</v>
      </c>
      <c r="K54" s="21">
        <f t="shared" si="3"/>
        <v>25.94595242047329</v>
      </c>
    </row>
    <row r="55" spans="1:11" s="22" customFormat="1" x14ac:dyDescent="0.35">
      <c r="A55" s="19">
        <v>43</v>
      </c>
      <c r="B55" s="19">
        <v>98967</v>
      </c>
      <c r="C55" s="20" t="s">
        <v>342</v>
      </c>
      <c r="D55" s="116"/>
      <c r="E55" s="410">
        <v>0.72</v>
      </c>
      <c r="F55" s="47">
        <f t="shared" si="5"/>
        <v>0</v>
      </c>
      <c r="G55" s="21">
        <f t="shared" si="2"/>
        <v>54.944369831590492</v>
      </c>
      <c r="H55" s="116"/>
      <c r="I55" s="410">
        <v>0.66</v>
      </c>
      <c r="J55" s="47">
        <f t="shared" si="4"/>
        <v>0</v>
      </c>
      <c r="K55" s="21">
        <f t="shared" si="3"/>
        <v>50.365672345624624</v>
      </c>
    </row>
    <row r="56" spans="1:11" s="22" customFormat="1" x14ac:dyDescent="0.35">
      <c r="A56" s="19">
        <v>44</v>
      </c>
      <c r="B56" s="19">
        <v>98968</v>
      </c>
      <c r="C56" s="20" t="s">
        <v>343</v>
      </c>
      <c r="D56" s="116"/>
      <c r="E56" s="410">
        <v>0.99</v>
      </c>
      <c r="F56" s="47">
        <f t="shared" si="5"/>
        <v>0</v>
      </c>
      <c r="G56" s="21">
        <f t="shared" si="2"/>
        <v>75.548508518436932</v>
      </c>
      <c r="H56" s="116"/>
      <c r="I56" s="410">
        <v>0.92</v>
      </c>
      <c r="J56" s="47">
        <f t="shared" si="4"/>
        <v>0</v>
      </c>
      <c r="K56" s="21">
        <f t="shared" si="3"/>
        <v>70.206694784810082</v>
      </c>
    </row>
    <row r="57" spans="1:11" s="22" customFormat="1" x14ac:dyDescent="0.35">
      <c r="A57" s="19">
        <v>45</v>
      </c>
      <c r="B57" s="19">
        <v>99202</v>
      </c>
      <c r="C57" s="20" t="s">
        <v>154</v>
      </c>
      <c r="D57" s="116">
        <v>1</v>
      </c>
      <c r="E57" s="410">
        <v>2.17</v>
      </c>
      <c r="F57" s="47">
        <f t="shared" si="5"/>
        <v>2.17</v>
      </c>
      <c r="G57" s="21">
        <f t="shared" si="2"/>
        <v>165.59622574243247</v>
      </c>
      <c r="H57" s="116">
        <v>0</v>
      </c>
      <c r="I57" s="410">
        <v>1.41</v>
      </c>
      <c r="J57" s="47">
        <f t="shared" si="4"/>
        <v>0</v>
      </c>
      <c r="K57" s="21">
        <f t="shared" si="3"/>
        <v>107.59939092019805</v>
      </c>
    </row>
    <row r="58" spans="1:11" s="22" customFormat="1" x14ac:dyDescent="0.35">
      <c r="A58" s="19">
        <v>46</v>
      </c>
      <c r="B58" s="19">
        <v>99203</v>
      </c>
      <c r="C58" s="20" t="s">
        <v>154</v>
      </c>
      <c r="D58" s="116">
        <v>2</v>
      </c>
      <c r="E58" s="410">
        <v>3.35</v>
      </c>
      <c r="F58" s="47">
        <f t="shared" si="5"/>
        <v>6.7</v>
      </c>
      <c r="G58" s="21">
        <f t="shared" si="2"/>
        <v>255.643942966428</v>
      </c>
      <c r="H58" s="116">
        <v>0</v>
      </c>
      <c r="I58" s="410">
        <v>2.44</v>
      </c>
      <c r="J58" s="47">
        <f t="shared" si="4"/>
        <v>0</v>
      </c>
      <c r="K58" s="21">
        <f t="shared" si="3"/>
        <v>186.20036442927889</v>
      </c>
    </row>
    <row r="59" spans="1:11" s="22" customFormat="1" x14ac:dyDescent="0.35">
      <c r="A59" s="19">
        <v>47</v>
      </c>
      <c r="B59" s="19">
        <v>99204</v>
      </c>
      <c r="C59" s="20" t="s">
        <v>154</v>
      </c>
      <c r="D59" s="116">
        <v>21</v>
      </c>
      <c r="E59" s="410">
        <v>5.0199999999999996</v>
      </c>
      <c r="F59" s="47">
        <f t="shared" si="5"/>
        <v>105.41999999999999</v>
      </c>
      <c r="G59" s="21">
        <f t="shared" si="2"/>
        <v>383.08435632581148</v>
      </c>
      <c r="H59" s="116">
        <v>4</v>
      </c>
      <c r="I59" s="410">
        <v>3.97</v>
      </c>
      <c r="J59" s="47">
        <f t="shared" si="4"/>
        <v>15.88</v>
      </c>
      <c r="K59" s="21">
        <f t="shared" si="3"/>
        <v>302.95715032140873</v>
      </c>
    </row>
    <row r="60" spans="1:11" s="22" customFormat="1" x14ac:dyDescent="0.35">
      <c r="A60" s="19">
        <v>48</v>
      </c>
      <c r="B60" s="19">
        <v>99205</v>
      </c>
      <c r="C60" s="20" t="s">
        <v>154</v>
      </c>
      <c r="D60" s="116">
        <v>11</v>
      </c>
      <c r="E60" s="410">
        <v>6.62</v>
      </c>
      <c r="F60" s="47">
        <f t="shared" si="5"/>
        <v>72.820000000000007</v>
      </c>
      <c r="G60" s="21">
        <f t="shared" si="2"/>
        <v>505.18295595156815</v>
      </c>
      <c r="H60" s="116">
        <v>2</v>
      </c>
      <c r="I60" s="410">
        <v>5.4</v>
      </c>
      <c r="J60" s="47">
        <f t="shared" si="4"/>
        <v>10.8</v>
      </c>
      <c r="K60" s="21">
        <f t="shared" si="3"/>
        <v>412.08277373692874</v>
      </c>
    </row>
    <row r="61" spans="1:11" s="22" customFormat="1" ht="43.5" x14ac:dyDescent="0.35">
      <c r="A61" s="19">
        <v>49</v>
      </c>
      <c r="B61" s="19">
        <v>99211</v>
      </c>
      <c r="C61" s="20" t="s">
        <v>344</v>
      </c>
      <c r="D61" s="116"/>
      <c r="E61" s="410">
        <v>0.7</v>
      </c>
      <c r="F61" s="47">
        <f t="shared" si="5"/>
        <v>0</v>
      </c>
      <c r="G61" s="21">
        <f t="shared" si="2"/>
        <v>53.418137336268529</v>
      </c>
      <c r="H61" s="116"/>
      <c r="I61" s="410">
        <v>0.26</v>
      </c>
      <c r="J61" s="47">
        <f t="shared" si="4"/>
        <v>0</v>
      </c>
      <c r="K61" s="21">
        <f t="shared" si="3"/>
        <v>19.841022439185455</v>
      </c>
    </row>
    <row r="62" spans="1:11" s="22" customFormat="1" x14ac:dyDescent="0.35">
      <c r="A62" s="19">
        <v>50</v>
      </c>
      <c r="B62" s="19">
        <v>99212</v>
      </c>
      <c r="C62" s="20" t="s">
        <v>155</v>
      </c>
      <c r="D62" s="116">
        <v>274</v>
      </c>
      <c r="E62" s="410">
        <v>1.7</v>
      </c>
      <c r="F62" s="47">
        <f t="shared" si="5"/>
        <v>465.8</v>
      </c>
      <c r="G62" s="21">
        <f t="shared" si="2"/>
        <v>129.72976210236644</v>
      </c>
      <c r="H62" s="116">
        <v>29</v>
      </c>
      <c r="I62" s="410">
        <v>1.05</v>
      </c>
      <c r="J62" s="47">
        <f t="shared" si="4"/>
        <v>30.450000000000003</v>
      </c>
      <c r="K62" s="21">
        <f t="shared" si="3"/>
        <v>80.127206004402808</v>
      </c>
    </row>
    <row r="63" spans="1:11" s="22" customFormat="1" x14ac:dyDescent="0.35">
      <c r="A63" s="19">
        <v>51</v>
      </c>
      <c r="B63" s="19">
        <v>99213</v>
      </c>
      <c r="C63" s="20" t="s">
        <v>155</v>
      </c>
      <c r="D63" s="116">
        <v>2214</v>
      </c>
      <c r="E63" s="410">
        <v>2.73</v>
      </c>
      <c r="F63" s="47">
        <f t="shared" si="5"/>
        <v>6044.22</v>
      </c>
      <c r="G63" s="21">
        <f t="shared" si="2"/>
        <v>208.3307356114473</v>
      </c>
      <c r="H63" s="116">
        <v>139</v>
      </c>
      <c r="I63" s="410">
        <v>1.96</v>
      </c>
      <c r="J63" s="47">
        <f t="shared" si="4"/>
        <v>272.44</v>
      </c>
      <c r="K63" s="21">
        <f t="shared" si="3"/>
        <v>149.57078454155189</v>
      </c>
    </row>
    <row r="64" spans="1:11" s="22" customFormat="1" x14ac:dyDescent="0.35">
      <c r="A64" s="19">
        <v>52</v>
      </c>
      <c r="B64" s="19">
        <v>99214</v>
      </c>
      <c r="C64" s="20" t="s">
        <v>155</v>
      </c>
      <c r="D64" s="116">
        <v>13376</v>
      </c>
      <c r="E64" s="410">
        <v>3.85</v>
      </c>
      <c r="F64" s="47">
        <f t="shared" si="5"/>
        <v>51497.599999999999</v>
      </c>
      <c r="G64" s="21">
        <f t="shared" si="2"/>
        <v>293.79975534947692</v>
      </c>
      <c r="H64" s="116">
        <v>3134</v>
      </c>
      <c r="I64" s="410">
        <v>2.89</v>
      </c>
      <c r="J64" s="47">
        <f t="shared" si="4"/>
        <v>9057.26</v>
      </c>
      <c r="K64" s="21">
        <f t="shared" si="3"/>
        <v>220.54059557402297</v>
      </c>
    </row>
    <row r="65" spans="1:11" s="22" customFormat="1" x14ac:dyDescent="0.35">
      <c r="A65" s="19">
        <v>53</v>
      </c>
      <c r="B65" s="19">
        <v>99215</v>
      </c>
      <c r="C65" s="20" t="s">
        <v>155</v>
      </c>
      <c r="D65" s="116">
        <v>1540</v>
      </c>
      <c r="E65" s="410">
        <v>5.42</v>
      </c>
      <c r="F65" s="47">
        <f t="shared" si="5"/>
        <v>8346.7999999999993</v>
      </c>
      <c r="G65" s="21">
        <f t="shared" si="2"/>
        <v>413.60900623225064</v>
      </c>
      <c r="H65" s="116">
        <v>238</v>
      </c>
      <c r="I65" s="410">
        <v>4.29</v>
      </c>
      <c r="J65" s="47">
        <f t="shared" si="4"/>
        <v>1021.02</v>
      </c>
      <c r="K65" s="21">
        <f t="shared" si="3"/>
        <v>327.37687024656003</v>
      </c>
    </row>
    <row r="66" spans="1:11" s="22" customFormat="1" x14ac:dyDescent="0.35">
      <c r="A66" s="19">
        <v>54</v>
      </c>
      <c r="B66" s="19">
        <v>99221</v>
      </c>
      <c r="C66" s="20" t="s">
        <v>121</v>
      </c>
      <c r="D66" s="116">
        <v>0</v>
      </c>
      <c r="E66" s="410">
        <v>2.46</v>
      </c>
      <c r="F66" s="47">
        <f t="shared" si="5"/>
        <v>0</v>
      </c>
      <c r="G66" s="21">
        <f t="shared" si="2"/>
        <v>187.72659692460084</v>
      </c>
      <c r="H66" s="116">
        <v>56</v>
      </c>
      <c r="I66" s="410">
        <v>2.46</v>
      </c>
      <c r="J66" s="47">
        <f t="shared" si="4"/>
        <v>137.76</v>
      </c>
      <c r="K66" s="21">
        <f t="shared" si="3"/>
        <v>187.72659692460084</v>
      </c>
    </row>
    <row r="67" spans="1:11" s="22" customFormat="1" x14ac:dyDescent="0.35">
      <c r="A67" s="19">
        <v>55</v>
      </c>
      <c r="B67" s="19">
        <v>99222</v>
      </c>
      <c r="C67" s="20" t="s">
        <v>122</v>
      </c>
      <c r="D67" s="116">
        <v>0</v>
      </c>
      <c r="E67" s="410">
        <v>3.88</v>
      </c>
      <c r="F67" s="47">
        <f t="shared" si="5"/>
        <v>0</v>
      </c>
      <c r="G67" s="21">
        <f t="shared" si="2"/>
        <v>296.08910409245988</v>
      </c>
      <c r="H67" s="116">
        <v>153</v>
      </c>
      <c r="I67" s="410">
        <v>3.88</v>
      </c>
      <c r="J67" s="47">
        <f t="shared" si="4"/>
        <v>593.64</v>
      </c>
      <c r="K67" s="21">
        <f t="shared" si="3"/>
        <v>296.08910409245988</v>
      </c>
    </row>
    <row r="68" spans="1:11" s="22" customFormat="1" x14ac:dyDescent="0.35">
      <c r="A68" s="19">
        <v>56</v>
      </c>
      <c r="B68" s="19">
        <v>99223</v>
      </c>
      <c r="C68" s="20" t="s">
        <v>123</v>
      </c>
      <c r="D68" s="116">
        <v>0</v>
      </c>
      <c r="E68" s="410">
        <v>5.14</v>
      </c>
      <c r="F68" s="47">
        <f t="shared" si="5"/>
        <v>0</v>
      </c>
      <c r="G68" s="21">
        <f t="shared" si="2"/>
        <v>392.24175129774324</v>
      </c>
      <c r="H68" s="116">
        <v>1654</v>
      </c>
      <c r="I68" s="410">
        <v>5.14</v>
      </c>
      <c r="J68" s="47">
        <f t="shared" si="4"/>
        <v>8501.56</v>
      </c>
      <c r="K68" s="21">
        <f t="shared" si="3"/>
        <v>392.24175129774324</v>
      </c>
    </row>
    <row r="69" spans="1:11" s="22" customFormat="1" x14ac:dyDescent="0.35">
      <c r="A69" s="19">
        <v>57</v>
      </c>
      <c r="B69" s="19">
        <v>99231</v>
      </c>
      <c r="C69" s="20" t="s">
        <v>124</v>
      </c>
      <c r="D69" s="116">
        <v>0</v>
      </c>
      <c r="E69" s="410">
        <v>1.47</v>
      </c>
      <c r="F69" s="47">
        <f t="shared" si="5"/>
        <v>0</v>
      </c>
      <c r="G69" s="21">
        <f t="shared" si="2"/>
        <v>112.17808840616392</v>
      </c>
      <c r="H69" s="116">
        <v>2399</v>
      </c>
      <c r="I69" s="410">
        <v>1.47</v>
      </c>
      <c r="J69" s="47">
        <f t="shared" si="4"/>
        <v>3526.5299999999997</v>
      </c>
      <c r="K69" s="21">
        <f t="shared" si="3"/>
        <v>112.17808840616392</v>
      </c>
    </row>
    <row r="70" spans="1:11" s="22" customFormat="1" x14ac:dyDescent="0.35">
      <c r="A70" s="19">
        <v>58</v>
      </c>
      <c r="B70" s="19">
        <v>99232</v>
      </c>
      <c r="C70" s="20" t="s">
        <v>125</v>
      </c>
      <c r="D70" s="116">
        <v>0</v>
      </c>
      <c r="E70" s="410">
        <v>2.34</v>
      </c>
      <c r="F70" s="47">
        <f t="shared" si="5"/>
        <v>0</v>
      </c>
      <c r="G70" s="21">
        <f t="shared" si="2"/>
        <v>178.56920195266909</v>
      </c>
      <c r="H70" s="116">
        <v>3416</v>
      </c>
      <c r="I70" s="410">
        <v>2.34</v>
      </c>
      <c r="J70" s="47">
        <f t="shared" si="4"/>
        <v>7993.44</v>
      </c>
      <c r="K70" s="21">
        <f t="shared" si="3"/>
        <v>178.56920195266909</v>
      </c>
    </row>
    <row r="71" spans="1:11" s="22" customFormat="1" x14ac:dyDescent="0.35">
      <c r="A71" s="19">
        <v>59</v>
      </c>
      <c r="B71" s="19">
        <v>99233</v>
      </c>
      <c r="C71" s="20" t="s">
        <v>126</v>
      </c>
      <c r="D71" s="116">
        <v>0</v>
      </c>
      <c r="E71" s="410">
        <v>3.52</v>
      </c>
      <c r="F71" s="47">
        <f t="shared" si="5"/>
        <v>0</v>
      </c>
      <c r="G71" s="21">
        <f t="shared" si="2"/>
        <v>268.61691917666462</v>
      </c>
      <c r="H71" s="116">
        <v>403</v>
      </c>
      <c r="I71" s="410">
        <v>3.52</v>
      </c>
      <c r="J71" s="47">
        <f t="shared" si="4"/>
        <v>1418.56</v>
      </c>
      <c r="K71" s="21">
        <f t="shared" si="3"/>
        <v>268.61691917666462</v>
      </c>
    </row>
    <row r="72" spans="1:11" s="22" customFormat="1" ht="29" x14ac:dyDescent="0.35">
      <c r="A72" s="19">
        <v>60</v>
      </c>
      <c r="B72" s="19">
        <v>99234</v>
      </c>
      <c r="C72" s="20" t="s">
        <v>359</v>
      </c>
      <c r="D72" s="116">
        <v>0</v>
      </c>
      <c r="E72" s="410">
        <v>2.9</v>
      </c>
      <c r="F72" s="47">
        <f t="shared" si="5"/>
        <v>0</v>
      </c>
      <c r="G72" s="21">
        <f t="shared" si="2"/>
        <v>221.30371182168392</v>
      </c>
      <c r="H72" s="116">
        <v>1</v>
      </c>
      <c r="I72" s="410">
        <v>2.9</v>
      </c>
      <c r="J72" s="47">
        <f t="shared" si="4"/>
        <v>2.9</v>
      </c>
      <c r="K72" s="21">
        <f t="shared" si="3"/>
        <v>221.30371182168392</v>
      </c>
    </row>
    <row r="73" spans="1:11" s="22" customFormat="1" ht="29" x14ac:dyDescent="0.35">
      <c r="A73" s="19">
        <v>61</v>
      </c>
      <c r="B73" s="19">
        <v>99235</v>
      </c>
      <c r="C73" s="20" t="s">
        <v>360</v>
      </c>
      <c r="D73" s="116">
        <v>0</v>
      </c>
      <c r="E73" s="410">
        <v>4.7300000000000004</v>
      </c>
      <c r="F73" s="47">
        <f t="shared" si="5"/>
        <v>0</v>
      </c>
      <c r="G73" s="21">
        <f t="shared" si="2"/>
        <v>360.95398514364314</v>
      </c>
      <c r="H73" s="116">
        <v>6</v>
      </c>
      <c r="I73" s="410">
        <v>4.7300000000000004</v>
      </c>
      <c r="J73" s="47">
        <f t="shared" si="4"/>
        <v>28.380000000000003</v>
      </c>
      <c r="K73" s="21">
        <f t="shared" si="3"/>
        <v>360.95398514364314</v>
      </c>
    </row>
    <row r="74" spans="1:11" s="22" customFormat="1" ht="29" x14ac:dyDescent="0.35">
      <c r="A74" s="19">
        <v>62</v>
      </c>
      <c r="B74" s="19">
        <v>99236</v>
      </c>
      <c r="C74" s="20" t="s">
        <v>361</v>
      </c>
      <c r="D74" s="116">
        <v>0</v>
      </c>
      <c r="E74" s="410">
        <v>6.18</v>
      </c>
      <c r="F74" s="47">
        <f t="shared" si="5"/>
        <v>0</v>
      </c>
      <c r="G74" s="21">
        <f t="shared" ref="G74:G123" si="6">E74*$F$12</f>
        <v>471.60584105448504</v>
      </c>
      <c r="H74" s="116">
        <v>2</v>
      </c>
      <c r="I74" s="410">
        <v>6.18</v>
      </c>
      <c r="J74" s="47">
        <f t="shared" si="4"/>
        <v>12.36</v>
      </c>
      <c r="K74" s="21">
        <f t="shared" ref="K74:K123" si="7">I74*$F$12</f>
        <v>471.60584105448504</v>
      </c>
    </row>
    <row r="75" spans="1:11" s="22" customFormat="1" x14ac:dyDescent="0.35">
      <c r="A75" s="19">
        <v>63</v>
      </c>
      <c r="B75" s="19">
        <v>99238</v>
      </c>
      <c r="C75" s="20" t="s">
        <v>345</v>
      </c>
      <c r="D75" s="116">
        <v>0</v>
      </c>
      <c r="E75" s="410">
        <v>2.41</v>
      </c>
      <c r="F75" s="47">
        <f t="shared" ref="F75:F123" si="8">D75*E75</f>
        <v>0</v>
      </c>
      <c r="G75" s="21">
        <f t="shared" si="6"/>
        <v>183.91101568629597</v>
      </c>
      <c r="H75" s="116">
        <v>1290</v>
      </c>
      <c r="I75" s="410">
        <v>2.41</v>
      </c>
      <c r="J75" s="47">
        <f t="shared" ref="J75:J123" si="9">H75*I75</f>
        <v>3108.9</v>
      </c>
      <c r="K75" s="21">
        <f t="shared" si="7"/>
        <v>183.91101568629597</v>
      </c>
    </row>
    <row r="76" spans="1:11" s="22" customFormat="1" x14ac:dyDescent="0.35">
      <c r="A76" s="19">
        <v>64</v>
      </c>
      <c r="B76" s="19">
        <v>99239</v>
      </c>
      <c r="C76" s="20" t="s">
        <v>127</v>
      </c>
      <c r="D76" s="116">
        <v>0</v>
      </c>
      <c r="E76" s="410">
        <v>3.4</v>
      </c>
      <c r="F76" s="47">
        <f t="shared" si="8"/>
        <v>0</v>
      </c>
      <c r="G76" s="21">
        <f t="shared" si="6"/>
        <v>259.45952420473287</v>
      </c>
      <c r="H76" s="116">
        <v>450</v>
      </c>
      <c r="I76" s="410">
        <v>3.4</v>
      </c>
      <c r="J76" s="47">
        <f t="shared" si="9"/>
        <v>1530</v>
      </c>
      <c r="K76" s="21">
        <f t="shared" si="7"/>
        <v>259.45952420473287</v>
      </c>
    </row>
    <row r="77" spans="1:11" s="22" customFormat="1" x14ac:dyDescent="0.35">
      <c r="A77" s="19">
        <v>65</v>
      </c>
      <c r="B77" s="19">
        <v>99242</v>
      </c>
      <c r="C77" s="20" t="s">
        <v>346</v>
      </c>
      <c r="D77" s="116"/>
      <c r="E77" s="410">
        <v>2.25</v>
      </c>
      <c r="F77" s="148">
        <f t="shared" si="8"/>
        <v>0</v>
      </c>
      <c r="G77" s="149">
        <f t="shared" si="6"/>
        <v>171.70115572372029</v>
      </c>
      <c r="H77" s="116"/>
      <c r="I77" s="410">
        <v>1.66</v>
      </c>
      <c r="J77" s="47">
        <f t="shared" si="9"/>
        <v>0</v>
      </c>
      <c r="K77" s="21">
        <f t="shared" si="7"/>
        <v>126.67729711172252</v>
      </c>
    </row>
    <row r="78" spans="1:11" s="22" customFormat="1" x14ac:dyDescent="0.35">
      <c r="A78" s="19">
        <v>66</v>
      </c>
      <c r="B78" s="19">
        <v>99243</v>
      </c>
      <c r="C78" s="20" t="s">
        <v>347</v>
      </c>
      <c r="D78" s="116"/>
      <c r="E78" s="410">
        <v>3.37</v>
      </c>
      <c r="F78" s="47">
        <f t="shared" si="8"/>
        <v>0</v>
      </c>
      <c r="G78" s="21">
        <f t="shared" si="6"/>
        <v>257.17017546174998</v>
      </c>
      <c r="H78" s="116"/>
      <c r="I78" s="410">
        <v>2.62</v>
      </c>
      <c r="J78" s="47">
        <f t="shared" si="9"/>
        <v>0</v>
      </c>
      <c r="K78" s="21">
        <f t="shared" si="7"/>
        <v>199.93645688717652</v>
      </c>
    </row>
    <row r="79" spans="1:11" s="22" customFormat="1" x14ac:dyDescent="0.35">
      <c r="A79" s="19">
        <v>67</v>
      </c>
      <c r="B79" s="19">
        <v>99244</v>
      </c>
      <c r="C79" s="20" t="s">
        <v>348</v>
      </c>
      <c r="D79" s="116"/>
      <c r="E79" s="410">
        <v>4.8099999999999996</v>
      </c>
      <c r="F79" s="47">
        <f t="shared" si="8"/>
        <v>0</v>
      </c>
      <c r="G79" s="21">
        <f t="shared" si="6"/>
        <v>367.05891512493088</v>
      </c>
      <c r="H79" s="116"/>
      <c r="I79" s="410">
        <v>3.99</v>
      </c>
      <c r="J79" s="47">
        <f t="shared" si="9"/>
        <v>0</v>
      </c>
      <c r="K79" s="21">
        <f t="shared" si="7"/>
        <v>304.48338281673068</v>
      </c>
    </row>
    <row r="80" spans="1:11" s="22" customFormat="1" x14ac:dyDescent="0.35">
      <c r="A80" s="19">
        <v>68</v>
      </c>
      <c r="B80" s="19">
        <v>99245</v>
      </c>
      <c r="C80" s="20" t="s">
        <v>349</v>
      </c>
      <c r="D80" s="116"/>
      <c r="E80" s="410">
        <v>6.28</v>
      </c>
      <c r="F80" s="47">
        <f t="shared" si="8"/>
        <v>0</v>
      </c>
      <c r="G80" s="21">
        <f t="shared" si="6"/>
        <v>479.2370035310949</v>
      </c>
      <c r="H80" s="116"/>
      <c r="I80" s="410">
        <v>5.36</v>
      </c>
      <c r="J80" s="47">
        <f t="shared" si="9"/>
        <v>0</v>
      </c>
      <c r="K80" s="21">
        <f t="shared" si="7"/>
        <v>409.03030874628479</v>
      </c>
    </row>
    <row r="81" spans="1:11" s="22" customFormat="1" x14ac:dyDescent="0.35">
      <c r="A81" s="19">
        <v>69</v>
      </c>
      <c r="B81" s="19">
        <v>99252</v>
      </c>
      <c r="C81" s="20" t="s">
        <v>350</v>
      </c>
      <c r="D81" s="116"/>
      <c r="E81" s="410">
        <v>2.11</v>
      </c>
      <c r="F81" s="47">
        <f t="shared" si="8"/>
        <v>0</v>
      </c>
      <c r="G81" s="21">
        <f t="shared" si="6"/>
        <v>161.01752825646656</v>
      </c>
      <c r="H81" s="116"/>
      <c r="I81" s="410">
        <v>2.11</v>
      </c>
      <c r="J81" s="47">
        <f t="shared" si="9"/>
        <v>0</v>
      </c>
      <c r="K81" s="21">
        <f t="shared" si="7"/>
        <v>161.01752825646656</v>
      </c>
    </row>
    <row r="82" spans="1:11" s="22" customFormat="1" x14ac:dyDescent="0.35">
      <c r="A82" s="19">
        <v>70</v>
      </c>
      <c r="B82" s="19">
        <v>99253</v>
      </c>
      <c r="C82" s="20" t="s">
        <v>351</v>
      </c>
      <c r="D82" s="116"/>
      <c r="E82" s="410">
        <v>2.96</v>
      </c>
      <c r="F82" s="47">
        <f t="shared" si="8"/>
        <v>0</v>
      </c>
      <c r="G82" s="21">
        <f t="shared" si="6"/>
        <v>225.88240930764979</v>
      </c>
      <c r="H82" s="116"/>
      <c r="I82" s="410">
        <v>2.96</v>
      </c>
      <c r="J82" s="47">
        <f t="shared" si="9"/>
        <v>0</v>
      </c>
      <c r="K82" s="21">
        <f t="shared" si="7"/>
        <v>225.88240930764979</v>
      </c>
    </row>
    <row r="83" spans="1:11" s="22" customFormat="1" x14ac:dyDescent="0.35">
      <c r="A83" s="19">
        <v>71</v>
      </c>
      <c r="B83" s="19">
        <v>99254</v>
      </c>
      <c r="C83" s="20" t="s">
        <v>352</v>
      </c>
      <c r="D83" s="116"/>
      <c r="E83" s="410">
        <v>4.1100000000000003</v>
      </c>
      <c r="F83" s="47">
        <f t="shared" si="8"/>
        <v>0</v>
      </c>
      <c r="G83" s="21">
        <f t="shared" si="6"/>
        <v>313.64077778866243</v>
      </c>
      <c r="H83" s="116"/>
      <c r="I83" s="410">
        <v>4.1100000000000003</v>
      </c>
      <c r="J83" s="47">
        <f t="shared" si="9"/>
        <v>0</v>
      </c>
      <c r="K83" s="21">
        <f t="shared" si="7"/>
        <v>313.64077778866243</v>
      </c>
    </row>
    <row r="84" spans="1:11" s="22" customFormat="1" x14ac:dyDescent="0.35">
      <c r="A84" s="19">
        <v>72</v>
      </c>
      <c r="B84" s="19">
        <v>99255</v>
      </c>
      <c r="C84" s="20" t="s">
        <v>353</v>
      </c>
      <c r="D84" s="116"/>
      <c r="E84" s="410">
        <v>5.53</v>
      </c>
      <c r="F84" s="47">
        <f t="shared" si="8"/>
        <v>0</v>
      </c>
      <c r="G84" s="21">
        <f t="shared" si="6"/>
        <v>422.00328495652144</v>
      </c>
      <c r="H84" s="116"/>
      <c r="I84" s="410">
        <v>5.53</v>
      </c>
      <c r="J84" s="47">
        <f t="shared" si="9"/>
        <v>0</v>
      </c>
      <c r="K84" s="21">
        <f t="shared" si="7"/>
        <v>422.00328495652144</v>
      </c>
    </row>
    <row r="85" spans="1:11" s="22" customFormat="1" x14ac:dyDescent="0.35">
      <c r="A85" s="19">
        <v>73</v>
      </c>
      <c r="B85" s="19">
        <v>99281</v>
      </c>
      <c r="C85" s="20" t="s">
        <v>354</v>
      </c>
      <c r="D85" s="116">
        <v>8</v>
      </c>
      <c r="E85" s="410">
        <v>0.34</v>
      </c>
      <c r="F85" s="47">
        <f t="shared" si="8"/>
        <v>2.72</v>
      </c>
      <c r="G85" s="21">
        <f t="shared" si="6"/>
        <v>25.94595242047329</v>
      </c>
      <c r="H85" s="116">
        <v>66</v>
      </c>
      <c r="I85" s="410">
        <v>0.34</v>
      </c>
      <c r="J85" s="47">
        <f t="shared" si="9"/>
        <v>22.44</v>
      </c>
      <c r="K85" s="21">
        <f t="shared" si="7"/>
        <v>25.94595242047329</v>
      </c>
    </row>
    <row r="86" spans="1:11" s="22" customFormat="1" x14ac:dyDescent="0.35">
      <c r="A86" s="19">
        <v>74</v>
      </c>
      <c r="B86" s="19">
        <v>99282</v>
      </c>
      <c r="C86" s="20" t="s">
        <v>355</v>
      </c>
      <c r="D86" s="116">
        <v>75</v>
      </c>
      <c r="E86" s="410">
        <v>1.24</v>
      </c>
      <c r="F86" s="47">
        <f t="shared" si="8"/>
        <v>93</v>
      </c>
      <c r="G86" s="21">
        <f t="shared" si="6"/>
        <v>94.626414709961409</v>
      </c>
      <c r="H86" s="116">
        <v>1032</v>
      </c>
      <c r="I86" s="410">
        <v>1.24</v>
      </c>
      <c r="J86" s="47">
        <f t="shared" si="9"/>
        <v>1279.68</v>
      </c>
      <c r="K86" s="21">
        <f t="shared" si="7"/>
        <v>94.626414709961409</v>
      </c>
    </row>
    <row r="87" spans="1:11" s="22" customFormat="1" x14ac:dyDescent="0.35">
      <c r="A87" s="19">
        <v>75</v>
      </c>
      <c r="B87" s="19">
        <v>99283</v>
      </c>
      <c r="C87" s="20" t="s">
        <v>356</v>
      </c>
      <c r="D87" s="116">
        <v>297</v>
      </c>
      <c r="E87" s="410">
        <v>2.11</v>
      </c>
      <c r="F87" s="47">
        <f t="shared" si="8"/>
        <v>626.66999999999996</v>
      </c>
      <c r="G87" s="21">
        <f t="shared" si="6"/>
        <v>161.01752825646656</v>
      </c>
      <c r="H87" s="116">
        <v>477</v>
      </c>
      <c r="I87" s="410">
        <v>2.11</v>
      </c>
      <c r="J87" s="47">
        <f t="shared" si="9"/>
        <v>1006.4699999999999</v>
      </c>
      <c r="K87" s="21">
        <f t="shared" si="7"/>
        <v>161.01752825646656</v>
      </c>
    </row>
    <row r="88" spans="1:11" s="22" customFormat="1" x14ac:dyDescent="0.35">
      <c r="A88" s="19">
        <v>76</v>
      </c>
      <c r="B88" s="19">
        <v>99284</v>
      </c>
      <c r="C88" s="20" t="s">
        <v>357</v>
      </c>
      <c r="D88" s="116">
        <v>165</v>
      </c>
      <c r="E88" s="410">
        <v>3.59</v>
      </c>
      <c r="F88" s="47">
        <f t="shared" si="8"/>
        <v>592.35</v>
      </c>
      <c r="G88" s="21">
        <f t="shared" si="6"/>
        <v>273.95873291029147</v>
      </c>
      <c r="H88" s="116">
        <v>297</v>
      </c>
      <c r="I88" s="410">
        <v>3.59</v>
      </c>
      <c r="J88" s="47">
        <f t="shared" si="9"/>
        <v>1066.23</v>
      </c>
      <c r="K88" s="21">
        <f t="shared" si="7"/>
        <v>273.95873291029147</v>
      </c>
    </row>
    <row r="89" spans="1:11" s="22" customFormat="1" x14ac:dyDescent="0.35">
      <c r="A89" s="19">
        <v>77</v>
      </c>
      <c r="B89" s="19">
        <v>99285</v>
      </c>
      <c r="C89" s="20" t="s">
        <v>358</v>
      </c>
      <c r="D89" s="116">
        <v>42</v>
      </c>
      <c r="E89" s="410">
        <v>5.2</v>
      </c>
      <c r="F89" s="47">
        <f t="shared" si="8"/>
        <v>218.4</v>
      </c>
      <c r="G89" s="21">
        <f t="shared" si="6"/>
        <v>396.82044878370914</v>
      </c>
      <c r="H89" s="116">
        <v>22</v>
      </c>
      <c r="I89" s="410">
        <v>5.2</v>
      </c>
      <c r="J89" s="47">
        <f t="shared" si="9"/>
        <v>114.4</v>
      </c>
      <c r="K89" s="21">
        <f t="shared" si="7"/>
        <v>396.82044878370914</v>
      </c>
    </row>
    <row r="90" spans="1:11" s="22" customFormat="1" x14ac:dyDescent="0.35">
      <c r="A90" s="19">
        <v>78</v>
      </c>
      <c r="B90" s="19">
        <v>99304</v>
      </c>
      <c r="C90" s="20" t="s">
        <v>362</v>
      </c>
      <c r="D90" s="116"/>
      <c r="E90" s="410">
        <v>2.39</v>
      </c>
      <c r="F90" s="47">
        <f t="shared" si="8"/>
        <v>0</v>
      </c>
      <c r="G90" s="21">
        <f t="shared" si="6"/>
        <v>182.38478319097402</v>
      </c>
      <c r="H90" s="116"/>
      <c r="I90" s="410">
        <v>2.39</v>
      </c>
      <c r="J90" s="47">
        <f t="shared" si="9"/>
        <v>0</v>
      </c>
      <c r="K90" s="21">
        <f t="shared" si="7"/>
        <v>182.38478319097402</v>
      </c>
    </row>
    <row r="91" spans="1:11" s="22" customFormat="1" x14ac:dyDescent="0.35">
      <c r="A91" s="19">
        <v>79</v>
      </c>
      <c r="B91" s="19">
        <v>99305</v>
      </c>
      <c r="C91" s="20" t="s">
        <v>363</v>
      </c>
      <c r="D91" s="116"/>
      <c r="E91" s="410">
        <v>3.97</v>
      </c>
      <c r="F91" s="47">
        <f t="shared" si="8"/>
        <v>0</v>
      </c>
      <c r="G91" s="21">
        <f t="shared" si="6"/>
        <v>302.95715032140873</v>
      </c>
      <c r="H91" s="116"/>
      <c r="I91" s="410">
        <v>3.97</v>
      </c>
      <c r="J91" s="47">
        <f t="shared" si="9"/>
        <v>0</v>
      </c>
      <c r="K91" s="21">
        <f t="shared" si="7"/>
        <v>302.95715032140873</v>
      </c>
    </row>
    <row r="92" spans="1:11" s="22" customFormat="1" x14ac:dyDescent="0.35">
      <c r="A92" s="19">
        <v>80</v>
      </c>
      <c r="B92" s="19">
        <v>99306</v>
      </c>
      <c r="C92" s="20" t="s">
        <v>364</v>
      </c>
      <c r="D92" s="116"/>
      <c r="E92" s="410">
        <v>5.42</v>
      </c>
      <c r="F92" s="47">
        <f t="shared" si="8"/>
        <v>0</v>
      </c>
      <c r="G92" s="21">
        <f t="shared" si="6"/>
        <v>413.60900623225064</v>
      </c>
      <c r="H92" s="116"/>
      <c r="I92" s="410">
        <v>5.42</v>
      </c>
      <c r="J92" s="47">
        <f t="shared" si="9"/>
        <v>0</v>
      </c>
      <c r="K92" s="21">
        <f t="shared" si="7"/>
        <v>413.60900623225064</v>
      </c>
    </row>
    <row r="93" spans="1:11" s="22" customFormat="1" x14ac:dyDescent="0.35">
      <c r="A93" s="19">
        <v>81</v>
      </c>
      <c r="B93" s="19">
        <v>99307</v>
      </c>
      <c r="C93" s="20" t="s">
        <v>365</v>
      </c>
      <c r="D93" s="116"/>
      <c r="E93" s="410">
        <v>1.2</v>
      </c>
      <c r="F93" s="47">
        <f t="shared" si="8"/>
        <v>0</v>
      </c>
      <c r="G93" s="21">
        <f t="shared" si="6"/>
        <v>91.573949719317483</v>
      </c>
      <c r="H93" s="116"/>
      <c r="I93" s="410">
        <v>1.2</v>
      </c>
      <c r="J93" s="47">
        <f t="shared" si="9"/>
        <v>0</v>
      </c>
      <c r="K93" s="21">
        <f t="shared" si="7"/>
        <v>91.573949719317483</v>
      </c>
    </row>
    <row r="94" spans="1:11" s="22" customFormat="1" x14ac:dyDescent="0.35">
      <c r="A94" s="19">
        <v>82</v>
      </c>
      <c r="B94" s="19">
        <v>99308</v>
      </c>
      <c r="C94" s="20" t="s">
        <v>366</v>
      </c>
      <c r="D94" s="116"/>
      <c r="E94" s="410">
        <v>2.2200000000000002</v>
      </c>
      <c r="F94" s="47">
        <f t="shared" si="8"/>
        <v>0</v>
      </c>
      <c r="G94" s="21">
        <f t="shared" si="6"/>
        <v>169.41180698073737</v>
      </c>
      <c r="H94" s="116"/>
      <c r="I94" s="410">
        <v>2.2200000000000002</v>
      </c>
      <c r="J94" s="47">
        <f t="shared" si="9"/>
        <v>0</v>
      </c>
      <c r="K94" s="21">
        <f t="shared" si="7"/>
        <v>169.41180698073737</v>
      </c>
    </row>
    <row r="95" spans="1:11" s="22" customFormat="1" x14ac:dyDescent="0.35">
      <c r="A95" s="19">
        <v>83</v>
      </c>
      <c r="B95" s="19">
        <v>99309</v>
      </c>
      <c r="C95" s="20" t="s">
        <v>367</v>
      </c>
      <c r="D95" s="116"/>
      <c r="E95" s="410">
        <v>3.21</v>
      </c>
      <c r="F95" s="47">
        <f t="shared" si="8"/>
        <v>0</v>
      </c>
      <c r="G95" s="21">
        <f t="shared" si="6"/>
        <v>244.96031549917427</v>
      </c>
      <c r="H95" s="116"/>
      <c r="I95" s="410">
        <v>3.21</v>
      </c>
      <c r="J95" s="47">
        <f t="shared" si="9"/>
        <v>0</v>
      </c>
      <c r="K95" s="21">
        <f t="shared" si="7"/>
        <v>244.96031549917427</v>
      </c>
    </row>
    <row r="96" spans="1:11" s="22" customFormat="1" x14ac:dyDescent="0.35">
      <c r="A96" s="19">
        <v>84</v>
      </c>
      <c r="B96" s="19">
        <v>99310</v>
      </c>
      <c r="C96" s="20" t="s">
        <v>368</v>
      </c>
      <c r="D96" s="116"/>
      <c r="E96" s="410">
        <v>4.58</v>
      </c>
      <c r="F96" s="47">
        <f t="shared" si="8"/>
        <v>0</v>
      </c>
      <c r="G96" s="21">
        <f t="shared" si="6"/>
        <v>349.50724142872843</v>
      </c>
      <c r="H96" s="116"/>
      <c r="I96" s="410">
        <v>4.58</v>
      </c>
      <c r="J96" s="47">
        <f t="shared" si="9"/>
        <v>0</v>
      </c>
      <c r="K96" s="21">
        <f t="shared" si="7"/>
        <v>349.50724142872843</v>
      </c>
    </row>
    <row r="97" spans="1:11" s="22" customFormat="1" x14ac:dyDescent="0.35">
      <c r="A97" s="19">
        <v>85</v>
      </c>
      <c r="B97" s="19">
        <v>99315</v>
      </c>
      <c r="C97" s="20" t="s">
        <v>369</v>
      </c>
      <c r="D97" s="116"/>
      <c r="E97" s="410">
        <v>2.4300000000000002</v>
      </c>
      <c r="F97" s="47">
        <f t="shared" si="8"/>
        <v>0</v>
      </c>
      <c r="G97" s="21">
        <f t="shared" si="6"/>
        <v>185.43724818161792</v>
      </c>
      <c r="H97" s="116"/>
      <c r="I97" s="410">
        <v>2.4300000000000002</v>
      </c>
      <c r="J97" s="47">
        <f t="shared" si="9"/>
        <v>0</v>
      </c>
      <c r="K97" s="21">
        <f t="shared" si="7"/>
        <v>185.43724818161792</v>
      </c>
    </row>
    <row r="98" spans="1:11" s="22" customFormat="1" x14ac:dyDescent="0.35">
      <c r="A98" s="19">
        <v>86</v>
      </c>
      <c r="B98" s="19">
        <v>99316</v>
      </c>
      <c r="C98" s="20" t="s">
        <v>128</v>
      </c>
      <c r="D98" s="116"/>
      <c r="E98" s="410">
        <v>3.9</v>
      </c>
      <c r="F98" s="47">
        <f t="shared" si="8"/>
        <v>0</v>
      </c>
      <c r="G98" s="21">
        <f t="shared" si="6"/>
        <v>297.61533658778183</v>
      </c>
      <c r="H98" s="116"/>
      <c r="I98" s="410">
        <v>3.9</v>
      </c>
      <c r="J98" s="47">
        <f t="shared" si="9"/>
        <v>0</v>
      </c>
      <c r="K98" s="21">
        <f t="shared" si="7"/>
        <v>297.61533658778183</v>
      </c>
    </row>
    <row r="99" spans="1:11" s="22" customFormat="1" x14ac:dyDescent="0.35">
      <c r="A99" s="19">
        <v>87</v>
      </c>
      <c r="B99" s="19">
        <v>99341</v>
      </c>
      <c r="C99" s="20" t="s">
        <v>370</v>
      </c>
      <c r="D99" s="116"/>
      <c r="E99" s="410">
        <v>1.47</v>
      </c>
      <c r="F99" s="47">
        <f t="shared" si="8"/>
        <v>0</v>
      </c>
      <c r="G99" s="21">
        <f t="shared" si="6"/>
        <v>112.17808840616392</v>
      </c>
      <c r="H99" s="116"/>
      <c r="I99" s="410">
        <v>1.47</v>
      </c>
      <c r="J99" s="47">
        <f t="shared" si="9"/>
        <v>0</v>
      </c>
      <c r="K99" s="21">
        <f t="shared" si="7"/>
        <v>112.17808840616392</v>
      </c>
    </row>
    <row r="100" spans="1:11" s="22" customFormat="1" x14ac:dyDescent="0.35">
      <c r="A100" s="19">
        <v>88</v>
      </c>
      <c r="B100" s="19">
        <v>99342</v>
      </c>
      <c r="C100" s="20" t="s">
        <v>371</v>
      </c>
      <c r="D100" s="116"/>
      <c r="E100" s="410">
        <v>2.33</v>
      </c>
      <c r="F100" s="47">
        <f t="shared" si="8"/>
        <v>0</v>
      </c>
      <c r="G100" s="21">
        <f t="shared" si="6"/>
        <v>177.80608570500812</v>
      </c>
      <c r="H100" s="116"/>
      <c r="I100" s="410">
        <v>2.33</v>
      </c>
      <c r="J100" s="47">
        <f t="shared" si="9"/>
        <v>0</v>
      </c>
      <c r="K100" s="21">
        <f t="shared" si="7"/>
        <v>177.80608570500812</v>
      </c>
    </row>
    <row r="101" spans="1:11" s="22" customFormat="1" x14ac:dyDescent="0.35">
      <c r="A101" s="19">
        <v>89</v>
      </c>
      <c r="B101" s="19">
        <v>99344</v>
      </c>
      <c r="C101" s="20" t="s">
        <v>372</v>
      </c>
      <c r="D101" s="116"/>
      <c r="E101" s="410">
        <v>4.2300000000000004</v>
      </c>
      <c r="F101" s="47">
        <f t="shared" si="8"/>
        <v>0</v>
      </c>
      <c r="G101" s="21">
        <f t="shared" si="6"/>
        <v>322.79817276059418</v>
      </c>
      <c r="H101" s="116"/>
      <c r="I101" s="410">
        <v>4.2300000000000004</v>
      </c>
      <c r="J101" s="47">
        <f t="shared" si="9"/>
        <v>0</v>
      </c>
      <c r="K101" s="21">
        <f t="shared" si="7"/>
        <v>322.79817276059418</v>
      </c>
    </row>
    <row r="102" spans="1:11" s="22" customFormat="1" x14ac:dyDescent="0.35">
      <c r="A102" s="19">
        <v>90</v>
      </c>
      <c r="B102" s="19">
        <v>99345</v>
      </c>
      <c r="C102" s="20" t="s">
        <v>373</v>
      </c>
      <c r="D102" s="116"/>
      <c r="E102" s="410">
        <v>6.01</v>
      </c>
      <c r="F102" s="47">
        <f t="shared" si="8"/>
        <v>0</v>
      </c>
      <c r="G102" s="21">
        <f t="shared" si="6"/>
        <v>458.63286484424839</v>
      </c>
      <c r="H102" s="116"/>
      <c r="I102" s="410">
        <v>6.01</v>
      </c>
      <c r="J102" s="47">
        <f t="shared" si="9"/>
        <v>0</v>
      </c>
      <c r="K102" s="21">
        <f t="shared" si="7"/>
        <v>458.63286484424839</v>
      </c>
    </row>
    <row r="103" spans="1:11" s="22" customFormat="1" x14ac:dyDescent="0.35">
      <c r="A103" s="19">
        <v>91</v>
      </c>
      <c r="B103" s="19">
        <v>99347</v>
      </c>
      <c r="C103" s="20" t="s">
        <v>374</v>
      </c>
      <c r="D103" s="116">
        <v>15</v>
      </c>
      <c r="E103" s="410">
        <v>1.35</v>
      </c>
      <c r="F103" s="47">
        <f t="shared" si="8"/>
        <v>20.25</v>
      </c>
      <c r="G103" s="21">
        <f t="shared" si="6"/>
        <v>103.02069343423219</v>
      </c>
      <c r="H103" s="116">
        <v>0</v>
      </c>
      <c r="I103" s="410">
        <v>1.35</v>
      </c>
      <c r="J103" s="47">
        <f t="shared" si="9"/>
        <v>0</v>
      </c>
      <c r="K103" s="21">
        <f t="shared" si="7"/>
        <v>103.02069343423219</v>
      </c>
    </row>
    <row r="104" spans="1:11" s="22" customFormat="1" x14ac:dyDescent="0.35">
      <c r="A104" s="19">
        <v>92</v>
      </c>
      <c r="B104" s="19">
        <v>99348</v>
      </c>
      <c r="C104" s="20" t="s">
        <v>375</v>
      </c>
      <c r="D104" s="116">
        <v>2</v>
      </c>
      <c r="E104" s="410">
        <v>2.2799999999999998</v>
      </c>
      <c r="F104" s="47">
        <f t="shared" si="8"/>
        <v>4.5599999999999996</v>
      </c>
      <c r="G104" s="21">
        <f t="shared" si="6"/>
        <v>173.99050446670321</v>
      </c>
      <c r="H104" s="116">
        <v>0</v>
      </c>
      <c r="I104" s="410">
        <v>2.2799999999999998</v>
      </c>
      <c r="J104" s="47">
        <f t="shared" si="9"/>
        <v>0</v>
      </c>
      <c r="K104" s="21">
        <f t="shared" si="7"/>
        <v>173.99050446670321</v>
      </c>
    </row>
    <row r="105" spans="1:11" s="22" customFormat="1" x14ac:dyDescent="0.35">
      <c r="A105" s="19">
        <v>93</v>
      </c>
      <c r="B105" s="19">
        <v>99349</v>
      </c>
      <c r="C105" s="20" t="s">
        <v>376</v>
      </c>
      <c r="D105" s="116">
        <v>91</v>
      </c>
      <c r="E105" s="410">
        <v>3.79</v>
      </c>
      <c r="F105" s="47">
        <f t="shared" si="8"/>
        <v>344.89</v>
      </c>
      <c r="G105" s="21">
        <f t="shared" si="6"/>
        <v>289.22105786351108</v>
      </c>
      <c r="H105" s="116">
        <v>1</v>
      </c>
      <c r="I105" s="410">
        <v>3.79</v>
      </c>
      <c r="J105" s="47">
        <f t="shared" si="9"/>
        <v>3.79</v>
      </c>
      <c r="K105" s="21">
        <f t="shared" si="7"/>
        <v>289.22105786351108</v>
      </c>
    </row>
    <row r="106" spans="1:11" s="22" customFormat="1" x14ac:dyDescent="0.35">
      <c r="A106" s="19">
        <v>94</v>
      </c>
      <c r="B106" s="19">
        <v>99350</v>
      </c>
      <c r="C106" s="20" t="s">
        <v>377</v>
      </c>
      <c r="D106" s="116">
        <v>3</v>
      </c>
      <c r="E106" s="410">
        <v>5.52</v>
      </c>
      <c r="F106" s="47">
        <f t="shared" si="8"/>
        <v>16.559999999999999</v>
      </c>
      <c r="G106" s="21">
        <f t="shared" si="6"/>
        <v>421.24016870886044</v>
      </c>
      <c r="H106" s="116">
        <v>0</v>
      </c>
      <c r="I106" s="410">
        <v>5.52</v>
      </c>
      <c r="J106" s="47">
        <f t="shared" si="9"/>
        <v>0</v>
      </c>
      <c r="K106" s="21">
        <f t="shared" si="7"/>
        <v>421.24016870886044</v>
      </c>
    </row>
    <row r="107" spans="1:11" s="22" customFormat="1" x14ac:dyDescent="0.35">
      <c r="A107" s="19">
        <v>95</v>
      </c>
      <c r="B107" s="19">
        <v>99366</v>
      </c>
      <c r="C107" s="20" t="s">
        <v>378</v>
      </c>
      <c r="D107" s="116"/>
      <c r="E107" s="410">
        <v>1.22</v>
      </c>
      <c r="F107" s="47">
        <f t="shared" si="8"/>
        <v>0</v>
      </c>
      <c r="G107" s="21">
        <f t="shared" si="6"/>
        <v>93.100182214639446</v>
      </c>
      <c r="H107" s="116"/>
      <c r="I107" s="410">
        <v>1.19</v>
      </c>
      <c r="J107" s="47">
        <f t="shared" si="9"/>
        <v>0</v>
      </c>
      <c r="K107" s="21">
        <f t="shared" si="7"/>
        <v>90.810833471656508</v>
      </c>
    </row>
    <row r="108" spans="1:11" s="22" customFormat="1" x14ac:dyDescent="0.35">
      <c r="A108" s="19">
        <v>96</v>
      </c>
      <c r="B108" s="19">
        <v>99367</v>
      </c>
      <c r="C108" s="20" t="s">
        <v>379</v>
      </c>
      <c r="D108" s="116"/>
      <c r="E108" s="410">
        <v>1.6</v>
      </c>
      <c r="F108" s="47">
        <f t="shared" si="8"/>
        <v>0</v>
      </c>
      <c r="G108" s="21">
        <f t="shared" si="6"/>
        <v>122.09859962575666</v>
      </c>
      <c r="H108" s="116"/>
      <c r="I108" s="410">
        <v>1.6</v>
      </c>
      <c r="J108" s="47">
        <f t="shared" si="9"/>
        <v>0</v>
      </c>
      <c r="K108" s="21">
        <f t="shared" si="7"/>
        <v>122.09859962575666</v>
      </c>
    </row>
    <row r="109" spans="1:11" s="22" customFormat="1" x14ac:dyDescent="0.35">
      <c r="A109" s="19">
        <v>97</v>
      </c>
      <c r="B109" s="19">
        <v>99368</v>
      </c>
      <c r="C109" s="20" t="s">
        <v>380</v>
      </c>
      <c r="D109" s="116"/>
      <c r="E109" s="410">
        <v>1.04</v>
      </c>
      <c r="F109" s="47">
        <f t="shared" si="8"/>
        <v>0</v>
      </c>
      <c r="G109" s="21">
        <f t="shared" si="6"/>
        <v>79.364089756741819</v>
      </c>
      <c r="H109" s="116"/>
      <c r="I109" s="410">
        <v>1.04</v>
      </c>
      <c r="J109" s="47">
        <f t="shared" si="9"/>
        <v>0</v>
      </c>
      <c r="K109" s="21">
        <f t="shared" si="7"/>
        <v>79.364089756741819</v>
      </c>
    </row>
    <row r="110" spans="1:11" s="22" customFormat="1" x14ac:dyDescent="0.35">
      <c r="A110" s="19">
        <v>98</v>
      </c>
      <c r="B110" s="19">
        <v>99441</v>
      </c>
      <c r="C110" s="20" t="s">
        <v>381</v>
      </c>
      <c r="D110" s="116"/>
      <c r="E110" s="410">
        <v>1.69</v>
      </c>
      <c r="F110" s="47">
        <f t="shared" si="8"/>
        <v>0</v>
      </c>
      <c r="G110" s="21">
        <f t="shared" si="6"/>
        <v>128.96664585470546</v>
      </c>
      <c r="H110" s="116"/>
      <c r="I110" s="410">
        <v>1.04</v>
      </c>
      <c r="J110" s="47">
        <f t="shared" si="9"/>
        <v>0</v>
      </c>
      <c r="K110" s="21">
        <f t="shared" si="7"/>
        <v>79.364089756741819</v>
      </c>
    </row>
    <row r="111" spans="1:11" s="22" customFormat="1" x14ac:dyDescent="0.35">
      <c r="A111" s="19">
        <v>99</v>
      </c>
      <c r="B111" s="19">
        <v>99442</v>
      </c>
      <c r="C111" s="20" t="s">
        <v>382</v>
      </c>
      <c r="D111" s="116"/>
      <c r="E111" s="410">
        <v>2.72</v>
      </c>
      <c r="F111" s="47">
        <f t="shared" si="8"/>
        <v>0</v>
      </c>
      <c r="G111" s="21">
        <f t="shared" si="6"/>
        <v>207.56761936378632</v>
      </c>
      <c r="H111" s="116"/>
      <c r="I111" s="410">
        <v>1.95</v>
      </c>
      <c r="J111" s="47">
        <f t="shared" si="9"/>
        <v>0</v>
      </c>
      <c r="K111" s="21">
        <f t="shared" si="7"/>
        <v>148.80766829389091</v>
      </c>
    </row>
    <row r="112" spans="1:11" s="22" customFormat="1" x14ac:dyDescent="0.35">
      <c r="A112" s="19">
        <v>100</v>
      </c>
      <c r="B112" s="19">
        <v>99443</v>
      </c>
      <c r="C112" s="20" t="s">
        <v>383</v>
      </c>
      <c r="D112" s="116"/>
      <c r="E112" s="410">
        <v>3.85</v>
      </c>
      <c r="F112" s="47">
        <f t="shared" si="8"/>
        <v>0</v>
      </c>
      <c r="G112" s="21">
        <f t="shared" si="6"/>
        <v>293.79975534947692</v>
      </c>
      <c r="H112" s="116"/>
      <c r="I112" s="410">
        <v>2.89</v>
      </c>
      <c r="J112" s="47">
        <f t="shared" si="9"/>
        <v>0</v>
      </c>
      <c r="K112" s="21">
        <f t="shared" si="7"/>
        <v>220.54059557402297</v>
      </c>
    </row>
    <row r="113" spans="1:11" s="22" customFormat="1" ht="34.5" customHeight="1" x14ac:dyDescent="0.35">
      <c r="A113" s="19">
        <v>101</v>
      </c>
      <c r="B113" s="19" t="s">
        <v>42</v>
      </c>
      <c r="C113" s="20" t="s">
        <v>384</v>
      </c>
      <c r="D113" s="116"/>
      <c r="E113" s="410">
        <v>1.27</v>
      </c>
      <c r="F113" s="47">
        <f t="shared" si="8"/>
        <v>0</v>
      </c>
      <c r="G113" s="21">
        <f t="shared" si="6"/>
        <v>96.915763452944347</v>
      </c>
      <c r="H113" s="116"/>
      <c r="I113" s="410">
        <v>1.1100000000000001</v>
      </c>
      <c r="J113" s="47">
        <f t="shared" si="9"/>
        <v>0</v>
      </c>
      <c r="K113" s="21">
        <f t="shared" si="7"/>
        <v>84.705903490368684</v>
      </c>
    </row>
    <row r="114" spans="1:11" s="22" customFormat="1" ht="29" x14ac:dyDescent="0.35">
      <c r="A114" s="19">
        <v>102</v>
      </c>
      <c r="B114" s="19" t="s">
        <v>43</v>
      </c>
      <c r="C114" s="20" t="s">
        <v>385</v>
      </c>
      <c r="D114" s="116"/>
      <c r="E114" s="410">
        <v>0.75</v>
      </c>
      <c r="F114" s="47">
        <f t="shared" si="8"/>
        <v>0</v>
      </c>
      <c r="G114" s="21">
        <f t="shared" si="6"/>
        <v>57.23371857457343</v>
      </c>
      <c r="H114" s="116"/>
      <c r="I114" s="410">
        <v>0.37</v>
      </c>
      <c r="J114" s="47">
        <f t="shared" si="9"/>
        <v>0</v>
      </c>
      <c r="K114" s="21">
        <f t="shared" si="7"/>
        <v>28.235301163456224</v>
      </c>
    </row>
    <row r="115" spans="1:11" s="22" customFormat="1" x14ac:dyDescent="0.35">
      <c r="A115" s="19">
        <v>103</v>
      </c>
      <c r="B115" s="19" t="s">
        <v>44</v>
      </c>
      <c r="C115" s="20" t="s">
        <v>129</v>
      </c>
      <c r="D115" s="116">
        <v>68</v>
      </c>
      <c r="E115" s="410">
        <v>5.17</v>
      </c>
      <c r="F115" s="47">
        <f t="shared" si="8"/>
        <v>351.56</v>
      </c>
      <c r="G115" s="21">
        <f t="shared" si="6"/>
        <v>394.53110004072619</v>
      </c>
      <c r="H115" s="116">
        <v>112</v>
      </c>
      <c r="I115" s="410">
        <v>4.43</v>
      </c>
      <c r="J115" s="47">
        <f t="shared" si="9"/>
        <v>496.15999999999997</v>
      </c>
      <c r="K115" s="21">
        <f t="shared" si="7"/>
        <v>338.06049771381373</v>
      </c>
    </row>
    <row r="116" spans="1:11" s="22" customFormat="1" x14ac:dyDescent="0.35">
      <c r="A116" s="19">
        <v>104</v>
      </c>
      <c r="B116" s="19" t="s">
        <v>45</v>
      </c>
      <c r="C116" s="20" t="s">
        <v>386</v>
      </c>
      <c r="D116" s="116">
        <v>936</v>
      </c>
      <c r="E116" s="410">
        <v>0.72</v>
      </c>
      <c r="F116" s="47">
        <f t="shared" si="8"/>
        <v>673.92</v>
      </c>
      <c r="G116" s="21">
        <f t="shared" si="6"/>
        <v>54.944369831590492</v>
      </c>
      <c r="H116" s="116">
        <v>1937</v>
      </c>
      <c r="I116" s="410">
        <v>0.66</v>
      </c>
      <c r="J116" s="47">
        <f t="shared" si="9"/>
        <v>1278.42</v>
      </c>
      <c r="K116" s="21">
        <f t="shared" si="7"/>
        <v>50.365672345624624</v>
      </c>
    </row>
    <row r="117" spans="1:11" s="22" customFormat="1" ht="29" x14ac:dyDescent="0.35">
      <c r="A117" s="19">
        <v>105</v>
      </c>
      <c r="B117" s="19" t="s">
        <v>19</v>
      </c>
      <c r="C117" s="20" t="s">
        <v>39</v>
      </c>
      <c r="D117" s="116"/>
      <c r="E117" s="410">
        <v>0</v>
      </c>
      <c r="F117" s="47">
        <f t="shared" si="8"/>
        <v>0</v>
      </c>
      <c r="G117" s="21">
        <f t="shared" si="6"/>
        <v>0</v>
      </c>
      <c r="H117" s="116"/>
      <c r="I117" s="410">
        <v>0</v>
      </c>
      <c r="J117" s="47">
        <f t="shared" si="9"/>
        <v>0</v>
      </c>
      <c r="K117" s="21">
        <f t="shared" si="7"/>
        <v>0</v>
      </c>
    </row>
    <row r="118" spans="1:11" s="22" customFormat="1" x14ac:dyDescent="0.35">
      <c r="A118" s="19">
        <v>106</v>
      </c>
      <c r="B118" s="19" t="s">
        <v>46</v>
      </c>
      <c r="C118" s="20" t="s">
        <v>130</v>
      </c>
      <c r="D118" s="116">
        <v>17678</v>
      </c>
      <c r="E118" s="410">
        <v>1.18</v>
      </c>
      <c r="F118" s="47">
        <f t="shared" si="8"/>
        <v>20860.039999999997</v>
      </c>
      <c r="G118" s="21">
        <f t="shared" si="6"/>
        <v>90.047717223995519</v>
      </c>
      <c r="H118" s="116">
        <v>16968</v>
      </c>
      <c r="I118" s="410">
        <v>1.03</v>
      </c>
      <c r="J118" s="47">
        <f t="shared" si="9"/>
        <v>17477.04</v>
      </c>
      <c r="K118" s="21">
        <f t="shared" si="7"/>
        <v>78.600973509080845</v>
      </c>
    </row>
    <row r="119" spans="1:11" s="22" customFormat="1" x14ac:dyDescent="0.35">
      <c r="A119" s="19">
        <v>107</v>
      </c>
      <c r="B119" s="19" t="s">
        <v>47</v>
      </c>
      <c r="C119" s="20" t="s">
        <v>131</v>
      </c>
      <c r="D119" s="116">
        <v>4389</v>
      </c>
      <c r="E119" s="410">
        <v>0.83</v>
      </c>
      <c r="F119" s="47">
        <f t="shared" si="8"/>
        <v>3642.87</v>
      </c>
      <c r="G119" s="21">
        <f t="shared" si="6"/>
        <v>63.338648555861262</v>
      </c>
      <c r="H119" s="116">
        <v>12769</v>
      </c>
      <c r="I119" s="410">
        <v>0.72</v>
      </c>
      <c r="J119" s="47">
        <f t="shared" si="9"/>
        <v>9193.68</v>
      </c>
      <c r="K119" s="21">
        <f t="shared" si="7"/>
        <v>54.944369831590492</v>
      </c>
    </row>
    <row r="120" spans="1:11" s="22" customFormat="1" x14ac:dyDescent="0.35">
      <c r="A120" s="19">
        <v>108</v>
      </c>
      <c r="B120" s="19" t="s">
        <v>48</v>
      </c>
      <c r="C120" s="20" t="s">
        <v>132</v>
      </c>
      <c r="D120" s="116">
        <v>498</v>
      </c>
      <c r="E120" s="410">
        <v>0.64</v>
      </c>
      <c r="F120" s="47">
        <f t="shared" si="8"/>
        <v>318.72000000000003</v>
      </c>
      <c r="G120" s="21">
        <f t="shared" si="6"/>
        <v>48.839439850302661</v>
      </c>
      <c r="H120" s="116">
        <v>4179</v>
      </c>
      <c r="I120" s="410">
        <v>0.6</v>
      </c>
      <c r="J120" s="47">
        <f t="shared" si="9"/>
        <v>2507.4</v>
      </c>
      <c r="K120" s="21">
        <f t="shared" si="7"/>
        <v>45.786974859658741</v>
      </c>
    </row>
    <row r="121" spans="1:11" s="22" customFormat="1" x14ac:dyDescent="0.35">
      <c r="A121" s="19">
        <v>109</v>
      </c>
      <c r="B121" s="19" t="s">
        <v>21</v>
      </c>
      <c r="C121" s="20" t="s">
        <v>24</v>
      </c>
      <c r="D121" s="116"/>
      <c r="E121" s="410">
        <v>0</v>
      </c>
      <c r="F121" s="47">
        <f t="shared" si="8"/>
        <v>0</v>
      </c>
      <c r="G121" s="21">
        <f t="shared" si="6"/>
        <v>0</v>
      </c>
      <c r="H121" s="116"/>
      <c r="I121" s="410">
        <v>0</v>
      </c>
      <c r="J121" s="47">
        <f t="shared" si="9"/>
        <v>0</v>
      </c>
      <c r="K121" s="21">
        <f t="shared" si="7"/>
        <v>0</v>
      </c>
    </row>
    <row r="122" spans="1:11" s="22" customFormat="1" ht="29" x14ac:dyDescent="0.35">
      <c r="A122" s="19">
        <v>110</v>
      </c>
      <c r="B122" s="19" t="s">
        <v>49</v>
      </c>
      <c r="C122" s="20" t="s">
        <v>387</v>
      </c>
      <c r="D122" s="116">
        <v>0</v>
      </c>
      <c r="E122" s="410">
        <v>0</v>
      </c>
      <c r="F122" s="47">
        <f t="shared" si="8"/>
        <v>0</v>
      </c>
      <c r="G122" s="21">
        <f t="shared" si="6"/>
        <v>0</v>
      </c>
      <c r="H122" s="116">
        <v>386</v>
      </c>
      <c r="I122" s="410">
        <v>0</v>
      </c>
      <c r="J122" s="47">
        <f t="shared" si="9"/>
        <v>0</v>
      </c>
      <c r="K122" s="21">
        <f t="shared" si="7"/>
        <v>0</v>
      </c>
    </row>
    <row r="123" spans="1:11" s="22" customFormat="1" ht="29" x14ac:dyDescent="0.35">
      <c r="A123" s="19">
        <v>111</v>
      </c>
      <c r="B123" s="19" t="s">
        <v>33</v>
      </c>
      <c r="C123" s="20" t="s">
        <v>388</v>
      </c>
      <c r="D123" s="116">
        <v>0</v>
      </c>
      <c r="E123" s="410">
        <v>0</v>
      </c>
      <c r="F123" s="47">
        <f t="shared" si="8"/>
        <v>0</v>
      </c>
      <c r="G123" s="21">
        <f t="shared" si="6"/>
        <v>0</v>
      </c>
      <c r="H123" s="116">
        <v>3736</v>
      </c>
      <c r="I123" s="410">
        <v>0</v>
      </c>
      <c r="J123" s="47">
        <f t="shared" si="9"/>
        <v>0</v>
      </c>
      <c r="K123" s="21">
        <f t="shared" si="7"/>
        <v>0</v>
      </c>
    </row>
    <row r="124" spans="1:11" s="22" customFormat="1" x14ac:dyDescent="0.35">
      <c r="A124" s="19">
        <v>112</v>
      </c>
      <c r="B124" s="19" t="s">
        <v>50</v>
      </c>
      <c r="C124" s="20" t="s">
        <v>389</v>
      </c>
      <c r="D124" s="116"/>
      <c r="E124" s="410">
        <v>2.64</v>
      </c>
      <c r="F124" s="47">
        <f t="shared" ref="F124:F187" si="10">D124*E124</f>
        <v>0</v>
      </c>
      <c r="G124" s="21">
        <f t="shared" ref="G124:G186" si="11">E124*$F$12</f>
        <v>201.4626893824985</v>
      </c>
      <c r="H124" s="116"/>
      <c r="I124" s="410">
        <v>2.64</v>
      </c>
      <c r="J124" s="47">
        <f t="shared" ref="J124:J187" si="12">H124*I124</f>
        <v>0</v>
      </c>
      <c r="K124" s="21">
        <f t="shared" ref="K124:K186" si="13">I124*$F$12</f>
        <v>201.4626893824985</v>
      </c>
    </row>
    <row r="125" spans="1:11" s="22" customFormat="1" x14ac:dyDescent="0.35">
      <c r="A125" s="19">
        <v>113</v>
      </c>
      <c r="B125" s="19" t="s">
        <v>51</v>
      </c>
      <c r="C125" s="20" t="s">
        <v>133</v>
      </c>
      <c r="D125" s="116"/>
      <c r="E125" s="410">
        <v>0</v>
      </c>
      <c r="F125" s="47">
        <f t="shared" si="10"/>
        <v>0</v>
      </c>
      <c r="G125" s="21">
        <f t="shared" si="11"/>
        <v>0</v>
      </c>
      <c r="H125" s="116"/>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16"/>
      <c r="I126" s="410">
        <v>0</v>
      </c>
      <c r="J126" s="47">
        <f t="shared" si="12"/>
        <v>0</v>
      </c>
      <c r="K126" s="21">
        <f t="shared" si="13"/>
        <v>0</v>
      </c>
    </row>
    <row r="127" spans="1:11" s="22" customFormat="1" x14ac:dyDescent="0.35">
      <c r="A127" s="19">
        <v>115</v>
      </c>
      <c r="B127" s="19" t="s">
        <v>53</v>
      </c>
      <c r="C127" s="20" t="s">
        <v>135</v>
      </c>
      <c r="D127" s="116"/>
      <c r="E127" s="410">
        <v>0</v>
      </c>
      <c r="F127" s="47">
        <f t="shared" si="10"/>
        <v>0</v>
      </c>
      <c r="G127" s="21">
        <f t="shared" si="11"/>
        <v>0</v>
      </c>
      <c r="H127" s="116"/>
      <c r="I127" s="410">
        <v>0</v>
      </c>
      <c r="J127" s="47">
        <f t="shared" si="12"/>
        <v>0</v>
      </c>
      <c r="K127" s="21">
        <f t="shared" si="13"/>
        <v>0</v>
      </c>
    </row>
    <row r="128" spans="1:11" s="22" customFormat="1" ht="29" x14ac:dyDescent="0.35">
      <c r="A128" s="19">
        <v>116</v>
      </c>
      <c r="B128" s="19" t="s">
        <v>54</v>
      </c>
      <c r="C128" s="20" t="s">
        <v>390</v>
      </c>
      <c r="D128" s="116"/>
      <c r="E128" s="410">
        <v>1.02</v>
      </c>
      <c r="F128" s="47">
        <f t="shared" si="10"/>
        <v>0</v>
      </c>
      <c r="G128" s="21">
        <f t="shared" si="11"/>
        <v>77.83785726141987</v>
      </c>
      <c r="H128" s="116"/>
      <c r="I128" s="410">
        <v>0.94</v>
      </c>
      <c r="J128" s="47">
        <f t="shared" si="12"/>
        <v>0</v>
      </c>
      <c r="K128" s="21">
        <f t="shared" si="13"/>
        <v>71.732927280132031</v>
      </c>
    </row>
    <row r="129" spans="1:11" s="22" customFormat="1" x14ac:dyDescent="0.35">
      <c r="A129" s="19">
        <v>117</v>
      </c>
      <c r="B129" s="19" t="s">
        <v>22</v>
      </c>
      <c r="C129" s="20" t="s">
        <v>25</v>
      </c>
      <c r="D129" s="116"/>
      <c r="E129" s="410">
        <v>0</v>
      </c>
      <c r="F129" s="47">
        <f t="shared" si="10"/>
        <v>0</v>
      </c>
      <c r="G129" s="21">
        <f t="shared" si="11"/>
        <v>0</v>
      </c>
      <c r="H129" s="116"/>
      <c r="I129" s="410">
        <v>0</v>
      </c>
      <c r="J129" s="47">
        <f t="shared" si="12"/>
        <v>0</v>
      </c>
      <c r="K129" s="21">
        <f t="shared" si="13"/>
        <v>0</v>
      </c>
    </row>
    <row r="130" spans="1:11" s="22" customFormat="1" x14ac:dyDescent="0.35">
      <c r="A130" s="19">
        <v>118</v>
      </c>
      <c r="B130" s="19" t="s">
        <v>55</v>
      </c>
      <c r="C130" s="20" t="s">
        <v>391</v>
      </c>
      <c r="D130" s="116"/>
      <c r="E130" s="410">
        <v>0.12</v>
      </c>
      <c r="F130" s="47">
        <f t="shared" si="10"/>
        <v>0</v>
      </c>
      <c r="G130" s="21">
        <f t="shared" si="11"/>
        <v>9.1573949719317493</v>
      </c>
      <c r="H130" s="116"/>
      <c r="I130" s="410">
        <v>0.09</v>
      </c>
      <c r="J130" s="47">
        <f t="shared" si="12"/>
        <v>0</v>
      </c>
      <c r="K130" s="21">
        <f t="shared" si="13"/>
        <v>6.8680462289488116</v>
      </c>
    </row>
    <row r="131" spans="1:11" s="22" customFormat="1" x14ac:dyDescent="0.35">
      <c r="A131" s="19">
        <v>119</v>
      </c>
      <c r="B131" s="19" t="s">
        <v>56</v>
      </c>
      <c r="C131" s="20" t="s">
        <v>392</v>
      </c>
      <c r="D131" s="116"/>
      <c r="E131" s="410">
        <v>0.59</v>
      </c>
      <c r="F131" s="47">
        <f t="shared" si="10"/>
        <v>0</v>
      </c>
      <c r="G131" s="21">
        <f t="shared" si="11"/>
        <v>45.02385861199776</v>
      </c>
      <c r="H131" s="116"/>
      <c r="I131" s="410">
        <v>0.55000000000000004</v>
      </c>
      <c r="J131" s="47">
        <f t="shared" si="12"/>
        <v>0</v>
      </c>
      <c r="K131" s="21">
        <f t="shared" si="13"/>
        <v>41.971393621353855</v>
      </c>
    </row>
    <row r="132" spans="1:11" s="22" customFormat="1" ht="29" x14ac:dyDescent="0.35">
      <c r="A132" s="19">
        <v>120</v>
      </c>
      <c r="B132" s="19" t="s">
        <v>57</v>
      </c>
      <c r="C132" s="20" t="s">
        <v>136</v>
      </c>
      <c r="D132" s="116"/>
      <c r="E132" s="410">
        <v>0.75</v>
      </c>
      <c r="F132" s="47">
        <f t="shared" si="10"/>
        <v>0</v>
      </c>
      <c r="G132" s="21">
        <f t="shared" si="11"/>
        <v>57.23371857457343</v>
      </c>
      <c r="H132" s="116"/>
      <c r="I132" s="410">
        <v>0.37</v>
      </c>
      <c r="J132" s="47">
        <f t="shared" si="12"/>
        <v>0</v>
      </c>
      <c r="K132" s="21">
        <f t="shared" si="13"/>
        <v>28.235301163456224</v>
      </c>
    </row>
    <row r="133" spans="1:11" s="22" customFormat="1" ht="29" x14ac:dyDescent="0.35">
      <c r="A133" s="19">
        <v>121</v>
      </c>
      <c r="B133" s="19" t="s">
        <v>58</v>
      </c>
      <c r="C133" s="20" t="s">
        <v>137</v>
      </c>
      <c r="D133" s="116"/>
      <c r="E133" s="410">
        <v>0.75</v>
      </c>
      <c r="F133" s="47">
        <f t="shared" si="10"/>
        <v>0</v>
      </c>
      <c r="G133" s="21">
        <f t="shared" si="11"/>
        <v>57.23371857457343</v>
      </c>
      <c r="H133" s="116"/>
      <c r="I133" s="410">
        <v>0.37</v>
      </c>
      <c r="J133" s="47">
        <f t="shared" si="12"/>
        <v>0</v>
      </c>
      <c r="K133" s="21">
        <f t="shared" si="13"/>
        <v>28.235301163456224</v>
      </c>
    </row>
    <row r="134" spans="1:11" s="22" customFormat="1" ht="43.5" x14ac:dyDescent="0.35">
      <c r="A134" s="19">
        <v>122</v>
      </c>
      <c r="B134" s="19" t="s">
        <v>15</v>
      </c>
      <c r="C134" s="20" t="s">
        <v>18</v>
      </c>
      <c r="D134" s="116"/>
      <c r="E134" s="410">
        <v>0</v>
      </c>
      <c r="F134" s="47">
        <f t="shared" si="10"/>
        <v>0</v>
      </c>
      <c r="G134" s="21">
        <f t="shared" si="11"/>
        <v>0</v>
      </c>
      <c r="H134" s="116"/>
      <c r="I134" s="410">
        <v>0</v>
      </c>
      <c r="J134" s="47">
        <f t="shared" si="12"/>
        <v>0</v>
      </c>
      <c r="K134" s="21">
        <f t="shared" si="13"/>
        <v>0</v>
      </c>
    </row>
    <row r="135" spans="1:11" s="22" customFormat="1" ht="29" x14ac:dyDescent="0.35">
      <c r="A135" s="19">
        <v>123</v>
      </c>
      <c r="B135" s="19" t="s">
        <v>16</v>
      </c>
      <c r="C135" s="20" t="s">
        <v>138</v>
      </c>
      <c r="D135" s="116"/>
      <c r="E135" s="410">
        <v>0</v>
      </c>
      <c r="F135" s="47">
        <f t="shared" si="10"/>
        <v>0</v>
      </c>
      <c r="G135" s="21">
        <f t="shared" si="11"/>
        <v>0</v>
      </c>
      <c r="H135" s="116"/>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16"/>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16"/>
      <c r="I137" s="410">
        <v>0</v>
      </c>
      <c r="J137" s="47">
        <f t="shared" si="12"/>
        <v>0</v>
      </c>
      <c r="K137" s="21">
        <f t="shared" si="13"/>
        <v>0</v>
      </c>
    </row>
    <row r="138" spans="1:11" s="22" customFormat="1" x14ac:dyDescent="0.35">
      <c r="A138" s="19">
        <v>126</v>
      </c>
      <c r="B138" s="19" t="s">
        <v>59</v>
      </c>
      <c r="C138" s="20" t="s">
        <v>394</v>
      </c>
      <c r="D138" s="116">
        <v>536</v>
      </c>
      <c r="E138" s="410">
        <v>3.27</v>
      </c>
      <c r="F138" s="47">
        <f t="shared" si="10"/>
        <v>1752.72</v>
      </c>
      <c r="G138" s="21">
        <f t="shared" si="11"/>
        <v>249.53901298514015</v>
      </c>
      <c r="H138" s="116">
        <v>381</v>
      </c>
      <c r="I138" s="410">
        <v>2.17</v>
      </c>
      <c r="J138" s="47">
        <f t="shared" si="12"/>
        <v>826.77</v>
      </c>
      <c r="K138" s="21">
        <f t="shared" si="13"/>
        <v>165.59622574243247</v>
      </c>
    </row>
    <row r="139" spans="1:11" s="22" customFormat="1" x14ac:dyDescent="0.35">
      <c r="A139" s="19">
        <v>127</v>
      </c>
      <c r="B139" s="19" t="s">
        <v>60</v>
      </c>
      <c r="C139" s="20" t="s">
        <v>393</v>
      </c>
      <c r="D139" s="116">
        <v>137</v>
      </c>
      <c r="E139" s="410">
        <v>1.1499999999999999</v>
      </c>
      <c r="F139" s="47">
        <f t="shared" si="10"/>
        <v>157.54999999999998</v>
      </c>
      <c r="G139" s="21">
        <f t="shared" si="11"/>
        <v>87.758368481012582</v>
      </c>
      <c r="H139" s="116">
        <v>76</v>
      </c>
      <c r="I139" s="410">
        <v>0.7</v>
      </c>
      <c r="J139" s="47">
        <f t="shared" si="12"/>
        <v>53.199999999999996</v>
      </c>
      <c r="K139" s="21">
        <f t="shared" si="13"/>
        <v>53.418137336268529</v>
      </c>
    </row>
    <row r="140" spans="1:11" s="22" customFormat="1" x14ac:dyDescent="0.35">
      <c r="A140" s="19">
        <v>128</v>
      </c>
      <c r="B140" s="19" t="s">
        <v>61</v>
      </c>
      <c r="C140" s="20" t="s">
        <v>141</v>
      </c>
      <c r="D140" s="116"/>
      <c r="E140" s="410">
        <v>0.44</v>
      </c>
      <c r="F140" s="47">
        <f t="shared" si="10"/>
        <v>0</v>
      </c>
      <c r="G140" s="21">
        <f t="shared" si="11"/>
        <v>33.577114897083078</v>
      </c>
      <c r="H140" s="116"/>
      <c r="I140" s="410">
        <v>0.44</v>
      </c>
      <c r="J140" s="47">
        <f t="shared" si="12"/>
        <v>0</v>
      </c>
      <c r="K140" s="21">
        <f t="shared" si="13"/>
        <v>33.577114897083078</v>
      </c>
    </row>
    <row r="141" spans="1:11" s="22" customFormat="1" x14ac:dyDescent="0.35">
      <c r="A141" s="19">
        <v>129</v>
      </c>
      <c r="B141" s="19" t="s">
        <v>62</v>
      </c>
      <c r="C141" s="20" t="s">
        <v>395</v>
      </c>
      <c r="D141" s="116"/>
      <c r="E141" s="410">
        <v>0.92</v>
      </c>
      <c r="F141" s="47">
        <f t="shared" si="10"/>
        <v>0</v>
      </c>
      <c r="G141" s="21">
        <f t="shared" si="11"/>
        <v>70.206694784810082</v>
      </c>
      <c r="H141" s="116"/>
      <c r="I141" s="410">
        <v>0.92</v>
      </c>
      <c r="J141" s="47">
        <f t="shared" si="12"/>
        <v>0</v>
      </c>
      <c r="K141" s="21">
        <f t="shared" si="13"/>
        <v>70.206694784810082</v>
      </c>
    </row>
    <row r="142" spans="1:11" s="22" customFormat="1" x14ac:dyDescent="0.35">
      <c r="A142" s="19">
        <v>130</v>
      </c>
      <c r="B142" s="19" t="s">
        <v>63</v>
      </c>
      <c r="C142" s="20" t="s">
        <v>396</v>
      </c>
      <c r="D142" s="116"/>
      <c r="E142" s="410">
        <v>5.28</v>
      </c>
      <c r="F142" s="47">
        <f t="shared" si="10"/>
        <v>0</v>
      </c>
      <c r="G142" s="21">
        <f t="shared" si="11"/>
        <v>402.92537876499699</v>
      </c>
      <c r="H142" s="116"/>
      <c r="I142" s="410">
        <v>5.28</v>
      </c>
      <c r="J142" s="47">
        <f t="shared" si="12"/>
        <v>0</v>
      </c>
      <c r="K142" s="21">
        <f t="shared" si="13"/>
        <v>402.92537876499699</v>
      </c>
    </row>
    <row r="143" spans="1:11" s="22" customFormat="1" x14ac:dyDescent="0.35">
      <c r="A143" s="19">
        <v>131</v>
      </c>
      <c r="B143" s="19" t="s">
        <v>64</v>
      </c>
      <c r="C143" s="20" t="s">
        <v>398</v>
      </c>
      <c r="D143" s="116"/>
      <c r="E143" s="410">
        <v>0.44</v>
      </c>
      <c r="F143" s="47">
        <f t="shared" si="10"/>
        <v>0</v>
      </c>
      <c r="G143" s="21">
        <f t="shared" si="11"/>
        <v>33.577114897083078</v>
      </c>
      <c r="H143" s="116"/>
      <c r="I143" s="410">
        <v>0.44</v>
      </c>
      <c r="J143" s="47">
        <f t="shared" si="12"/>
        <v>0</v>
      </c>
      <c r="K143" s="21">
        <f t="shared" si="13"/>
        <v>33.577114897083078</v>
      </c>
    </row>
    <row r="144" spans="1:11" s="22" customFormat="1" x14ac:dyDescent="0.35">
      <c r="A144" s="19">
        <v>132</v>
      </c>
      <c r="B144" s="19" t="s">
        <v>65</v>
      </c>
      <c r="C144" s="20" t="s">
        <v>397</v>
      </c>
      <c r="D144" s="116"/>
      <c r="E144" s="410">
        <v>5.28</v>
      </c>
      <c r="F144" s="47">
        <f t="shared" si="10"/>
        <v>0</v>
      </c>
      <c r="G144" s="21">
        <f t="shared" si="11"/>
        <v>402.92537876499699</v>
      </c>
      <c r="H144" s="116"/>
      <c r="I144" s="410">
        <v>5.28</v>
      </c>
      <c r="J144" s="47">
        <f t="shared" si="12"/>
        <v>0</v>
      </c>
      <c r="K144" s="21">
        <f t="shared" si="13"/>
        <v>402.92537876499699</v>
      </c>
    </row>
    <row r="145" spans="1:11" s="22" customFormat="1" x14ac:dyDescent="0.35">
      <c r="A145" s="19">
        <v>133</v>
      </c>
      <c r="B145" s="19" t="s">
        <v>66</v>
      </c>
      <c r="C145" s="20" t="s">
        <v>142</v>
      </c>
      <c r="D145" s="116">
        <v>4234</v>
      </c>
      <c r="E145" s="410">
        <v>0.54</v>
      </c>
      <c r="F145" s="47">
        <f t="shared" si="10"/>
        <v>2286.36</v>
      </c>
      <c r="G145" s="21">
        <f t="shared" si="11"/>
        <v>41.208277373692873</v>
      </c>
      <c r="H145" s="116">
        <v>9236</v>
      </c>
      <c r="I145" s="410">
        <v>0.54</v>
      </c>
      <c r="J145" s="47">
        <f t="shared" si="12"/>
        <v>4987.4400000000005</v>
      </c>
      <c r="K145" s="21">
        <f t="shared" si="13"/>
        <v>41.208277373692873</v>
      </c>
    </row>
    <row r="146" spans="1:11" s="22" customFormat="1" x14ac:dyDescent="0.35">
      <c r="A146" s="19">
        <v>134</v>
      </c>
      <c r="B146" s="19" t="s">
        <v>67</v>
      </c>
      <c r="C146" s="20" t="s">
        <v>399</v>
      </c>
      <c r="D146" s="116">
        <v>2264</v>
      </c>
      <c r="E146" s="410">
        <v>1.29</v>
      </c>
      <c r="F146" s="47">
        <f t="shared" si="10"/>
        <v>2920.56</v>
      </c>
      <c r="G146" s="21">
        <f t="shared" si="11"/>
        <v>98.441995948266296</v>
      </c>
      <c r="H146" s="116">
        <v>1274</v>
      </c>
      <c r="I146" s="410">
        <v>1.1299999999999999</v>
      </c>
      <c r="J146" s="47">
        <f t="shared" si="12"/>
        <v>1439.62</v>
      </c>
      <c r="K146" s="21">
        <f t="shared" si="13"/>
        <v>86.232135985690633</v>
      </c>
    </row>
    <row r="147" spans="1:11" s="22" customFormat="1" x14ac:dyDescent="0.35">
      <c r="A147" s="19">
        <v>135</v>
      </c>
      <c r="B147" s="19" t="s">
        <v>68</v>
      </c>
      <c r="C147" s="20" t="s">
        <v>400</v>
      </c>
      <c r="D147" s="116">
        <v>10</v>
      </c>
      <c r="E147" s="410">
        <v>5.28</v>
      </c>
      <c r="F147" s="47">
        <f t="shared" si="10"/>
        <v>52.800000000000004</v>
      </c>
      <c r="G147" s="21">
        <f t="shared" si="11"/>
        <v>402.92537876499699</v>
      </c>
      <c r="H147" s="116">
        <v>31</v>
      </c>
      <c r="I147" s="410">
        <v>5.28</v>
      </c>
      <c r="J147" s="47">
        <f t="shared" si="12"/>
        <v>163.68</v>
      </c>
      <c r="K147" s="21">
        <f t="shared" si="13"/>
        <v>402.92537876499699</v>
      </c>
    </row>
    <row r="148" spans="1:11" s="22" customFormat="1" x14ac:dyDescent="0.35">
      <c r="A148" s="19">
        <v>136</v>
      </c>
      <c r="B148" s="19" t="s">
        <v>69</v>
      </c>
      <c r="C148" s="20" t="s">
        <v>401</v>
      </c>
      <c r="D148" s="116"/>
      <c r="E148" s="410">
        <v>0.14000000000000001</v>
      </c>
      <c r="F148" s="47">
        <f t="shared" si="10"/>
        <v>0</v>
      </c>
      <c r="G148" s="21">
        <f t="shared" si="11"/>
        <v>10.683627467253707</v>
      </c>
      <c r="H148" s="116"/>
      <c r="I148" s="410">
        <v>0.12</v>
      </c>
      <c r="J148" s="47">
        <f t="shared" si="12"/>
        <v>0</v>
      </c>
      <c r="K148" s="21">
        <f t="shared" si="13"/>
        <v>9.1573949719317493</v>
      </c>
    </row>
    <row r="149" spans="1:11" s="22" customFormat="1" x14ac:dyDescent="0.35">
      <c r="A149" s="19">
        <v>137</v>
      </c>
      <c r="B149" s="19" t="s">
        <v>70</v>
      </c>
      <c r="C149" s="20" t="s">
        <v>402</v>
      </c>
      <c r="D149" s="116"/>
      <c r="E149" s="410">
        <v>3.08</v>
      </c>
      <c r="F149" s="47">
        <f t="shared" si="10"/>
        <v>0</v>
      </c>
      <c r="G149" s="21">
        <f t="shared" si="11"/>
        <v>235.03980427958155</v>
      </c>
      <c r="H149" s="116"/>
      <c r="I149" s="410">
        <v>2.6399999999999997</v>
      </c>
      <c r="J149" s="47">
        <f t="shared" si="12"/>
        <v>0</v>
      </c>
      <c r="K149" s="21">
        <f t="shared" si="13"/>
        <v>201.46268938249844</v>
      </c>
    </row>
    <row r="150" spans="1:11" s="22" customFormat="1" x14ac:dyDescent="0.35">
      <c r="A150" s="19">
        <v>138</v>
      </c>
      <c r="B150" s="19" t="s">
        <v>71</v>
      </c>
      <c r="C150" s="20" t="s">
        <v>403</v>
      </c>
      <c r="D150" s="116"/>
      <c r="E150" s="410">
        <v>5.28</v>
      </c>
      <c r="F150" s="47">
        <f t="shared" si="10"/>
        <v>0</v>
      </c>
      <c r="G150" s="21">
        <f t="shared" si="11"/>
        <v>402.92537876499699</v>
      </c>
      <c r="H150" s="116"/>
      <c r="I150" s="410">
        <v>5.28</v>
      </c>
      <c r="J150" s="47">
        <f t="shared" si="12"/>
        <v>0</v>
      </c>
      <c r="K150" s="21">
        <f t="shared" si="13"/>
        <v>402.92537876499699</v>
      </c>
    </row>
    <row r="151" spans="1:11" s="22" customFormat="1" x14ac:dyDescent="0.35">
      <c r="A151" s="19">
        <v>139</v>
      </c>
      <c r="B151" s="19" t="s">
        <v>788</v>
      </c>
      <c r="C151" s="20" t="s">
        <v>789</v>
      </c>
      <c r="D151" s="116"/>
      <c r="E151" s="410">
        <v>0.12</v>
      </c>
      <c r="F151" s="47">
        <f t="shared" ref="F151" si="14">D151*E151</f>
        <v>0</v>
      </c>
      <c r="G151" s="21">
        <f t="shared" ref="G151" si="15">E151*$F$12</f>
        <v>9.1573949719317493</v>
      </c>
      <c r="H151" s="116"/>
      <c r="I151" s="410">
        <v>0.09</v>
      </c>
      <c r="J151" s="47">
        <f t="shared" ref="J151" si="16">H151*I151</f>
        <v>0</v>
      </c>
      <c r="K151" s="21">
        <f t="shared" ref="K151" si="17">I151*$F$12</f>
        <v>6.8680462289488116</v>
      </c>
    </row>
    <row r="152" spans="1:11" s="22" customFormat="1" x14ac:dyDescent="0.35">
      <c r="A152" s="19">
        <v>140</v>
      </c>
      <c r="B152" s="19" t="s">
        <v>72</v>
      </c>
      <c r="C152" s="20" t="s">
        <v>404</v>
      </c>
      <c r="D152" s="116"/>
      <c r="E152" s="410">
        <v>1.02</v>
      </c>
      <c r="F152" s="47">
        <f t="shared" si="10"/>
        <v>0</v>
      </c>
      <c r="G152" s="21">
        <f t="shared" si="11"/>
        <v>77.83785726141987</v>
      </c>
      <c r="H152" s="116"/>
      <c r="I152" s="410">
        <v>0.94</v>
      </c>
      <c r="J152" s="47">
        <f t="shared" si="12"/>
        <v>0</v>
      </c>
      <c r="K152" s="21">
        <f t="shared" si="13"/>
        <v>71.732927280132031</v>
      </c>
    </row>
    <row r="153" spans="1:11" s="22" customFormat="1" x14ac:dyDescent="0.35">
      <c r="A153" s="19">
        <v>141</v>
      </c>
      <c r="B153" s="19" t="s">
        <v>20</v>
      </c>
      <c r="C153" s="20" t="s">
        <v>405</v>
      </c>
      <c r="D153" s="116"/>
      <c r="E153" s="410">
        <v>0</v>
      </c>
      <c r="F153" s="47">
        <f t="shared" si="10"/>
        <v>0</v>
      </c>
      <c r="G153" s="21">
        <f t="shared" si="11"/>
        <v>0</v>
      </c>
      <c r="H153" s="116"/>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394.53110004072619</v>
      </c>
      <c r="H154" s="116"/>
      <c r="I154" s="410">
        <v>4.43</v>
      </c>
      <c r="J154" s="47">
        <f t="shared" si="12"/>
        <v>0</v>
      </c>
      <c r="K154" s="21">
        <f t="shared" si="13"/>
        <v>338.06049771381373</v>
      </c>
    </row>
    <row r="155" spans="1:11" s="22" customFormat="1" x14ac:dyDescent="0.35">
      <c r="A155" s="19">
        <v>143</v>
      </c>
      <c r="B155" s="19" t="s">
        <v>74</v>
      </c>
      <c r="C155" s="20" t="s">
        <v>144</v>
      </c>
      <c r="D155" s="116"/>
      <c r="E155" s="410">
        <v>1.7</v>
      </c>
      <c r="F155" s="47">
        <f t="shared" si="10"/>
        <v>0</v>
      </c>
      <c r="G155" s="21">
        <f t="shared" si="11"/>
        <v>129.72976210236644</v>
      </c>
      <c r="H155" s="116"/>
      <c r="I155" s="410">
        <v>1.05</v>
      </c>
      <c r="J155" s="47">
        <f t="shared" si="12"/>
        <v>0</v>
      </c>
      <c r="K155" s="21">
        <f t="shared" si="13"/>
        <v>80.127206004402808</v>
      </c>
    </row>
    <row r="156" spans="1:11" s="22" customFormat="1" x14ac:dyDescent="0.35">
      <c r="A156" s="19">
        <v>144</v>
      </c>
      <c r="B156" s="19" t="s">
        <v>26</v>
      </c>
      <c r="C156" s="20" t="s">
        <v>143</v>
      </c>
      <c r="D156" s="116"/>
      <c r="E156" s="410">
        <v>0</v>
      </c>
      <c r="F156" s="47">
        <f t="shared" si="10"/>
        <v>0</v>
      </c>
      <c r="G156" s="21">
        <f t="shared" si="11"/>
        <v>0</v>
      </c>
      <c r="H156" s="116"/>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103.02069343423219</v>
      </c>
      <c r="H157" s="116"/>
      <c r="I157" s="410">
        <v>1.35</v>
      </c>
      <c r="J157" s="47">
        <f t="shared" si="12"/>
        <v>0</v>
      </c>
      <c r="K157" s="21">
        <f t="shared" si="13"/>
        <v>103.02069343423219</v>
      </c>
    </row>
    <row r="158" spans="1:11" s="22" customFormat="1" x14ac:dyDescent="0.35">
      <c r="A158" s="19">
        <v>146</v>
      </c>
      <c r="B158" s="19" t="s">
        <v>76</v>
      </c>
      <c r="C158" s="20" t="s">
        <v>146</v>
      </c>
      <c r="D158" s="116"/>
      <c r="E158" s="410">
        <v>2.56</v>
      </c>
      <c r="F158" s="47">
        <f t="shared" si="10"/>
        <v>0</v>
      </c>
      <c r="G158" s="21">
        <f t="shared" si="11"/>
        <v>195.35775940121064</v>
      </c>
      <c r="H158" s="116"/>
      <c r="I158" s="410">
        <v>2.14</v>
      </c>
      <c r="J158" s="47">
        <f t="shared" si="12"/>
        <v>0</v>
      </c>
      <c r="K158" s="21">
        <f t="shared" si="13"/>
        <v>163.30687699944954</v>
      </c>
    </row>
    <row r="159" spans="1:11" s="22" customFormat="1" x14ac:dyDescent="0.35">
      <c r="A159" s="19">
        <v>147</v>
      </c>
      <c r="B159" s="19" t="s">
        <v>77</v>
      </c>
      <c r="C159" s="20" t="s">
        <v>406</v>
      </c>
      <c r="D159" s="116"/>
      <c r="E159" s="410">
        <v>1.6</v>
      </c>
      <c r="F159" s="47">
        <f t="shared" si="10"/>
        <v>0</v>
      </c>
      <c r="G159" s="21">
        <f t="shared" si="11"/>
        <v>122.09859962575666</v>
      </c>
      <c r="H159" s="116"/>
      <c r="I159" s="410">
        <v>1.6</v>
      </c>
      <c r="J159" s="47">
        <f t="shared" si="12"/>
        <v>0</v>
      </c>
      <c r="K159" s="21">
        <f t="shared" si="13"/>
        <v>122.09859962575666</v>
      </c>
    </row>
    <row r="160" spans="1:11" s="22" customFormat="1" x14ac:dyDescent="0.35">
      <c r="A160" s="19">
        <v>148</v>
      </c>
      <c r="B160" s="19" t="s">
        <v>78</v>
      </c>
      <c r="C160" s="20" t="s">
        <v>407</v>
      </c>
      <c r="D160" s="116"/>
      <c r="E160" s="410">
        <v>2.64</v>
      </c>
      <c r="F160" s="47">
        <f t="shared" si="10"/>
        <v>0</v>
      </c>
      <c r="G160" s="21">
        <f t="shared" si="11"/>
        <v>201.4626893824985</v>
      </c>
      <c r="H160" s="116"/>
      <c r="I160" s="410">
        <v>2.64</v>
      </c>
      <c r="J160" s="47">
        <f t="shared" si="12"/>
        <v>0</v>
      </c>
      <c r="K160" s="21">
        <f t="shared" si="13"/>
        <v>201.4626893824985</v>
      </c>
    </row>
    <row r="161" spans="1:11" s="22" customFormat="1" x14ac:dyDescent="0.35">
      <c r="A161" s="19">
        <v>149</v>
      </c>
      <c r="B161" s="19" t="s">
        <v>79</v>
      </c>
      <c r="C161" s="20" t="s">
        <v>408</v>
      </c>
      <c r="D161" s="116">
        <v>2983</v>
      </c>
      <c r="E161" s="410">
        <v>1.24</v>
      </c>
      <c r="F161" s="47">
        <f t="shared" si="10"/>
        <v>3698.92</v>
      </c>
      <c r="G161" s="21">
        <f t="shared" si="11"/>
        <v>94.626414709961409</v>
      </c>
      <c r="H161" s="116">
        <v>2952</v>
      </c>
      <c r="I161" s="410">
        <v>1.24</v>
      </c>
      <c r="J161" s="47">
        <f t="shared" si="12"/>
        <v>3660.48</v>
      </c>
      <c r="K161" s="21">
        <f t="shared" si="13"/>
        <v>94.626414709961409</v>
      </c>
    </row>
    <row r="162" spans="1:11" s="22" customFormat="1" x14ac:dyDescent="0.35">
      <c r="A162" s="19">
        <v>150</v>
      </c>
      <c r="B162" s="19" t="s">
        <v>80</v>
      </c>
      <c r="C162" s="20" t="s">
        <v>409</v>
      </c>
      <c r="D162" s="116"/>
      <c r="E162" s="410">
        <v>0.83</v>
      </c>
      <c r="F162" s="47">
        <f t="shared" si="10"/>
        <v>0</v>
      </c>
      <c r="G162" s="21">
        <f t="shared" si="11"/>
        <v>63.338648555861262</v>
      </c>
      <c r="H162" s="116"/>
      <c r="I162" s="410">
        <v>0.72</v>
      </c>
      <c r="J162" s="47">
        <f t="shared" si="12"/>
        <v>0</v>
      </c>
      <c r="K162" s="21">
        <f t="shared" si="13"/>
        <v>54.944369831590492</v>
      </c>
    </row>
    <row r="163" spans="1:11" s="22" customFormat="1" x14ac:dyDescent="0.35">
      <c r="A163" s="19">
        <v>151</v>
      </c>
      <c r="B163" s="19" t="s">
        <v>81</v>
      </c>
      <c r="C163" s="20" t="s">
        <v>410</v>
      </c>
      <c r="D163" s="116">
        <v>57</v>
      </c>
      <c r="E163" s="410">
        <v>0.92</v>
      </c>
      <c r="F163" s="47">
        <f t="shared" si="10"/>
        <v>52.440000000000005</v>
      </c>
      <c r="G163" s="21">
        <f t="shared" si="11"/>
        <v>70.206694784810082</v>
      </c>
      <c r="H163" s="116">
        <v>87</v>
      </c>
      <c r="I163" s="410">
        <v>0.92</v>
      </c>
      <c r="J163" s="47">
        <f t="shared" si="12"/>
        <v>80.040000000000006</v>
      </c>
      <c r="K163" s="21">
        <f t="shared" si="13"/>
        <v>70.206694784810082</v>
      </c>
    </row>
    <row r="164" spans="1:11" s="22" customFormat="1" x14ac:dyDescent="0.35">
      <c r="A164" s="19">
        <v>152</v>
      </c>
      <c r="B164" s="19" t="s">
        <v>82</v>
      </c>
      <c r="C164" s="20" t="s">
        <v>411</v>
      </c>
      <c r="D164" s="116"/>
      <c r="E164" s="410">
        <v>0.14000000000000001</v>
      </c>
      <c r="F164" s="47">
        <f t="shared" si="10"/>
        <v>0</v>
      </c>
      <c r="G164" s="21">
        <f t="shared" si="11"/>
        <v>10.683627467253707</v>
      </c>
      <c r="H164" s="116"/>
      <c r="I164" s="410">
        <v>0.12</v>
      </c>
      <c r="J164" s="47">
        <f t="shared" si="12"/>
        <v>0</v>
      </c>
      <c r="K164" s="21">
        <f t="shared" si="13"/>
        <v>9.1573949719317493</v>
      </c>
    </row>
    <row r="165" spans="1:11" s="22" customFormat="1" x14ac:dyDescent="0.35">
      <c r="A165" s="19">
        <v>153</v>
      </c>
      <c r="B165" s="19" t="s">
        <v>83</v>
      </c>
      <c r="C165" s="20" t="s">
        <v>416</v>
      </c>
      <c r="D165" s="116"/>
      <c r="E165" s="410">
        <v>3.3600000000000003</v>
      </c>
      <c r="F165" s="47">
        <f t="shared" si="10"/>
        <v>0</v>
      </c>
      <c r="G165" s="21">
        <f t="shared" si="11"/>
        <v>256.40705921408897</v>
      </c>
      <c r="H165" s="116"/>
      <c r="I165" s="410">
        <v>2.88</v>
      </c>
      <c r="J165" s="47">
        <f t="shared" si="12"/>
        <v>0</v>
      </c>
      <c r="K165" s="21">
        <f t="shared" si="13"/>
        <v>219.77747932636197</v>
      </c>
    </row>
    <row r="166" spans="1:11" s="22" customFormat="1" x14ac:dyDescent="0.35">
      <c r="A166" s="19">
        <v>154</v>
      </c>
      <c r="B166" s="19" t="s">
        <v>84</v>
      </c>
      <c r="C166" s="20" t="s">
        <v>414</v>
      </c>
      <c r="D166" s="116">
        <v>1326</v>
      </c>
      <c r="E166" s="410">
        <v>0.44</v>
      </c>
      <c r="F166" s="47">
        <f t="shared" si="10"/>
        <v>583.44000000000005</v>
      </c>
      <c r="G166" s="21">
        <f t="shared" si="11"/>
        <v>33.577114897083078</v>
      </c>
      <c r="H166" s="116">
        <v>1509</v>
      </c>
      <c r="I166" s="410">
        <v>0.44</v>
      </c>
      <c r="J166" s="47">
        <f t="shared" si="12"/>
        <v>663.96</v>
      </c>
      <c r="K166" s="21">
        <f t="shared" si="13"/>
        <v>33.577114897083078</v>
      </c>
    </row>
    <row r="167" spans="1:11" s="22" customFormat="1" x14ac:dyDescent="0.35">
      <c r="A167" s="19">
        <v>155</v>
      </c>
      <c r="B167" s="19" t="s">
        <v>85</v>
      </c>
      <c r="C167" s="20" t="s">
        <v>415</v>
      </c>
      <c r="D167" s="116"/>
      <c r="E167" s="410">
        <v>5.28</v>
      </c>
      <c r="F167" s="47">
        <f t="shared" si="10"/>
        <v>0</v>
      </c>
      <c r="G167" s="21">
        <f t="shared" si="11"/>
        <v>402.92537876499699</v>
      </c>
      <c r="H167" s="116"/>
      <c r="I167" s="410">
        <v>5.28</v>
      </c>
      <c r="J167" s="47">
        <f t="shared" si="12"/>
        <v>0</v>
      </c>
      <c r="K167" s="21">
        <f t="shared" si="13"/>
        <v>402.92537876499699</v>
      </c>
    </row>
    <row r="168" spans="1:11" s="22" customFormat="1" x14ac:dyDescent="0.35">
      <c r="A168" s="19">
        <v>156</v>
      </c>
      <c r="B168" s="19" t="s">
        <v>86</v>
      </c>
      <c r="C168" s="20" t="s">
        <v>413</v>
      </c>
      <c r="D168" s="116"/>
      <c r="E168" s="410">
        <v>0.44</v>
      </c>
      <c r="F168" s="47">
        <f t="shared" si="10"/>
        <v>0</v>
      </c>
      <c r="G168" s="21">
        <f t="shared" si="11"/>
        <v>33.577114897083078</v>
      </c>
      <c r="H168" s="116"/>
      <c r="I168" s="410">
        <v>0.44</v>
      </c>
      <c r="J168" s="47">
        <f t="shared" si="12"/>
        <v>0</v>
      </c>
      <c r="K168" s="21">
        <f t="shared" si="13"/>
        <v>33.577114897083078</v>
      </c>
    </row>
    <row r="169" spans="1:11" s="22" customFormat="1" x14ac:dyDescent="0.35">
      <c r="A169" s="19">
        <v>157</v>
      </c>
      <c r="B169" s="19" t="s">
        <v>87</v>
      </c>
      <c r="C169" s="20" t="s">
        <v>412</v>
      </c>
      <c r="D169" s="116"/>
      <c r="E169" s="410">
        <v>5.28</v>
      </c>
      <c r="F169" s="47">
        <f t="shared" si="10"/>
        <v>0</v>
      </c>
      <c r="G169" s="21">
        <f t="shared" si="11"/>
        <v>402.92537876499699</v>
      </c>
      <c r="H169" s="116"/>
      <c r="I169" s="410">
        <v>5.28</v>
      </c>
      <c r="J169" s="47">
        <f t="shared" si="12"/>
        <v>0</v>
      </c>
      <c r="K169" s="21">
        <f t="shared" si="13"/>
        <v>402.92537876499699</v>
      </c>
    </row>
    <row r="170" spans="1:11" s="22" customFormat="1" x14ac:dyDescent="0.35">
      <c r="A170" s="19">
        <v>158</v>
      </c>
      <c r="B170" s="19" t="s">
        <v>88</v>
      </c>
      <c r="C170" s="20" t="s">
        <v>417</v>
      </c>
      <c r="D170" s="116">
        <v>0</v>
      </c>
      <c r="E170" s="410">
        <v>0.14000000000000001</v>
      </c>
      <c r="F170" s="47">
        <f t="shared" si="10"/>
        <v>0</v>
      </c>
      <c r="G170" s="21">
        <f t="shared" si="11"/>
        <v>10.683627467253707</v>
      </c>
      <c r="H170" s="116">
        <v>2486</v>
      </c>
      <c r="I170" s="410">
        <v>0.12</v>
      </c>
      <c r="J170" s="47">
        <f t="shared" si="12"/>
        <v>298.32</v>
      </c>
      <c r="K170" s="21">
        <f t="shared" si="13"/>
        <v>9.1573949719317493</v>
      </c>
    </row>
    <row r="171" spans="1:11" s="22" customFormat="1" x14ac:dyDescent="0.35">
      <c r="A171" s="19">
        <v>159</v>
      </c>
      <c r="B171" s="19" t="s">
        <v>89</v>
      </c>
      <c r="C171" s="20" t="s">
        <v>418</v>
      </c>
      <c r="D171" s="116">
        <v>0</v>
      </c>
      <c r="E171" s="410">
        <v>3.3600000000000003</v>
      </c>
      <c r="F171" s="47">
        <f t="shared" si="10"/>
        <v>0</v>
      </c>
      <c r="G171" s="21">
        <f t="shared" si="11"/>
        <v>256.40705921408897</v>
      </c>
      <c r="H171" s="116">
        <v>133</v>
      </c>
      <c r="I171" s="410">
        <v>2.88</v>
      </c>
      <c r="J171" s="47">
        <f t="shared" si="12"/>
        <v>383.03999999999996</v>
      </c>
      <c r="K171" s="21">
        <f t="shared" si="13"/>
        <v>219.77747932636197</v>
      </c>
    </row>
    <row r="172" spans="1:11" s="22" customFormat="1" x14ac:dyDescent="0.35">
      <c r="A172" s="19">
        <v>160</v>
      </c>
      <c r="B172" s="19" t="s">
        <v>90</v>
      </c>
      <c r="C172" s="20" t="s">
        <v>419</v>
      </c>
      <c r="D172" s="116">
        <v>1970</v>
      </c>
      <c r="E172" s="410">
        <v>0.14000000000000001</v>
      </c>
      <c r="F172" s="47">
        <f t="shared" si="10"/>
        <v>275.8</v>
      </c>
      <c r="G172" s="21">
        <f t="shared" si="11"/>
        <v>10.683627467253707</v>
      </c>
      <c r="H172" s="116">
        <v>65</v>
      </c>
      <c r="I172" s="410">
        <v>0.12</v>
      </c>
      <c r="J172" s="47">
        <f t="shared" si="12"/>
        <v>7.8</v>
      </c>
      <c r="K172" s="21">
        <f t="shared" si="13"/>
        <v>9.1573949719317493</v>
      </c>
    </row>
    <row r="173" spans="1:11" s="22" customFormat="1" x14ac:dyDescent="0.35">
      <c r="A173" s="19">
        <v>161</v>
      </c>
      <c r="B173" s="19" t="s">
        <v>91</v>
      </c>
      <c r="C173" s="20" t="s">
        <v>420</v>
      </c>
      <c r="D173" s="116"/>
      <c r="E173" s="410">
        <v>3.3600000000000003</v>
      </c>
      <c r="F173" s="47">
        <f t="shared" si="10"/>
        <v>0</v>
      </c>
      <c r="G173" s="21">
        <f t="shared" si="11"/>
        <v>256.40705921408897</v>
      </c>
      <c r="H173" s="116"/>
      <c r="I173" s="410">
        <v>2.88</v>
      </c>
      <c r="J173" s="47">
        <f t="shared" si="12"/>
        <v>0</v>
      </c>
      <c r="K173" s="21">
        <f t="shared" si="13"/>
        <v>219.77747932636197</v>
      </c>
    </row>
    <row r="174" spans="1:11" s="22" customFormat="1" x14ac:dyDescent="0.35">
      <c r="A174" s="19">
        <v>162</v>
      </c>
      <c r="B174" s="19" t="s">
        <v>92</v>
      </c>
      <c r="C174" s="20" t="s">
        <v>421</v>
      </c>
      <c r="D174" s="116">
        <v>231</v>
      </c>
      <c r="E174" s="410">
        <v>0.14000000000000001</v>
      </c>
      <c r="F174" s="47">
        <f t="shared" si="10"/>
        <v>32.340000000000003</v>
      </c>
      <c r="G174" s="21">
        <f t="shared" si="11"/>
        <v>10.683627467253707</v>
      </c>
      <c r="H174" s="116">
        <v>520</v>
      </c>
      <c r="I174" s="410">
        <v>0.12</v>
      </c>
      <c r="J174" s="47">
        <f t="shared" si="12"/>
        <v>62.4</v>
      </c>
      <c r="K174" s="21">
        <f t="shared" si="13"/>
        <v>9.1573949719317493</v>
      </c>
    </row>
    <row r="175" spans="1:11" s="22" customFormat="1" x14ac:dyDescent="0.35">
      <c r="A175" s="19">
        <v>163</v>
      </c>
      <c r="B175" s="19" t="s">
        <v>93</v>
      </c>
      <c r="C175" s="20" t="s">
        <v>422</v>
      </c>
      <c r="D175" s="116">
        <v>0</v>
      </c>
      <c r="E175" s="410">
        <v>0.14000000000000001</v>
      </c>
      <c r="F175" s="47">
        <f t="shared" si="10"/>
        <v>0</v>
      </c>
      <c r="G175" s="21">
        <f t="shared" si="11"/>
        <v>10.683627467253707</v>
      </c>
      <c r="H175" s="116">
        <v>8850</v>
      </c>
      <c r="I175" s="410">
        <v>0.12</v>
      </c>
      <c r="J175" s="47">
        <f t="shared" si="12"/>
        <v>1062</v>
      </c>
      <c r="K175" s="21">
        <f t="shared" si="13"/>
        <v>9.1573949719317493</v>
      </c>
    </row>
    <row r="176" spans="1:11" s="22" customFormat="1" x14ac:dyDescent="0.35">
      <c r="A176" s="19">
        <v>164</v>
      </c>
      <c r="B176" s="19" t="s">
        <v>94</v>
      </c>
      <c r="C176" s="20" t="s">
        <v>423</v>
      </c>
      <c r="D176" s="116">
        <v>0</v>
      </c>
      <c r="E176" s="410">
        <v>3.3600000000000003</v>
      </c>
      <c r="F176" s="47">
        <f t="shared" si="10"/>
        <v>0</v>
      </c>
      <c r="G176" s="21">
        <f t="shared" si="11"/>
        <v>256.40705921408897</v>
      </c>
      <c r="H176" s="116">
        <v>729</v>
      </c>
      <c r="I176" s="410">
        <v>2.88</v>
      </c>
      <c r="J176" s="47">
        <f t="shared" si="12"/>
        <v>2099.52</v>
      </c>
      <c r="K176" s="21">
        <f t="shared" si="13"/>
        <v>219.77747932636197</v>
      </c>
    </row>
    <row r="177" spans="1:11" s="22" customFormat="1" x14ac:dyDescent="0.35">
      <c r="A177" s="19">
        <v>165</v>
      </c>
      <c r="B177" s="19" t="s">
        <v>95</v>
      </c>
      <c r="C177" s="20" t="s">
        <v>424</v>
      </c>
      <c r="D177" s="116"/>
      <c r="E177" s="410">
        <v>0.14000000000000001</v>
      </c>
      <c r="F177" s="47">
        <f t="shared" si="10"/>
        <v>0</v>
      </c>
      <c r="G177" s="21">
        <f t="shared" si="11"/>
        <v>10.683627467253707</v>
      </c>
      <c r="H177" s="116"/>
      <c r="I177" s="410">
        <v>0.12</v>
      </c>
      <c r="J177" s="47">
        <f t="shared" si="12"/>
        <v>0</v>
      </c>
      <c r="K177" s="21">
        <f t="shared" si="13"/>
        <v>9.1573949719317493</v>
      </c>
    </row>
    <row r="178" spans="1:11" s="22" customFormat="1" x14ac:dyDescent="0.35">
      <c r="A178" s="19">
        <v>166</v>
      </c>
      <c r="B178" s="19" t="s">
        <v>96</v>
      </c>
      <c r="C178" s="20" t="s">
        <v>425</v>
      </c>
      <c r="D178" s="116">
        <v>1600</v>
      </c>
      <c r="E178" s="410">
        <v>1.29</v>
      </c>
      <c r="F178" s="47">
        <f t="shared" si="10"/>
        <v>2064</v>
      </c>
      <c r="G178" s="21">
        <f t="shared" si="11"/>
        <v>98.441995948266296</v>
      </c>
      <c r="H178" s="116">
        <v>26</v>
      </c>
      <c r="I178" s="410">
        <v>1.1299999999999999</v>
      </c>
      <c r="J178" s="47">
        <f t="shared" si="12"/>
        <v>29.379999999999995</v>
      </c>
      <c r="K178" s="21">
        <f t="shared" si="13"/>
        <v>86.232135985690633</v>
      </c>
    </row>
    <row r="179" spans="1:11" s="22" customFormat="1" x14ac:dyDescent="0.35">
      <c r="A179" s="19">
        <v>167</v>
      </c>
      <c r="B179" s="19" t="s">
        <v>35</v>
      </c>
      <c r="C179" s="20" t="s">
        <v>37</v>
      </c>
      <c r="D179" s="116"/>
      <c r="E179" s="410">
        <v>0</v>
      </c>
      <c r="F179" s="47">
        <f t="shared" si="10"/>
        <v>0</v>
      </c>
      <c r="G179" s="21">
        <f t="shared" si="11"/>
        <v>0</v>
      </c>
      <c r="H179" s="116"/>
      <c r="I179" s="410">
        <v>0</v>
      </c>
      <c r="J179" s="47">
        <f t="shared" si="12"/>
        <v>0</v>
      </c>
      <c r="K179" s="21">
        <f t="shared" si="13"/>
        <v>0</v>
      </c>
    </row>
    <row r="180" spans="1:11" s="22" customFormat="1" x14ac:dyDescent="0.35">
      <c r="A180" s="19">
        <v>168</v>
      </c>
      <c r="B180" s="19" t="s">
        <v>97</v>
      </c>
      <c r="C180" s="20" t="s">
        <v>426</v>
      </c>
      <c r="D180" s="116">
        <v>0</v>
      </c>
      <c r="E180" s="410">
        <v>0</v>
      </c>
      <c r="F180" s="47">
        <f t="shared" si="10"/>
        <v>0</v>
      </c>
      <c r="G180" s="21">
        <f t="shared" si="11"/>
        <v>0</v>
      </c>
      <c r="H180" s="116">
        <v>9375</v>
      </c>
      <c r="I180" s="410">
        <v>0</v>
      </c>
      <c r="J180" s="47">
        <f t="shared" si="12"/>
        <v>0</v>
      </c>
      <c r="K180" s="21">
        <f t="shared" si="13"/>
        <v>0</v>
      </c>
    </row>
    <row r="181" spans="1:11" s="22" customFormat="1" x14ac:dyDescent="0.35">
      <c r="A181" s="19">
        <v>169</v>
      </c>
      <c r="B181" s="19" t="s">
        <v>98</v>
      </c>
      <c r="C181" s="20" t="s">
        <v>427</v>
      </c>
      <c r="D181" s="116"/>
      <c r="E181" s="410">
        <v>0.22</v>
      </c>
      <c r="F181" s="47">
        <f t="shared" si="10"/>
        <v>0</v>
      </c>
      <c r="G181" s="21">
        <f t="shared" si="11"/>
        <v>16.788557448541539</v>
      </c>
      <c r="H181" s="116"/>
      <c r="I181" s="410">
        <v>0.22</v>
      </c>
      <c r="J181" s="47">
        <f t="shared" si="12"/>
        <v>0</v>
      </c>
      <c r="K181" s="21">
        <f t="shared" si="13"/>
        <v>16.788557448541539</v>
      </c>
    </row>
    <row r="182" spans="1:11" s="22" customFormat="1" x14ac:dyDescent="0.35">
      <c r="A182" s="19">
        <v>170</v>
      </c>
      <c r="B182" s="19" t="s">
        <v>99</v>
      </c>
      <c r="C182" s="20" t="s">
        <v>428</v>
      </c>
      <c r="D182" s="116"/>
      <c r="E182" s="410">
        <v>4.4000000000000004</v>
      </c>
      <c r="F182" s="47">
        <f t="shared" si="10"/>
        <v>0</v>
      </c>
      <c r="G182" s="21">
        <f t="shared" si="11"/>
        <v>335.77114897083084</v>
      </c>
      <c r="H182" s="116"/>
      <c r="I182" s="410">
        <v>4.4000000000000004</v>
      </c>
      <c r="J182" s="47">
        <f t="shared" si="12"/>
        <v>0</v>
      </c>
      <c r="K182" s="21">
        <f t="shared" si="13"/>
        <v>335.77114897083084</v>
      </c>
    </row>
    <row r="183" spans="1:11" s="22" customFormat="1" x14ac:dyDescent="0.35">
      <c r="A183" s="19">
        <v>171</v>
      </c>
      <c r="B183" s="19" t="s">
        <v>100</v>
      </c>
      <c r="C183" s="20" t="s">
        <v>147</v>
      </c>
      <c r="D183" s="116"/>
      <c r="E183" s="410">
        <v>1.02</v>
      </c>
      <c r="F183" s="47">
        <f t="shared" si="10"/>
        <v>0</v>
      </c>
      <c r="G183" s="21">
        <f t="shared" si="11"/>
        <v>77.83785726141987</v>
      </c>
      <c r="H183" s="116"/>
      <c r="I183" s="410">
        <v>0.94</v>
      </c>
      <c r="J183" s="47">
        <f t="shared" si="12"/>
        <v>0</v>
      </c>
      <c r="K183" s="21">
        <f t="shared" si="13"/>
        <v>71.732927280132031</v>
      </c>
    </row>
    <row r="184" spans="1:11" s="22" customFormat="1" x14ac:dyDescent="0.35">
      <c r="A184" s="19">
        <v>172</v>
      </c>
      <c r="B184" s="19" t="s">
        <v>101</v>
      </c>
      <c r="C184" s="20" t="s">
        <v>148</v>
      </c>
      <c r="D184" s="116"/>
      <c r="E184" s="410">
        <v>0.75</v>
      </c>
      <c r="F184" s="47">
        <f t="shared" si="10"/>
        <v>0</v>
      </c>
      <c r="G184" s="21">
        <f t="shared" si="11"/>
        <v>57.23371857457343</v>
      </c>
      <c r="H184" s="116"/>
      <c r="I184" s="410">
        <v>0.37</v>
      </c>
      <c r="J184" s="47">
        <f t="shared" si="12"/>
        <v>0</v>
      </c>
      <c r="K184" s="21">
        <f t="shared" si="13"/>
        <v>28.235301163456224</v>
      </c>
    </row>
    <row r="185" spans="1:11" s="22" customFormat="1" x14ac:dyDescent="0.35">
      <c r="A185" s="19">
        <v>173</v>
      </c>
      <c r="B185" s="19" t="s">
        <v>102</v>
      </c>
      <c r="C185" s="20" t="s">
        <v>429</v>
      </c>
      <c r="D185" s="116"/>
      <c r="E185" s="410">
        <v>0.75</v>
      </c>
      <c r="F185" s="47">
        <f t="shared" si="10"/>
        <v>0</v>
      </c>
      <c r="G185" s="21">
        <f t="shared" si="11"/>
        <v>57.23371857457343</v>
      </c>
      <c r="H185" s="116"/>
      <c r="I185" s="410">
        <v>0.37</v>
      </c>
      <c r="J185" s="47">
        <f t="shared" si="12"/>
        <v>0</v>
      </c>
      <c r="K185" s="21">
        <f t="shared" si="13"/>
        <v>28.235301163456224</v>
      </c>
    </row>
    <row r="186" spans="1:11" s="22" customFormat="1" x14ac:dyDescent="0.35">
      <c r="A186" s="19">
        <v>174</v>
      </c>
      <c r="B186" s="19" t="s">
        <v>103</v>
      </c>
      <c r="C186" s="20" t="s">
        <v>430</v>
      </c>
      <c r="D186" s="116">
        <v>0</v>
      </c>
      <c r="E186" s="410">
        <v>3.96</v>
      </c>
      <c r="F186" s="47">
        <f t="shared" si="10"/>
        <v>0</v>
      </c>
      <c r="G186" s="21">
        <f t="shared" si="11"/>
        <v>302.19403407374773</v>
      </c>
      <c r="H186" s="116">
        <v>73</v>
      </c>
      <c r="I186" s="410">
        <v>3.96</v>
      </c>
      <c r="J186" s="47">
        <f t="shared" si="12"/>
        <v>289.08</v>
      </c>
      <c r="K186" s="21">
        <f t="shared" si="13"/>
        <v>302.19403407374773</v>
      </c>
    </row>
    <row r="187" spans="1:11" s="22" customFormat="1" x14ac:dyDescent="0.35">
      <c r="A187" s="19">
        <v>175</v>
      </c>
      <c r="B187" s="19" t="s">
        <v>104</v>
      </c>
      <c r="C187" s="20" t="s">
        <v>431</v>
      </c>
      <c r="D187" s="116"/>
      <c r="E187" s="410">
        <v>3.59</v>
      </c>
      <c r="F187" s="47">
        <f t="shared" si="10"/>
        <v>0</v>
      </c>
      <c r="G187" s="21">
        <f t="shared" ref="G187:G196" si="18">E187*$F$12</f>
        <v>273.95873291029147</v>
      </c>
      <c r="H187" s="116"/>
      <c r="I187" s="410">
        <v>3.59</v>
      </c>
      <c r="J187" s="47">
        <f t="shared" si="12"/>
        <v>0</v>
      </c>
      <c r="K187" s="21">
        <f t="shared" ref="K187:K196" si="19">I187*$F$12</f>
        <v>273.95873291029147</v>
      </c>
    </row>
    <row r="188" spans="1:11" s="22" customFormat="1" x14ac:dyDescent="0.35">
      <c r="A188" s="19">
        <v>176</v>
      </c>
      <c r="B188" s="19" t="s">
        <v>36</v>
      </c>
      <c r="C188" s="20" t="s">
        <v>38</v>
      </c>
      <c r="D188" s="116">
        <v>0</v>
      </c>
      <c r="E188" s="410">
        <v>0</v>
      </c>
      <c r="F188" s="47">
        <f t="shared" ref="F188:F196" si="20">D188*E188</f>
        <v>0</v>
      </c>
      <c r="G188" s="21">
        <f t="shared" si="18"/>
        <v>0</v>
      </c>
      <c r="H188" s="116">
        <v>6069</v>
      </c>
      <c r="I188" s="410">
        <v>0</v>
      </c>
      <c r="J188" s="47">
        <f t="shared" ref="J188:J196" si="21">H188*I188</f>
        <v>0</v>
      </c>
      <c r="K188" s="21">
        <f t="shared" si="19"/>
        <v>0</v>
      </c>
    </row>
    <row r="189" spans="1:11" s="22" customFormat="1" x14ac:dyDescent="0.35">
      <c r="A189" s="19">
        <v>177</v>
      </c>
      <c r="B189" s="19" t="s">
        <v>105</v>
      </c>
      <c r="C189" s="20" t="s">
        <v>432</v>
      </c>
      <c r="D189" s="116"/>
      <c r="E189" s="410">
        <v>0.28999999999999998</v>
      </c>
      <c r="F189" s="47">
        <f t="shared" si="20"/>
        <v>0</v>
      </c>
      <c r="G189" s="21">
        <f t="shared" si="18"/>
        <v>22.130371182168393</v>
      </c>
      <c r="H189" s="116"/>
      <c r="I189" s="410">
        <v>0.28999999999999998</v>
      </c>
      <c r="J189" s="47">
        <f t="shared" si="21"/>
        <v>0</v>
      </c>
      <c r="K189" s="21">
        <f t="shared" si="19"/>
        <v>22.130371182168393</v>
      </c>
    </row>
    <row r="190" spans="1:11" s="22" customFormat="1" x14ac:dyDescent="0.35">
      <c r="A190" s="19">
        <v>178</v>
      </c>
      <c r="B190" s="19" t="s">
        <v>106</v>
      </c>
      <c r="C190" s="20" t="s">
        <v>149</v>
      </c>
      <c r="D190" s="116"/>
      <c r="E190" s="410">
        <v>3.07</v>
      </c>
      <c r="F190" s="47">
        <f t="shared" si="20"/>
        <v>0</v>
      </c>
      <c r="G190" s="21">
        <f t="shared" si="18"/>
        <v>234.27668803192057</v>
      </c>
      <c r="H190" s="116"/>
      <c r="I190" s="410">
        <v>3.05</v>
      </c>
      <c r="J190" s="47">
        <f t="shared" si="21"/>
        <v>0</v>
      </c>
      <c r="K190" s="21">
        <f t="shared" si="19"/>
        <v>232.75045553659859</v>
      </c>
    </row>
    <row r="191" spans="1:11" s="22" customFormat="1" ht="29" x14ac:dyDescent="0.35">
      <c r="A191" s="19">
        <v>179</v>
      </c>
      <c r="B191" s="19" t="s">
        <v>27</v>
      </c>
      <c r="C191" s="20" t="s">
        <v>30</v>
      </c>
      <c r="D191" s="116"/>
      <c r="E191" s="410">
        <v>0</v>
      </c>
      <c r="F191" s="47">
        <f t="shared" si="20"/>
        <v>0</v>
      </c>
      <c r="G191" s="21">
        <f t="shared" si="18"/>
        <v>0</v>
      </c>
      <c r="H191" s="116"/>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45.02385861199776</v>
      </c>
      <c r="H192" s="116"/>
      <c r="I192" s="410">
        <v>0.55000000000000004</v>
      </c>
      <c r="J192" s="47">
        <f t="shared" si="21"/>
        <v>0</v>
      </c>
      <c r="K192" s="21">
        <f t="shared" si="19"/>
        <v>41.971393621353855</v>
      </c>
    </row>
    <row r="193" spans="1:11" s="22" customFormat="1" x14ac:dyDescent="0.35">
      <c r="A193" s="19">
        <v>181</v>
      </c>
      <c r="B193" s="19" t="s">
        <v>28</v>
      </c>
      <c r="C193" s="20" t="s">
        <v>31</v>
      </c>
      <c r="D193" s="116"/>
      <c r="E193" s="410">
        <v>0</v>
      </c>
      <c r="F193" s="47">
        <f t="shared" si="20"/>
        <v>0</v>
      </c>
      <c r="G193" s="21">
        <f t="shared" si="18"/>
        <v>0</v>
      </c>
      <c r="H193" s="116"/>
      <c r="I193" s="410">
        <v>0</v>
      </c>
      <c r="J193" s="47">
        <f t="shared" si="21"/>
        <v>0</v>
      </c>
      <c r="K193" s="21">
        <f t="shared" si="19"/>
        <v>0</v>
      </c>
    </row>
    <row r="194" spans="1:11" s="22" customFormat="1" x14ac:dyDescent="0.35">
      <c r="A194" s="19">
        <v>182</v>
      </c>
      <c r="B194" s="19" t="s">
        <v>108</v>
      </c>
      <c r="C194" s="20" t="s">
        <v>433</v>
      </c>
      <c r="D194" s="116"/>
      <c r="E194" s="410">
        <v>0.64</v>
      </c>
      <c r="F194" s="47">
        <f t="shared" si="20"/>
        <v>0</v>
      </c>
      <c r="G194" s="21">
        <f t="shared" si="18"/>
        <v>48.839439850302661</v>
      </c>
      <c r="H194" s="116"/>
      <c r="I194" s="410">
        <v>0.6</v>
      </c>
      <c r="J194" s="47">
        <f t="shared" si="21"/>
        <v>0</v>
      </c>
      <c r="K194" s="21">
        <f t="shared" si="19"/>
        <v>45.786974859658741</v>
      </c>
    </row>
    <row r="195" spans="1:11" s="22" customFormat="1" x14ac:dyDescent="0.35">
      <c r="A195" s="19">
        <v>183</v>
      </c>
      <c r="B195" s="19" t="s">
        <v>109</v>
      </c>
      <c r="C195" s="20" t="s">
        <v>151</v>
      </c>
      <c r="D195" s="116">
        <v>7323</v>
      </c>
      <c r="E195" s="410">
        <v>0.65000000000000013</v>
      </c>
      <c r="F195" s="47">
        <f t="shared" si="20"/>
        <v>4759.9500000000007</v>
      </c>
      <c r="G195" s="21">
        <f t="shared" si="18"/>
        <v>49.60255609796365</v>
      </c>
      <c r="H195" s="116">
        <v>13890</v>
      </c>
      <c r="I195" s="410">
        <v>0.59999999999999987</v>
      </c>
      <c r="J195" s="47">
        <f t="shared" si="21"/>
        <v>8333.9999999999982</v>
      </c>
      <c r="K195" s="21">
        <f t="shared" si="19"/>
        <v>45.786974859658734</v>
      </c>
    </row>
    <row r="196" spans="1:11" s="22" customFormat="1" x14ac:dyDescent="0.35">
      <c r="A196" s="19">
        <v>184</v>
      </c>
      <c r="B196" s="19" t="s">
        <v>29</v>
      </c>
      <c r="C196" s="20" t="s">
        <v>32</v>
      </c>
      <c r="D196" s="116"/>
      <c r="E196" s="410">
        <v>0</v>
      </c>
      <c r="F196" s="47">
        <f t="shared" si="20"/>
        <v>0</v>
      </c>
      <c r="G196" s="21">
        <f t="shared" si="18"/>
        <v>0</v>
      </c>
      <c r="H196" s="116"/>
      <c r="I196" s="410">
        <v>0</v>
      </c>
      <c r="J196" s="47">
        <f t="shared" si="21"/>
        <v>0</v>
      </c>
      <c r="K196" s="21">
        <f t="shared" si="19"/>
        <v>0</v>
      </c>
    </row>
    <row r="197" spans="1:11" x14ac:dyDescent="0.35">
      <c r="A197" s="19">
        <v>185</v>
      </c>
      <c r="D197" s="9">
        <f>SUM(D18:D196)</f>
        <v>73641</v>
      </c>
      <c r="E197" s="13"/>
      <c r="F197" s="9">
        <f>SUM(F18:F196)</f>
        <v>151578.33999999997</v>
      </c>
      <c r="H197" s="9">
        <f>SUM(H18:H196)</f>
        <v>121444</v>
      </c>
      <c r="J197" s="9">
        <f>SUM(J18:J196)</f>
        <v>125369.76999999995</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customProperties>
    <customPr name="OrphanNamesChecked" r:id="rId4"/>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898</v>
      </c>
      <c r="G3" s="130"/>
      <c r="H3" s="130"/>
      <c r="I3" s="130"/>
      <c r="J3" s="40"/>
      <c r="K3" s="40"/>
      <c r="L3" s="40"/>
      <c r="M3" s="40"/>
    </row>
    <row r="4" spans="1:13" x14ac:dyDescent="0.35">
      <c r="G4" s="40"/>
      <c r="H4" s="40"/>
      <c r="I4" s="40"/>
      <c r="J4" s="40"/>
      <c r="K4" s="40"/>
      <c r="L4" s="40"/>
      <c r="M4" s="40"/>
    </row>
    <row r="5" spans="1:13" ht="15" customHeight="1" x14ac:dyDescent="0.35">
      <c r="A5" s="1" t="s">
        <v>772</v>
      </c>
      <c r="C5" s="420" t="str">
        <f>'As-Filed Schedule 1'!C5</f>
        <v>Mind Springs Health</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10" t="s">
        <v>867</v>
      </c>
      <c r="C9" s="510"/>
      <c r="D9" s="151" t="s">
        <v>868</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506" t="s">
        <v>869</v>
      </c>
      <c r="B11" s="507"/>
      <c r="C11" s="507"/>
      <c r="D11" s="508"/>
      <c r="G11" s="128"/>
      <c r="H11" s="128"/>
      <c r="I11" s="128"/>
      <c r="J11" s="128"/>
      <c r="K11" s="128"/>
      <c r="L11" s="128"/>
      <c r="M11" s="128"/>
    </row>
    <row r="12" spans="1:13" s="22" customFormat="1" x14ac:dyDescent="0.35">
      <c r="A12" s="155">
        <v>1</v>
      </c>
      <c r="B12" s="497" t="s">
        <v>870</v>
      </c>
      <c r="C12" s="499"/>
      <c r="D12" s="157"/>
      <c r="G12" s="140"/>
    </row>
    <row r="13" spans="1:13" s="22" customFormat="1" x14ac:dyDescent="0.35">
      <c r="A13" s="155">
        <v>2</v>
      </c>
      <c r="B13" s="497" t="s">
        <v>871</v>
      </c>
      <c r="C13" s="499"/>
      <c r="D13" s="157">
        <v>8712293.7599999998</v>
      </c>
      <c r="G13" s="140"/>
    </row>
    <row r="14" spans="1:13" s="22" customFormat="1" x14ac:dyDescent="0.35">
      <c r="A14" s="155">
        <v>3</v>
      </c>
      <c r="B14" s="173" t="s">
        <v>872</v>
      </c>
      <c r="C14" s="168"/>
      <c r="D14" s="157">
        <v>2387637.54</v>
      </c>
      <c r="G14" s="140"/>
    </row>
    <row r="15" spans="1:13" s="22" customFormat="1" x14ac:dyDescent="0.35">
      <c r="A15" s="155">
        <v>4</v>
      </c>
      <c r="B15" s="173" t="s">
        <v>873</v>
      </c>
      <c r="C15" s="168"/>
      <c r="D15" s="157">
        <v>2456543.3199999998</v>
      </c>
      <c r="G15" s="140"/>
    </row>
    <row r="16" spans="1:13" s="22" customFormat="1" x14ac:dyDescent="0.35">
      <c r="A16" s="155">
        <v>5</v>
      </c>
      <c r="B16" s="173" t="s">
        <v>874</v>
      </c>
      <c r="C16" s="168"/>
      <c r="D16" s="157"/>
      <c r="G16" s="140"/>
    </row>
    <row r="17" spans="1:7" s="22" customFormat="1" x14ac:dyDescent="0.35">
      <c r="A17" s="155">
        <v>6</v>
      </c>
      <c r="B17" s="173" t="s">
        <v>875</v>
      </c>
      <c r="C17" s="168"/>
      <c r="D17" s="157">
        <v>435582.29</v>
      </c>
      <c r="G17" s="140"/>
    </row>
    <row r="18" spans="1:7" s="22" customFormat="1" x14ac:dyDescent="0.35">
      <c r="A18" s="155">
        <v>7</v>
      </c>
      <c r="B18" s="497" t="s">
        <v>876</v>
      </c>
      <c r="C18" s="499"/>
      <c r="D18" s="157">
        <v>2655184.06</v>
      </c>
      <c r="G18" s="140"/>
    </row>
    <row r="19" spans="1:7" s="22" customFormat="1" x14ac:dyDescent="0.35">
      <c r="A19" s="155">
        <v>8</v>
      </c>
      <c r="B19" s="503" t="s">
        <v>877</v>
      </c>
      <c r="C19" s="505"/>
      <c r="D19" s="160">
        <f>SUM(D12:D18)</f>
        <v>16647240.970000001</v>
      </c>
      <c r="G19" s="140"/>
    </row>
    <row r="20" spans="1:7" s="22" customFormat="1" x14ac:dyDescent="0.35">
      <c r="A20" s="161"/>
      <c r="B20" s="162"/>
      <c r="C20" s="162"/>
      <c r="D20" s="164"/>
      <c r="G20" s="140"/>
    </row>
    <row r="21" spans="1:7" s="22" customFormat="1" x14ac:dyDescent="0.35">
      <c r="A21" s="506" t="s">
        <v>878</v>
      </c>
      <c r="B21" s="507"/>
      <c r="C21" s="507"/>
      <c r="D21" s="508"/>
      <c r="E21" s="140"/>
      <c r="F21" s="140"/>
      <c r="G21" s="140"/>
    </row>
    <row r="22" spans="1:7" s="22" customFormat="1" x14ac:dyDescent="0.35">
      <c r="A22" s="155">
        <v>9</v>
      </c>
      <c r="B22" s="497" t="s">
        <v>879</v>
      </c>
      <c r="C22" s="499"/>
      <c r="D22" s="157">
        <v>21404839.710000001</v>
      </c>
      <c r="E22" s="140"/>
      <c r="F22" s="140"/>
      <c r="G22" s="140"/>
    </row>
    <row r="23" spans="1:7" s="22" customFormat="1" x14ac:dyDescent="0.35">
      <c r="A23" s="155">
        <v>10</v>
      </c>
      <c r="B23" s="173" t="s">
        <v>880</v>
      </c>
      <c r="C23" s="168"/>
      <c r="D23" s="157">
        <v>7931806.2000000002</v>
      </c>
      <c r="E23" s="140"/>
      <c r="F23" s="140"/>
      <c r="G23" s="140"/>
    </row>
    <row r="24" spans="1:7" s="22" customFormat="1" x14ac:dyDescent="0.35">
      <c r="A24" s="155">
        <v>11</v>
      </c>
      <c r="B24" s="173" t="s">
        <v>881</v>
      </c>
      <c r="C24" s="168"/>
      <c r="D24" s="157">
        <v>2209979.0099999998</v>
      </c>
      <c r="E24" s="140"/>
      <c r="F24" s="140"/>
      <c r="G24" s="140"/>
    </row>
    <row r="25" spans="1:7" s="22" customFormat="1" x14ac:dyDescent="0.35">
      <c r="A25" s="155">
        <v>12</v>
      </c>
      <c r="B25" s="173" t="s">
        <v>882</v>
      </c>
      <c r="C25" s="168"/>
      <c r="D25" s="157">
        <v>1578301.62</v>
      </c>
      <c r="E25" s="140"/>
      <c r="F25" s="140"/>
      <c r="G25" s="140"/>
    </row>
    <row r="26" spans="1:7" s="22" customFormat="1" x14ac:dyDescent="0.35">
      <c r="A26" s="155">
        <v>13</v>
      </c>
      <c r="B26" s="173" t="s">
        <v>883</v>
      </c>
      <c r="C26" s="168"/>
      <c r="D26" s="157">
        <v>409886.93</v>
      </c>
      <c r="E26" s="140"/>
      <c r="F26" s="140"/>
      <c r="G26" s="140"/>
    </row>
    <row r="27" spans="1:7" s="22" customFormat="1" x14ac:dyDescent="0.35">
      <c r="A27" s="155">
        <v>14</v>
      </c>
      <c r="B27" s="503" t="s">
        <v>884</v>
      </c>
      <c r="C27" s="505"/>
      <c r="D27" s="160">
        <f>SUM(D22:D26)</f>
        <v>33534813.470000003</v>
      </c>
      <c r="E27" s="140"/>
      <c r="F27" s="140"/>
      <c r="G27" s="140"/>
    </row>
    <row r="28" spans="1:7" s="22" customFormat="1" x14ac:dyDescent="0.35">
      <c r="A28" s="161"/>
      <c r="B28" s="162"/>
      <c r="C28" s="162"/>
      <c r="D28" s="164"/>
      <c r="F28" s="140"/>
      <c r="G28" s="140"/>
    </row>
    <row r="29" spans="1:7" s="22" customFormat="1" x14ac:dyDescent="0.35">
      <c r="A29" s="506" t="s">
        <v>885</v>
      </c>
      <c r="B29" s="507"/>
      <c r="C29" s="507"/>
      <c r="D29" s="508"/>
      <c r="F29" s="140"/>
      <c r="G29" s="140"/>
    </row>
    <row r="30" spans="1:7" s="22" customFormat="1" x14ac:dyDescent="0.35">
      <c r="A30" s="155">
        <v>15</v>
      </c>
      <c r="B30" s="497" t="s">
        <v>886</v>
      </c>
      <c r="C30" s="499"/>
      <c r="D30" s="157">
        <v>-296611.74</v>
      </c>
      <c r="G30" s="140"/>
    </row>
    <row r="31" spans="1:7" s="22" customFormat="1" x14ac:dyDescent="0.35">
      <c r="A31" s="155">
        <v>16</v>
      </c>
      <c r="B31" s="173" t="s">
        <v>887</v>
      </c>
      <c r="C31" s="168"/>
      <c r="D31" s="157"/>
      <c r="G31" s="140"/>
    </row>
    <row r="32" spans="1:7" s="22" customFormat="1" x14ac:dyDescent="0.35">
      <c r="A32" s="155">
        <v>17</v>
      </c>
      <c r="B32" s="173" t="s">
        <v>888</v>
      </c>
      <c r="C32" s="168"/>
      <c r="D32" s="157"/>
      <c r="G32" s="140"/>
    </row>
    <row r="33" spans="1:7" s="22" customFormat="1" x14ac:dyDescent="0.35">
      <c r="A33" s="155">
        <v>18</v>
      </c>
      <c r="B33" s="173" t="s">
        <v>889</v>
      </c>
      <c r="C33" s="168"/>
      <c r="D33" s="157"/>
      <c r="G33" s="140"/>
    </row>
    <row r="34" spans="1:7" s="22" customFormat="1" x14ac:dyDescent="0.35">
      <c r="A34" s="155">
        <v>19</v>
      </c>
      <c r="B34" s="173" t="s">
        <v>890</v>
      </c>
      <c r="C34" s="168"/>
      <c r="D34" s="157">
        <v>457110.09</v>
      </c>
      <c r="G34" s="140"/>
    </row>
    <row r="35" spans="1:7" s="22" customFormat="1" x14ac:dyDescent="0.35">
      <c r="A35" s="155">
        <v>20</v>
      </c>
      <c r="B35" s="503" t="s">
        <v>891</v>
      </c>
      <c r="C35" s="505"/>
      <c r="D35" s="160">
        <f>SUM(D30:D34)</f>
        <v>160498.35000000003</v>
      </c>
      <c r="G35" s="140"/>
    </row>
    <row r="36" spans="1:7" s="22" customFormat="1" x14ac:dyDescent="0.35">
      <c r="A36" s="161"/>
      <c r="B36" s="162"/>
      <c r="C36" s="162"/>
      <c r="D36" s="164"/>
      <c r="G36" s="140"/>
    </row>
    <row r="37" spans="1:7" s="22" customFormat="1" x14ac:dyDescent="0.35">
      <c r="A37" s="506" t="s">
        <v>892</v>
      </c>
      <c r="B37" s="507"/>
      <c r="C37" s="507"/>
      <c r="D37" s="508"/>
      <c r="G37" s="140"/>
    </row>
    <row r="38" spans="1:7" s="22" customFormat="1" x14ac:dyDescent="0.35">
      <c r="A38" s="155">
        <v>21</v>
      </c>
      <c r="B38" s="497" t="s">
        <v>303</v>
      </c>
      <c r="C38" s="498"/>
      <c r="D38" s="157">
        <v>879.01</v>
      </c>
      <c r="G38" s="140"/>
    </row>
    <row r="39" spans="1:7" s="22" customFormat="1" x14ac:dyDescent="0.35">
      <c r="A39" s="155">
        <v>22</v>
      </c>
      <c r="B39" s="497" t="s">
        <v>893</v>
      </c>
      <c r="C39" s="498"/>
      <c r="D39" s="157"/>
      <c r="G39" s="140"/>
    </row>
    <row r="40" spans="1:7" s="22" customFormat="1" x14ac:dyDescent="0.35">
      <c r="A40" s="155">
        <v>23</v>
      </c>
      <c r="B40" s="497" t="s">
        <v>894</v>
      </c>
      <c r="C40" s="498"/>
      <c r="D40" s="157">
        <v>2341123.8100000005</v>
      </c>
      <c r="G40" s="140"/>
    </row>
    <row r="41" spans="1:7" s="22" customFormat="1" x14ac:dyDescent="0.35">
      <c r="A41" s="155">
        <v>24</v>
      </c>
      <c r="B41" s="503" t="s">
        <v>895</v>
      </c>
      <c r="C41" s="504"/>
      <c r="D41" s="160">
        <f>SUM(D38:D40)</f>
        <v>2342002.8200000003</v>
      </c>
      <c r="G41" s="140"/>
    </row>
    <row r="42" spans="1:7" s="22" customFormat="1" x14ac:dyDescent="0.35">
      <c r="A42" s="161"/>
      <c r="B42" s="162"/>
      <c r="C42" s="162"/>
      <c r="D42" s="164"/>
      <c r="G42" s="140"/>
    </row>
    <row r="43" spans="1:7" s="63" customFormat="1" ht="15.5" x14ac:dyDescent="0.35">
      <c r="A43" s="155">
        <v>25</v>
      </c>
      <c r="B43" s="500" t="s">
        <v>896</v>
      </c>
      <c r="C43" s="502"/>
      <c r="D43" s="169">
        <f>SUM(D19,D27,D35,D41)</f>
        <v>52684555.610000007</v>
      </c>
      <c r="G43" s="141"/>
    </row>
    <row r="44" spans="1:7" s="22" customFormat="1" x14ac:dyDescent="0.35">
      <c r="A44" s="170"/>
      <c r="B44" s="170"/>
      <c r="C44" s="170"/>
      <c r="D44" s="170"/>
      <c r="G44" s="140"/>
    </row>
    <row r="45" spans="1:7" s="22" customFormat="1" x14ac:dyDescent="0.35">
      <c r="A45" s="155">
        <v>26</v>
      </c>
      <c r="B45" s="496" t="s">
        <v>897</v>
      </c>
      <c r="C45" s="496"/>
      <c r="D45" s="157">
        <v>52684556</v>
      </c>
      <c r="G45" s="140"/>
    </row>
    <row r="46" spans="1:7" s="22" customFormat="1" ht="15.5" x14ac:dyDescent="0.35">
      <c r="A46" s="155">
        <v>27</v>
      </c>
      <c r="B46" s="496" t="s">
        <v>10</v>
      </c>
      <c r="C46" s="496"/>
      <c r="D46" s="169">
        <f>D43-D45</f>
        <v>-0.38999999314546585</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customProperties>
    <customPr name="OrphanNamesChecke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56" t="s">
        <v>773</v>
      </c>
      <c r="F1" s="53"/>
    </row>
    <row r="2" spans="1:31" ht="21" x14ac:dyDescent="0.5">
      <c r="A2" s="2" t="s">
        <v>771</v>
      </c>
      <c r="Z2" s="40"/>
      <c r="AA2" s="40"/>
      <c r="AB2" s="40"/>
      <c r="AC2" s="40"/>
      <c r="AD2" s="40"/>
      <c r="AE2" s="40"/>
    </row>
    <row r="3" spans="1:31" ht="25" customHeight="1" x14ac:dyDescent="0.5">
      <c r="A3" s="5" t="s">
        <v>550</v>
      </c>
      <c r="Y3" s="130"/>
      <c r="Z3" s="130"/>
      <c r="AA3" s="130"/>
      <c r="AB3" s="40"/>
      <c r="AC3" s="40"/>
      <c r="AD3" s="40"/>
      <c r="AE3" s="40"/>
    </row>
    <row r="4" spans="1:31" ht="25" customHeight="1" x14ac:dyDescent="0.5">
      <c r="A4" s="243" t="s">
        <v>495</v>
      </c>
      <c r="Y4" s="130"/>
      <c r="Z4" s="130"/>
      <c r="AA4" s="130"/>
      <c r="AB4" s="40"/>
      <c r="AC4" s="40"/>
      <c r="AD4" s="40"/>
      <c r="AE4" s="40"/>
    </row>
    <row r="5" spans="1:31" x14ac:dyDescent="0.35">
      <c r="J5" s="36"/>
      <c r="K5" s="269"/>
      <c r="L5" s="36"/>
      <c r="Y5" s="40"/>
      <c r="Z5" s="40"/>
      <c r="AA5" s="40"/>
      <c r="AB5" s="40"/>
      <c r="AC5" s="40"/>
      <c r="AD5" s="40"/>
      <c r="AE5" s="40"/>
    </row>
    <row r="6" spans="1:31" x14ac:dyDescent="0.35">
      <c r="A6" s="1" t="s">
        <v>772</v>
      </c>
      <c r="C6" s="421" t="str">
        <f>Results!$C$6</f>
        <v>Mind Springs Health</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551</v>
      </c>
      <c r="F9" s="257" t="s">
        <v>552</v>
      </c>
      <c r="G9" s="23">
        <v>2</v>
      </c>
      <c r="H9" s="256" t="s">
        <v>555</v>
      </c>
      <c r="I9" s="257" t="s">
        <v>556</v>
      </c>
      <c r="J9" s="23">
        <v>3</v>
      </c>
      <c r="K9" s="256" t="s">
        <v>559</v>
      </c>
      <c r="L9" s="257" t="s">
        <v>560</v>
      </c>
      <c r="M9" s="23">
        <v>4</v>
      </c>
      <c r="N9" s="256" t="s">
        <v>563</v>
      </c>
      <c r="O9" s="257" t="s">
        <v>564</v>
      </c>
      <c r="P9" s="23">
        <v>5</v>
      </c>
      <c r="Q9" s="256" t="s">
        <v>565</v>
      </c>
      <c r="R9" s="257" t="s">
        <v>566</v>
      </c>
      <c r="S9" s="23">
        <v>6</v>
      </c>
      <c r="T9" s="256" t="s">
        <v>569</v>
      </c>
      <c r="U9" s="257" t="s">
        <v>570</v>
      </c>
      <c r="V9" s="23">
        <v>7</v>
      </c>
      <c r="W9" s="256" t="s">
        <v>573</v>
      </c>
      <c r="X9" s="257" t="s">
        <v>574</v>
      </c>
      <c r="Y9" s="40"/>
      <c r="Z9" s="40"/>
      <c r="AA9" s="40"/>
      <c r="AB9" s="40"/>
      <c r="AC9" s="40"/>
      <c r="AD9" s="40"/>
      <c r="AE9" s="40"/>
    </row>
    <row r="10" spans="1:31" s="6" customFormat="1" ht="116" x14ac:dyDescent="0.35">
      <c r="A10" s="97"/>
      <c r="B10" s="510" t="s">
        <v>1</v>
      </c>
      <c r="C10" s="510"/>
      <c r="D10" s="151" t="s">
        <v>7</v>
      </c>
      <c r="E10" s="258" t="s">
        <v>553</v>
      </c>
      <c r="F10" s="259" t="s">
        <v>554</v>
      </c>
      <c r="G10" s="151" t="s">
        <v>6</v>
      </c>
      <c r="H10" s="258" t="s">
        <v>557</v>
      </c>
      <c r="I10" s="259" t="s">
        <v>558</v>
      </c>
      <c r="J10" s="151" t="s">
        <v>484</v>
      </c>
      <c r="K10" s="258" t="s">
        <v>561</v>
      </c>
      <c r="L10" s="259" t="s">
        <v>562</v>
      </c>
      <c r="M10" s="151" t="s">
        <v>775</v>
      </c>
      <c r="N10" s="258" t="s">
        <v>776</v>
      </c>
      <c r="O10" s="259" t="s">
        <v>777</v>
      </c>
      <c r="P10" s="151" t="s">
        <v>485</v>
      </c>
      <c r="Q10" s="258" t="s">
        <v>567</v>
      </c>
      <c r="R10" s="259" t="s">
        <v>568</v>
      </c>
      <c r="S10" s="151" t="s">
        <v>9</v>
      </c>
      <c r="T10" s="258" t="s">
        <v>571</v>
      </c>
      <c r="U10" s="259" t="s">
        <v>572</v>
      </c>
      <c r="V10" s="151" t="s">
        <v>8</v>
      </c>
      <c r="W10" s="258" t="s">
        <v>575</v>
      </c>
      <c r="X10" s="259" t="s">
        <v>576</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506" t="s">
        <v>279</v>
      </c>
      <c r="B12" s="507"/>
      <c r="C12" s="507"/>
      <c r="D12" s="507"/>
      <c r="E12" s="507"/>
      <c r="F12" s="507"/>
      <c r="G12" s="507"/>
      <c r="H12" s="507"/>
      <c r="I12" s="507"/>
      <c r="J12" s="507"/>
      <c r="K12" s="507"/>
      <c r="L12" s="507"/>
      <c r="M12" s="507"/>
      <c r="N12" s="507"/>
      <c r="O12" s="507"/>
      <c r="P12" s="507"/>
      <c r="Q12" s="507"/>
      <c r="R12" s="507"/>
      <c r="S12" s="507"/>
      <c r="T12" s="507"/>
      <c r="U12" s="507"/>
      <c r="V12" s="507"/>
      <c r="W12" s="507"/>
      <c r="X12" s="508"/>
      <c r="Y12" s="128"/>
      <c r="Z12" s="128"/>
      <c r="AA12" s="128"/>
      <c r="AB12" s="128"/>
      <c r="AC12" s="128"/>
      <c r="AD12" s="128"/>
      <c r="AE12" s="128"/>
    </row>
    <row r="13" spans="1:31" s="22" customFormat="1" x14ac:dyDescent="0.35">
      <c r="A13" s="155">
        <v>1</v>
      </c>
      <c r="B13" s="497" t="s">
        <v>457</v>
      </c>
      <c r="C13" s="499"/>
      <c r="D13" s="156">
        <f>'As-Filed Schedule 1'!D12</f>
        <v>0</v>
      </c>
      <c r="E13" s="263">
        <f>SUMIFS(Adjustments!$G:$G,Adjustments!$H:$H,"1",Adjustments!$I:$I,$D$9,Adjustments!$J:$J,$A13)</f>
        <v>6.06</v>
      </c>
      <c r="F13" s="272">
        <f>SUM(D13:E13)</f>
        <v>6.06</v>
      </c>
      <c r="G13" s="157">
        <f>'As-Filed Schedule 1'!E12</f>
        <v>0</v>
      </c>
      <c r="H13" s="263">
        <f>SUMIFS(Adjustments!$G:$G,Adjustments!$H:$H,"1",Adjustments!$I:$I,$G$9,Adjustments!$J:$J,$A13)</f>
        <v>0</v>
      </c>
      <c r="I13" s="274">
        <f>SUM(G13:H13)</f>
        <v>0</v>
      </c>
      <c r="J13" s="157">
        <f>'As-Filed Schedule 1'!F12</f>
        <v>1769687.29</v>
      </c>
      <c r="K13" s="263">
        <f>SUMIFS(Adjustments!$G:$G,Adjustments!$H:$H,"1",Adjustments!$I:$I,$J$9,Adjustments!$J:$J,$A13)</f>
        <v>0</v>
      </c>
      <c r="L13" s="274">
        <f>SUM(J13:K13)</f>
        <v>1769687.29</v>
      </c>
      <c r="M13" s="157">
        <f>'As-Filed Schedule 1'!G12</f>
        <v>586445.81999999995</v>
      </c>
      <c r="N13" s="263">
        <f>SUMIFS(Adjustments!$G:$G,Adjustments!$H:$H,"1",Adjustments!$I:$I,$M$9,Adjustments!$J:$J,$A13)</f>
        <v>0</v>
      </c>
      <c r="O13" s="274">
        <f t="shared" ref="O13:O15" si="0">SUM(M13:N13)</f>
        <v>586445.81999999995</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2356133.11</v>
      </c>
      <c r="W13" s="266">
        <f>SUM(E13,H13,K13,N13,Q13,T13)</f>
        <v>6.06</v>
      </c>
      <c r="X13" s="275">
        <f>SUM(F13,I13,L13,O13,R13,U13)</f>
        <v>2356139.17</v>
      </c>
      <c r="Y13" s="140"/>
    </row>
    <row r="14" spans="1:31" s="22" customFormat="1" x14ac:dyDescent="0.35">
      <c r="A14" s="155">
        <v>2</v>
      </c>
      <c r="B14" s="497" t="s">
        <v>290</v>
      </c>
      <c r="C14" s="499"/>
      <c r="D14" s="156">
        <f>'As-Filed Schedule 1'!D13</f>
        <v>0</v>
      </c>
      <c r="E14" s="263">
        <f>SUMIFS(Adjustments!$G:$G,Adjustments!$H:$H,"1",Adjustments!$I:$I,$D$9,Adjustments!$J:$J,$A14)</f>
        <v>98.7</v>
      </c>
      <c r="F14" s="272">
        <f>SUM(D14:E14)</f>
        <v>98.7</v>
      </c>
      <c r="G14" s="157">
        <f>'As-Filed Schedule 1'!E13</f>
        <v>24782.02</v>
      </c>
      <c r="H14" s="263">
        <f>SUMIFS(Adjustments!$G:$G,Adjustments!$H:$H,"1",Adjustments!$I:$I,$G$9,Adjustments!$J:$J,$A14)</f>
        <v>0</v>
      </c>
      <c r="I14" s="274">
        <f t="shared" ref="I14:I15" si="2">SUM(G14:H14)</f>
        <v>24782.02</v>
      </c>
      <c r="J14" s="157">
        <f>'As-Filed Schedule 1'!F13</f>
        <v>4326551.92</v>
      </c>
      <c r="K14" s="263">
        <f>SUMIFS(Adjustments!$G:$G,Adjustments!$H:$H,"1",Adjustments!$I:$I,$J$9,Adjustments!$J:$J,$A14)</f>
        <v>-27274</v>
      </c>
      <c r="L14" s="274">
        <f t="shared" ref="L14:L15" si="3">SUM(J14:K14)</f>
        <v>4299277.92</v>
      </c>
      <c r="M14" s="157">
        <f>'As-Filed Schedule 1'!G13</f>
        <v>6625405.0999999996</v>
      </c>
      <c r="N14" s="263">
        <f>SUMIFS(Adjustments!$G:$G,Adjustments!$H:$H,"1",Adjustments!$I:$I,$M$9,Adjustments!$J:$J,$A14)</f>
        <v>0</v>
      </c>
      <c r="O14" s="274">
        <f t="shared" si="0"/>
        <v>6625405.0999999996</v>
      </c>
      <c r="P14" s="157">
        <f>'As-Filed Schedule 1'!H13</f>
        <v>89942.21</v>
      </c>
      <c r="Q14" s="263">
        <f>SUMIFS(Adjustments!$G:$G,Adjustments!$H:$H,"1",Adjustments!$I:$I,$P$9,Adjustments!$J:$J,$A14)</f>
        <v>0</v>
      </c>
      <c r="R14" s="274">
        <f t="shared" ref="R14:R15" si="4">SUM(P14:Q14)</f>
        <v>89942.21</v>
      </c>
      <c r="S14" s="157">
        <f>'As-Filed Schedule 1'!I13</f>
        <v>0</v>
      </c>
      <c r="T14" s="263">
        <f>SUMIFS(Adjustments!$G:$G,Adjustments!$H:$H,"1",Adjustments!$I:$I,$S$9,Adjustments!$J:$J,$A14)</f>
        <v>27274</v>
      </c>
      <c r="U14" s="274">
        <f t="shared" si="1"/>
        <v>27274</v>
      </c>
      <c r="V14" s="160">
        <f t="shared" ref="V14:V15" si="5">SUM(D14,G14,J14,M14,P14,S14)</f>
        <v>11066681.25</v>
      </c>
      <c r="W14" s="266">
        <f t="shared" ref="W14:W15" si="6">SUM(E14,H14,K14,N14,Q14,T14)</f>
        <v>98.700000000000728</v>
      </c>
      <c r="X14" s="275">
        <f t="shared" ref="X14:X15" si="7">SUM(F14,I14,L14,O14,R14,U14)</f>
        <v>11066779.949999999</v>
      </c>
      <c r="Y14" s="140"/>
    </row>
    <row r="15" spans="1:31" s="22" customFormat="1" x14ac:dyDescent="0.35">
      <c r="A15" s="155">
        <v>3</v>
      </c>
      <c r="B15" s="497" t="s">
        <v>300</v>
      </c>
      <c r="C15" s="499"/>
      <c r="D15" s="156">
        <f>'As-Filed Schedule 1'!D14</f>
        <v>0</v>
      </c>
      <c r="E15" s="263">
        <f>SUMIFS(Adjustments!$G:$G,Adjustments!$H:$H,"1",Adjustments!$I:$I,$D$9,Adjustments!$J:$J,$A15)</f>
        <v>221</v>
      </c>
      <c r="F15" s="272">
        <f>SUM(D15:E15)</f>
        <v>221</v>
      </c>
      <c r="G15" s="157">
        <f>'As-Filed Schedule 1'!E14</f>
        <v>894396.05</v>
      </c>
      <c r="H15" s="263">
        <f>SUMIFS(Adjustments!$G:$G,Adjustments!$H:$H,"1",Adjustments!$I:$I,$G$9,Adjustments!$J:$J,$A15)</f>
        <v>0</v>
      </c>
      <c r="I15" s="274">
        <f t="shared" si="2"/>
        <v>894396.05</v>
      </c>
      <c r="J15" s="157">
        <f>'As-Filed Schedule 1'!F14</f>
        <v>3977844.59</v>
      </c>
      <c r="K15" s="263">
        <f>SUMIFS(Adjustments!$G:$G,Adjustments!$H:$H,"1",Adjustments!$I:$I,$J$9,Adjustments!$J:$J,$A15)</f>
        <v>0</v>
      </c>
      <c r="L15" s="274">
        <f t="shared" si="3"/>
        <v>3977844.59</v>
      </c>
      <c r="M15" s="157">
        <f>'As-Filed Schedule 1'!G14</f>
        <v>8922247.2400000002</v>
      </c>
      <c r="N15" s="263">
        <f>SUMIFS(Adjustments!$G:$G,Adjustments!$H:$H,"1",Adjustments!$I:$I,$M$9,Adjustments!$J:$J,$A15)</f>
        <v>0</v>
      </c>
      <c r="O15" s="274">
        <f t="shared" si="0"/>
        <v>8922247.2400000002</v>
      </c>
      <c r="P15" s="157">
        <f>'As-Filed Schedule 1'!H14</f>
        <v>37448.589999999997</v>
      </c>
      <c r="Q15" s="263">
        <f>SUMIFS(Adjustments!$G:$G,Adjustments!$H:$H,"1",Adjustments!$I:$I,$P$9,Adjustments!$J:$J,$A15)</f>
        <v>0</v>
      </c>
      <c r="R15" s="274">
        <f t="shared" si="4"/>
        <v>37448.589999999997</v>
      </c>
      <c r="S15" s="157">
        <f>'As-Filed Schedule 1'!I14</f>
        <v>0</v>
      </c>
      <c r="T15" s="263">
        <f>SUMIFS(Adjustments!$G:$G,Adjustments!$H:$H,"1",Adjustments!$I:$I,$S$9,Adjustments!$J:$J,$A15)</f>
        <v>0</v>
      </c>
      <c r="U15" s="274">
        <f t="shared" si="1"/>
        <v>0</v>
      </c>
      <c r="V15" s="160">
        <f t="shared" si="5"/>
        <v>13831936.469999999</v>
      </c>
      <c r="W15" s="266">
        <f t="shared" si="6"/>
        <v>221</v>
      </c>
      <c r="X15" s="275">
        <f t="shared" si="7"/>
        <v>13832157.469999999</v>
      </c>
      <c r="Y15" s="140"/>
    </row>
    <row r="16" spans="1:31" s="22" customFormat="1" x14ac:dyDescent="0.35">
      <c r="A16" s="155">
        <v>4</v>
      </c>
      <c r="B16" s="503" t="s">
        <v>289</v>
      </c>
      <c r="C16" s="505"/>
      <c r="D16" s="159">
        <f>SUM(D13:D15)</f>
        <v>0</v>
      </c>
      <c r="E16" s="159">
        <f t="shared" ref="E16:F16" si="8">SUM(E13:E15)</f>
        <v>325.76</v>
      </c>
      <c r="F16" s="159">
        <f t="shared" si="8"/>
        <v>325.76</v>
      </c>
      <c r="G16" s="160">
        <f>SUM(G13:G15)</f>
        <v>919178.07000000007</v>
      </c>
      <c r="H16" s="160">
        <f t="shared" ref="H16:U16" si="9">SUM(H13:H15)</f>
        <v>0</v>
      </c>
      <c r="I16" s="160">
        <f t="shared" si="9"/>
        <v>919178.07000000007</v>
      </c>
      <c r="J16" s="160">
        <f t="shared" si="9"/>
        <v>10074083.800000001</v>
      </c>
      <c r="K16" s="160">
        <f t="shared" si="9"/>
        <v>-27274</v>
      </c>
      <c r="L16" s="160">
        <f t="shared" si="9"/>
        <v>10046809.800000001</v>
      </c>
      <c r="M16" s="160">
        <f t="shared" si="9"/>
        <v>16134098.16</v>
      </c>
      <c r="N16" s="160">
        <f t="shared" si="9"/>
        <v>0</v>
      </c>
      <c r="O16" s="160">
        <f t="shared" si="9"/>
        <v>16134098.16</v>
      </c>
      <c r="P16" s="160">
        <f t="shared" si="9"/>
        <v>127390.8</v>
      </c>
      <c r="Q16" s="160">
        <f t="shared" si="9"/>
        <v>0</v>
      </c>
      <c r="R16" s="160">
        <f t="shared" si="9"/>
        <v>127390.8</v>
      </c>
      <c r="S16" s="160">
        <f t="shared" si="9"/>
        <v>0</v>
      </c>
      <c r="T16" s="160">
        <f t="shared" si="9"/>
        <v>27274</v>
      </c>
      <c r="U16" s="160">
        <f t="shared" si="9"/>
        <v>27274</v>
      </c>
      <c r="V16" s="160">
        <f>SUM(D16,G16,J16,M16,P16,S16)</f>
        <v>27254750.830000002</v>
      </c>
      <c r="W16" s="266">
        <f>SUM(E16,H16,K16,N16,Q16,T16)</f>
        <v>325.7599999999984</v>
      </c>
      <c r="X16" s="275">
        <f>SUM(F16,I16,L16,O16,R16,U16)</f>
        <v>27255076.59</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506" t="s">
        <v>280</v>
      </c>
      <c r="B18" s="507"/>
      <c r="C18" s="507"/>
      <c r="D18" s="507"/>
      <c r="E18" s="507"/>
      <c r="F18" s="507"/>
      <c r="G18" s="507"/>
      <c r="H18" s="507"/>
      <c r="I18" s="507"/>
      <c r="J18" s="507"/>
      <c r="K18" s="507"/>
      <c r="L18" s="507"/>
      <c r="M18" s="507"/>
      <c r="N18" s="507"/>
      <c r="O18" s="507"/>
      <c r="P18" s="507"/>
      <c r="Q18" s="507"/>
      <c r="R18" s="507"/>
      <c r="S18" s="507"/>
      <c r="T18" s="507"/>
      <c r="U18" s="507"/>
      <c r="V18" s="507"/>
      <c r="W18" s="507"/>
      <c r="X18" s="508"/>
      <c r="Y18" s="140"/>
    </row>
    <row r="19" spans="1:25" s="22" customFormat="1" x14ac:dyDescent="0.35">
      <c r="A19" s="155">
        <v>5</v>
      </c>
      <c r="B19" s="497" t="s">
        <v>220</v>
      </c>
      <c r="C19" s="499"/>
      <c r="D19" s="156">
        <f>'As-Filed Schedule 1'!D18</f>
        <v>0</v>
      </c>
      <c r="E19" s="263">
        <f>SUMIFS(Adjustments!$G:$G,Adjustments!$H:$H,"1",Adjustments!$I:$I,$D$9,Adjustments!$J:$J,$A19)</f>
        <v>8</v>
      </c>
      <c r="F19" s="272">
        <f>SUM(D19:E19)</f>
        <v>8</v>
      </c>
      <c r="G19" s="157">
        <f>'As-Filed Schedule 1'!E18</f>
        <v>1293658.8999999999</v>
      </c>
      <c r="H19" s="263">
        <f>SUMIFS(Adjustments!$G:$G,Adjustments!$H:$H,"1",Adjustments!$I:$I,$G$9,Adjustments!$J:$J,$A19)</f>
        <v>-44423</v>
      </c>
      <c r="I19" s="274">
        <f t="shared" ref="I19:I20" si="10">SUM(G19:H19)</f>
        <v>1249235.8999999999</v>
      </c>
      <c r="J19" s="157">
        <f>'As-Filed Schedule 1'!F18</f>
        <v>560065.57999999996</v>
      </c>
      <c r="K19" s="263">
        <f>SUMIFS(Adjustments!$G:$G,Adjustments!$H:$H,"1",Adjustments!$I:$I,$J$9,Adjustments!$J:$J,$A19)</f>
        <v>0</v>
      </c>
      <c r="L19" s="274">
        <f t="shared" ref="L19:L20" si="11">SUM(J19:K19)</f>
        <v>560065.57999999996</v>
      </c>
      <c r="M19" s="157">
        <f>'As-Filed Schedule 1'!G18</f>
        <v>31803.18</v>
      </c>
      <c r="N19" s="263">
        <f>SUMIFS(Adjustments!$G:$G,Adjustments!$H:$H,"1",Adjustments!$I:$I,$M$9,Adjustments!$J:$J,$A19)</f>
        <v>-6773</v>
      </c>
      <c r="O19" s="274">
        <f t="shared" ref="O19:O20" si="12">SUM(M19:N19)</f>
        <v>25030.18</v>
      </c>
      <c r="P19" s="157" t="str">
        <f>'As-Filed Schedule 1'!H18</f>
        <v xml:space="preserve">                     -  </v>
      </c>
      <c r="Q19" s="263">
        <f>SUMIFS(Adjustments!$G:$G,Adjustments!$H:$H,"1",Adjustments!$I:$I,$P$9,Adjustments!$J:$J,$A19)</f>
        <v>0</v>
      </c>
      <c r="R19" s="274">
        <f t="shared" ref="R19:R20" si="13">SUM(P19:Q19)</f>
        <v>0</v>
      </c>
      <c r="S19" s="157">
        <f>'As-Filed Schedule 1'!I18</f>
        <v>147811.49</v>
      </c>
      <c r="T19" s="263">
        <f>SUMIFS(Adjustments!$G:$G,Adjustments!$H:$H,"1",Adjustments!$I:$I,$S$9,Adjustments!$J:$J,$A19)</f>
        <v>51196</v>
      </c>
      <c r="U19" s="274">
        <f t="shared" ref="U19:U20" si="14">SUM(S19:T19)</f>
        <v>199007.49</v>
      </c>
      <c r="V19" s="160">
        <f t="shared" ref="V19:V20" si="15">SUM(D19,G19,J19,M19,P19,S19)</f>
        <v>2033339.15</v>
      </c>
      <c r="W19" s="266">
        <f t="shared" ref="W19:W20" si="16">SUM(E19,H19,K19,N19,Q19,T19)</f>
        <v>8</v>
      </c>
      <c r="X19" s="275">
        <f t="shared" ref="X19:X20" si="17">SUM(F19,I19,L19,O19,R19,U19)</f>
        <v>2033347.15</v>
      </c>
      <c r="Y19" s="140"/>
    </row>
    <row r="20" spans="1:25" s="22" customFormat="1" x14ac:dyDescent="0.35">
      <c r="A20" s="155">
        <v>6</v>
      </c>
      <c r="B20" s="497" t="s">
        <v>292</v>
      </c>
      <c r="C20" s="499"/>
      <c r="D20" s="156">
        <f>'As-Filed Schedule 1'!D19</f>
        <v>0</v>
      </c>
      <c r="E20" s="263">
        <f>SUMIFS(Adjustments!$G:$G,Adjustments!$H:$H,"1",Adjustments!$I:$I,$D$9,Adjustments!$J:$J,$A20)</f>
        <v>80</v>
      </c>
      <c r="F20" s="272">
        <f>SUM(D20:E20)</f>
        <v>80</v>
      </c>
      <c r="G20" s="157">
        <f>'As-Filed Schedule 1'!E19</f>
        <v>2643123.04</v>
      </c>
      <c r="H20" s="263">
        <f>SUMIFS(Adjustments!$G:$G,Adjustments!$H:$H,"1",Adjustments!$I:$I,$G$9,Adjustments!$J:$J,$A20)</f>
        <v>0</v>
      </c>
      <c r="I20" s="274">
        <f t="shared" si="10"/>
        <v>2643123.04</v>
      </c>
      <c r="J20" s="157">
        <f>'As-Filed Schedule 1'!F19</f>
        <v>1605554.09</v>
      </c>
      <c r="K20" s="263">
        <f>SUMIFS(Adjustments!$G:$G,Adjustments!$H:$H,"1",Adjustments!$I:$I,$J$9,Adjustments!$J:$J,$A20)</f>
        <v>0</v>
      </c>
      <c r="L20" s="274">
        <f t="shared" si="11"/>
        <v>1605554.09</v>
      </c>
      <c r="M20" s="157">
        <f>'As-Filed Schedule 1'!G19</f>
        <v>1120352.46</v>
      </c>
      <c r="N20" s="263">
        <f>SUMIFS(Adjustments!$G:$G,Adjustments!$H:$H,"1",Adjustments!$I:$I,$M$9,Adjustments!$J:$J,$A20)</f>
        <v>0</v>
      </c>
      <c r="O20" s="274">
        <f t="shared" si="12"/>
        <v>1120352.46</v>
      </c>
      <c r="P20" s="157">
        <f>'As-Filed Schedule 1'!H19</f>
        <v>10988.09</v>
      </c>
      <c r="Q20" s="263">
        <f>SUMIFS(Adjustments!$G:$G,Adjustments!$H:$H,"1",Adjustments!$I:$I,$P$9,Adjustments!$J:$J,$A20)</f>
        <v>0</v>
      </c>
      <c r="R20" s="274">
        <f t="shared" si="13"/>
        <v>10988.09</v>
      </c>
      <c r="S20" s="157">
        <f>'As-Filed Schedule 1'!I19</f>
        <v>129745.53</v>
      </c>
      <c r="T20" s="263">
        <f>SUMIFS(Adjustments!$G:$G,Adjustments!$H:$H,"1",Adjustments!$I:$I,$S$9,Adjustments!$J:$J,$A20)</f>
        <v>0</v>
      </c>
      <c r="U20" s="274">
        <f t="shared" si="14"/>
        <v>129745.53</v>
      </c>
      <c r="V20" s="160">
        <f t="shared" si="15"/>
        <v>5509763.21</v>
      </c>
      <c r="W20" s="266">
        <f t="shared" si="16"/>
        <v>80</v>
      </c>
      <c r="X20" s="275">
        <f t="shared" si="17"/>
        <v>5509843.21</v>
      </c>
      <c r="Y20" s="140"/>
    </row>
    <row r="21" spans="1:25" s="22" customFormat="1" x14ac:dyDescent="0.35">
      <c r="A21" s="155">
        <v>7</v>
      </c>
      <c r="B21" s="503" t="s">
        <v>219</v>
      </c>
      <c r="C21" s="505"/>
      <c r="D21" s="159">
        <f>SUM(D19:D20)</f>
        <v>0</v>
      </c>
      <c r="E21" s="159">
        <f t="shared" ref="E21:F21" si="18">SUM(E19:E20)</f>
        <v>88</v>
      </c>
      <c r="F21" s="159">
        <f t="shared" si="18"/>
        <v>88</v>
      </c>
      <c r="G21" s="160">
        <f>SUM(G19:G20)</f>
        <v>3936781.94</v>
      </c>
      <c r="H21" s="160">
        <f t="shared" ref="H21:U21" si="19">SUM(H19:H20)</f>
        <v>-44423</v>
      </c>
      <c r="I21" s="160">
        <f t="shared" si="19"/>
        <v>3892358.94</v>
      </c>
      <c r="J21" s="160">
        <f t="shared" si="19"/>
        <v>2165619.67</v>
      </c>
      <c r="K21" s="160">
        <f t="shared" si="19"/>
        <v>0</v>
      </c>
      <c r="L21" s="160">
        <f t="shared" si="19"/>
        <v>2165619.67</v>
      </c>
      <c r="M21" s="160">
        <f t="shared" si="19"/>
        <v>1152155.6399999999</v>
      </c>
      <c r="N21" s="160">
        <f t="shared" si="19"/>
        <v>-6773</v>
      </c>
      <c r="O21" s="160">
        <f t="shared" si="19"/>
        <v>1145382.6399999999</v>
      </c>
      <c r="P21" s="160">
        <f t="shared" si="19"/>
        <v>10988.09</v>
      </c>
      <c r="Q21" s="160">
        <f t="shared" si="19"/>
        <v>0</v>
      </c>
      <c r="R21" s="160">
        <f t="shared" si="19"/>
        <v>10988.09</v>
      </c>
      <c r="S21" s="160">
        <f t="shared" si="19"/>
        <v>277557.02</v>
      </c>
      <c r="T21" s="160">
        <f t="shared" si="19"/>
        <v>51196</v>
      </c>
      <c r="U21" s="160">
        <f t="shared" si="19"/>
        <v>328753.02</v>
      </c>
      <c r="V21" s="160">
        <f>SUM(D21,G21,J21,M21,P21,S21)</f>
        <v>7543102.3599999994</v>
      </c>
      <c r="W21" s="266">
        <f>SUM(E21,H21,K21,N21,Q21,T21)</f>
        <v>88</v>
      </c>
      <c r="X21" s="275">
        <f>SUM(F21,I21,L21,O21,R21,U21)</f>
        <v>7543190.3599999994</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506" t="s">
        <v>274</v>
      </c>
      <c r="B23" s="507"/>
      <c r="C23" s="507"/>
      <c r="D23" s="507"/>
      <c r="E23" s="507"/>
      <c r="F23" s="507"/>
      <c r="G23" s="507"/>
      <c r="H23" s="507"/>
      <c r="I23" s="507"/>
      <c r="J23" s="507"/>
      <c r="K23" s="507"/>
      <c r="L23" s="507"/>
      <c r="M23" s="507"/>
      <c r="N23" s="507"/>
      <c r="O23" s="507"/>
      <c r="P23" s="507"/>
      <c r="Q23" s="507"/>
      <c r="R23" s="507"/>
      <c r="S23" s="507"/>
      <c r="T23" s="507"/>
      <c r="U23" s="507"/>
      <c r="V23" s="507"/>
      <c r="W23" s="507"/>
      <c r="X23" s="508"/>
      <c r="Y23" s="140"/>
    </row>
    <row r="24" spans="1:25" s="22" customFormat="1" x14ac:dyDescent="0.35">
      <c r="A24" s="155">
        <v>8</v>
      </c>
      <c r="B24" s="497" t="s">
        <v>275</v>
      </c>
      <c r="C24" s="498"/>
      <c r="D24" s="498"/>
      <c r="E24" s="498"/>
      <c r="F24" s="499"/>
      <c r="G24" s="165">
        <f>'As-Filed Schedule 1A'!H27*-1</f>
        <v>-294499.10000000003</v>
      </c>
      <c r="H24" s="160"/>
      <c r="I24" s="165">
        <f>'Schedule 1A Adjustments'!K27*-1</f>
        <v>-93866.590000000026</v>
      </c>
      <c r="J24" s="165">
        <f>'As-Filed Schedule 1A'!H28*-1</f>
        <v>-212004.71000000002</v>
      </c>
      <c r="K24" s="160"/>
      <c r="L24" s="165">
        <f>'Schedule 1A Adjustments'!K28*-1</f>
        <v>-101054.71000000002</v>
      </c>
      <c r="M24" s="165">
        <f>-'As-Filed Schedule 1A'!H29</f>
        <v>0</v>
      </c>
      <c r="N24" s="160"/>
      <c r="O24" s="165">
        <f>'Schedule 1A Adjustments'!K29*-1</f>
        <v>0</v>
      </c>
      <c r="P24" s="165">
        <f>-'As-Filed Schedule 1A'!H30</f>
        <v>0</v>
      </c>
      <c r="Q24" s="160"/>
      <c r="R24" s="165">
        <f>'Schedule 1A Adjustments'!K30*-1</f>
        <v>0</v>
      </c>
      <c r="S24" s="165">
        <f>-SUM(G24,J24,M24,P24)</f>
        <v>506503.81000000006</v>
      </c>
      <c r="T24" s="160"/>
      <c r="U24" s="277">
        <f>-SUM(I24,L24,O24,R24)</f>
        <v>194921.30000000005</v>
      </c>
      <c r="V24" s="160">
        <f>SUM(G24,J24,M24,P24,S24)</f>
        <v>0</v>
      </c>
      <c r="W24" s="266"/>
      <c r="X24" s="275">
        <f>SUM(I24,L24,O24,R24,U24)</f>
        <v>0</v>
      </c>
      <c r="Y24" s="140"/>
    </row>
    <row r="25" spans="1:25" s="22" customFormat="1" x14ac:dyDescent="0.35">
      <c r="A25" s="155">
        <v>9</v>
      </c>
      <c r="B25" s="503" t="s">
        <v>221</v>
      </c>
      <c r="C25" s="504"/>
      <c r="D25" s="504"/>
      <c r="E25" s="504"/>
      <c r="F25" s="505"/>
      <c r="G25" s="160">
        <f>SUM(G24:G24)</f>
        <v>-294499.10000000003</v>
      </c>
      <c r="H25" s="160">
        <f t="shared" ref="H25:I25" si="20">SUM(H24:H24)</f>
        <v>0</v>
      </c>
      <c r="I25" s="160">
        <f t="shared" si="20"/>
        <v>-93866.590000000026</v>
      </c>
      <c r="J25" s="160">
        <f>SUM(J24:J24)</f>
        <v>-212004.71000000002</v>
      </c>
      <c r="K25" s="160">
        <f t="shared" ref="K25:L25" si="21">SUM(K24:K24)</f>
        <v>0</v>
      </c>
      <c r="L25" s="160">
        <f t="shared" si="21"/>
        <v>-101054.71000000002</v>
      </c>
      <c r="M25" s="160">
        <f>SUM(M24:M24)</f>
        <v>0</v>
      </c>
      <c r="N25" s="160">
        <f t="shared" ref="N25:O25" si="22">SUM(N24:N24)</f>
        <v>0</v>
      </c>
      <c r="O25" s="160">
        <f t="shared" si="22"/>
        <v>0</v>
      </c>
      <c r="P25" s="160">
        <f>SUM(P24:P24)</f>
        <v>0</v>
      </c>
      <c r="Q25" s="160">
        <f t="shared" ref="Q25:R25" si="23">SUM(Q24:Q24)</f>
        <v>0</v>
      </c>
      <c r="R25" s="160">
        <f t="shared" si="23"/>
        <v>0</v>
      </c>
      <c r="S25" s="160">
        <f>SUM(S24:S24)</f>
        <v>506503.81000000006</v>
      </c>
      <c r="T25" s="160">
        <f t="shared" ref="T25:U25" si="24">SUM(T24:T24)</f>
        <v>0</v>
      </c>
      <c r="U25" s="160">
        <f t="shared" si="24"/>
        <v>194921.30000000005</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506" t="s">
        <v>234</v>
      </c>
      <c r="B27" s="507"/>
      <c r="C27" s="507"/>
      <c r="D27" s="507"/>
      <c r="E27" s="507"/>
      <c r="F27" s="507"/>
      <c r="G27" s="507"/>
      <c r="H27" s="507"/>
      <c r="I27" s="507"/>
      <c r="J27" s="507"/>
      <c r="K27" s="507"/>
      <c r="L27" s="507"/>
      <c r="M27" s="507"/>
      <c r="N27" s="507"/>
      <c r="O27" s="507"/>
      <c r="P27" s="507"/>
      <c r="Q27" s="507"/>
      <c r="R27" s="507"/>
      <c r="S27" s="507"/>
      <c r="T27" s="507"/>
      <c r="U27" s="507"/>
      <c r="V27" s="507"/>
      <c r="W27" s="507"/>
      <c r="X27" s="508"/>
      <c r="Y27" s="140"/>
    </row>
    <row r="28" spans="1:25" s="22" customFormat="1" x14ac:dyDescent="0.35">
      <c r="A28" s="155">
        <v>10</v>
      </c>
      <c r="B28" s="497" t="s">
        <v>223</v>
      </c>
      <c r="C28" s="498"/>
      <c r="D28" s="498"/>
      <c r="E28" s="498"/>
      <c r="F28" s="499"/>
      <c r="G28" s="157">
        <f>'As-Filed Schedule 1'!E27</f>
        <v>291365</v>
      </c>
      <c r="H28" s="263">
        <f>SUMIFS(Adjustments!$G:$G,Adjustments!$H:$H,"1",Adjustments!$I:$I,$G$9,Adjustments!$J:$J,$A28)</f>
        <v>0</v>
      </c>
      <c r="I28" s="274">
        <f t="shared" ref="I28:I30" si="25">SUM(G28:H28)</f>
        <v>291365</v>
      </c>
      <c r="J28" s="157">
        <f>'As-Filed Schedule 1'!F27</f>
        <v>77301.259999999995</v>
      </c>
      <c r="K28" s="263">
        <f>SUMIFS(Adjustments!$G:$G,Adjustments!$H:$H,"1",Adjustments!$I:$I,$J$9,Adjustments!$J:$J,$A28)</f>
        <v>0</v>
      </c>
      <c r="L28" s="274">
        <f t="shared" ref="L28:L30" si="26">SUM(J28:K28)</f>
        <v>77301.259999999995</v>
      </c>
      <c r="M28" s="157">
        <f>'As-Filed Schedule 1'!G27</f>
        <v>348801.05</v>
      </c>
      <c r="N28" s="263">
        <f>SUMIFS(Adjustments!$G:$G,Adjustments!$H:$H,"1",Adjustments!$I:$I,$M$9,Adjustments!$J:$J,$A28)</f>
        <v>0</v>
      </c>
      <c r="O28" s="274">
        <f t="shared" ref="O28:O30" si="27">SUM(M28:N28)</f>
        <v>348801.05</v>
      </c>
      <c r="P28" s="157">
        <f>'As-Filed Schedule 1'!H27</f>
        <v>5000.9799999999996</v>
      </c>
      <c r="Q28" s="263">
        <f>SUMIFS(Adjustments!$G:$G,Adjustments!$H:$H,"1",Adjustments!$I:$I,$P$9,Adjustments!$J:$J,$A28)</f>
        <v>0</v>
      </c>
      <c r="R28" s="274">
        <f t="shared" ref="R28:R30" si="28">SUM(P28:Q28)</f>
        <v>5000.9799999999996</v>
      </c>
      <c r="S28" s="157">
        <f>'As-Filed Schedule 1'!I27</f>
        <v>0</v>
      </c>
      <c r="T28" s="263">
        <f>SUMIFS(Adjustments!$G:$G,Adjustments!$H:$H,"1",Adjustments!$I:$I,$S$9,Adjustments!$J:$J,$A28)</f>
        <v>0</v>
      </c>
      <c r="U28" s="274">
        <f t="shared" ref="U28:U30" si="29">SUM(S28:T28)</f>
        <v>0</v>
      </c>
      <c r="V28" s="160">
        <f t="shared" ref="V28:V30" si="30">SUM(G28,J28,M28,P28,S28)</f>
        <v>722468.29</v>
      </c>
      <c r="W28" s="266">
        <f t="shared" ref="W28:W30" si="31">SUM(,H28,K28,N28,Q28,T28)</f>
        <v>0</v>
      </c>
      <c r="X28" s="275">
        <f t="shared" ref="X28:X30" si="32">SUM(I28,L28,O28,R28,U28)</f>
        <v>722468.29</v>
      </c>
      <c r="Y28" s="140"/>
    </row>
    <row r="29" spans="1:25" s="22" customFormat="1" x14ac:dyDescent="0.35">
      <c r="A29" s="166">
        <v>11</v>
      </c>
      <c r="B29" s="497" t="s">
        <v>222</v>
      </c>
      <c r="C29" s="498"/>
      <c r="D29" s="498"/>
      <c r="E29" s="498"/>
      <c r="F29" s="499"/>
      <c r="G29" s="157">
        <f>'As-Filed Schedule 1'!E28</f>
        <v>1071651.99</v>
      </c>
      <c r="H29" s="263">
        <f>SUMIFS(Adjustments!$G:$G,Adjustments!$H:$H,"1",Adjustments!$I:$I,$G$9,Adjustments!$J:$J,$A29)</f>
        <v>0</v>
      </c>
      <c r="I29" s="274">
        <f t="shared" si="25"/>
        <v>1071651.99</v>
      </c>
      <c r="J29" s="157">
        <f>'As-Filed Schedule 1'!F28</f>
        <v>2305566.19</v>
      </c>
      <c r="K29" s="263">
        <f>SUMIFS(Adjustments!$G:$G,Adjustments!$H:$H,"1",Adjustments!$I:$I,$J$9,Adjustments!$J:$J,$A29)</f>
        <v>0</v>
      </c>
      <c r="L29" s="274">
        <f t="shared" si="26"/>
        <v>2305566.19</v>
      </c>
      <c r="M29" s="157">
        <f>'As-Filed Schedule 1'!G28</f>
        <v>4129950.34</v>
      </c>
      <c r="N29" s="263">
        <f>SUMIFS(Adjustments!$G:$G,Adjustments!$H:$H,"1",Adjustments!$I:$I,$M$9,Adjustments!$J:$J,$A29)</f>
        <v>0</v>
      </c>
      <c r="O29" s="274">
        <f t="shared" si="27"/>
        <v>4129950.34</v>
      </c>
      <c r="P29" s="157">
        <f>'As-Filed Schedule 1'!H28</f>
        <v>51116.58</v>
      </c>
      <c r="Q29" s="263">
        <f>SUMIFS(Adjustments!$G:$G,Adjustments!$H:$H,"1",Adjustments!$I:$I,$P$9,Adjustments!$J:$J,$A29)</f>
        <v>0</v>
      </c>
      <c r="R29" s="274">
        <f t="shared" si="28"/>
        <v>51116.58</v>
      </c>
      <c r="S29" s="157">
        <f>'As-Filed Schedule 1'!I28</f>
        <v>30870.98</v>
      </c>
      <c r="T29" s="263">
        <f>SUMIFS(Adjustments!$G:$G,Adjustments!$H:$H,"1",Adjustments!$I:$I,$S$9,Adjustments!$J:$J,$A29)</f>
        <v>0</v>
      </c>
      <c r="U29" s="274">
        <f t="shared" si="29"/>
        <v>30870.98</v>
      </c>
      <c r="V29" s="160">
        <f t="shared" si="30"/>
        <v>7589156.0800000001</v>
      </c>
      <c r="W29" s="266">
        <f t="shared" si="31"/>
        <v>0</v>
      </c>
      <c r="X29" s="275">
        <f t="shared" si="32"/>
        <v>7589156.0800000001</v>
      </c>
      <c r="Y29" s="140"/>
    </row>
    <row r="30" spans="1:25" s="22" customFormat="1" x14ac:dyDescent="0.35">
      <c r="A30" s="155">
        <v>12</v>
      </c>
      <c r="B30" s="497" t="s">
        <v>299</v>
      </c>
      <c r="C30" s="498"/>
      <c r="D30" s="498"/>
      <c r="E30" s="498"/>
      <c r="F30" s="499"/>
      <c r="G30" s="157">
        <f>'As-Filed Schedule 1'!E29</f>
        <v>5000</v>
      </c>
      <c r="H30" s="263">
        <f>SUMIFS(Adjustments!$G:$G,Adjustments!$H:$H,"1",Adjustments!$I:$I,$G$9,Adjustments!$J:$J,$A30)</f>
        <v>0</v>
      </c>
      <c r="I30" s="274">
        <f t="shared" si="25"/>
        <v>5000</v>
      </c>
      <c r="J30" s="157">
        <f>'As-Filed Schedule 1'!F29</f>
        <v>5183.3500000000004</v>
      </c>
      <c r="K30" s="263">
        <f>SUMIFS(Adjustments!$G:$G,Adjustments!$H:$H,"1",Adjustments!$I:$I,$J$9,Adjustments!$J:$J,$A30)</f>
        <v>0</v>
      </c>
      <c r="L30" s="274">
        <f t="shared" si="26"/>
        <v>5183.3500000000004</v>
      </c>
      <c r="M30" s="157">
        <f>'As-Filed Schedule 1'!G29</f>
        <v>8258</v>
      </c>
      <c r="N30" s="263">
        <f>SUMIFS(Adjustments!$G:$G,Adjustments!$H:$H,"1",Adjustments!$I:$I,$M$9,Adjustments!$J:$J,$A30)</f>
        <v>0</v>
      </c>
      <c r="O30" s="274">
        <f t="shared" si="27"/>
        <v>8258</v>
      </c>
      <c r="P30" s="157">
        <f>'As-Filed Schedule 1'!H29</f>
        <v>6011.11</v>
      </c>
      <c r="Q30" s="263">
        <f>SUMIFS(Adjustments!$G:$G,Adjustments!$H:$H,"1",Adjustments!$I:$I,$P$9,Adjustments!$J:$J,$A30)</f>
        <v>0</v>
      </c>
      <c r="R30" s="274">
        <f t="shared" si="28"/>
        <v>6011.11</v>
      </c>
      <c r="S30" s="157">
        <f>'As-Filed Schedule 1'!I29</f>
        <v>0</v>
      </c>
      <c r="T30" s="263">
        <f>SUMIFS(Adjustments!$G:$G,Adjustments!$H:$H,"1",Adjustments!$I:$I,$S$9,Adjustments!$J:$J,$A30)</f>
        <v>0</v>
      </c>
      <c r="U30" s="274">
        <f t="shared" si="29"/>
        <v>0</v>
      </c>
      <c r="V30" s="160">
        <f t="shared" si="30"/>
        <v>24452.46</v>
      </c>
      <c r="W30" s="266">
        <f t="shared" si="31"/>
        <v>0</v>
      </c>
      <c r="X30" s="275">
        <f t="shared" si="32"/>
        <v>24452.46</v>
      </c>
      <c r="Y30" s="140"/>
    </row>
    <row r="31" spans="1:25" s="22" customFormat="1" x14ac:dyDescent="0.35">
      <c r="A31" s="155">
        <v>13</v>
      </c>
      <c r="B31" s="503" t="s">
        <v>224</v>
      </c>
      <c r="C31" s="504"/>
      <c r="D31" s="504"/>
      <c r="E31" s="504"/>
      <c r="F31" s="505"/>
      <c r="G31" s="160">
        <f>SUM(G28:G30)</f>
        <v>1368016.99</v>
      </c>
      <c r="H31" s="160">
        <f t="shared" ref="H31:I31" si="33">SUM(H28:H30)</f>
        <v>0</v>
      </c>
      <c r="I31" s="160">
        <f t="shared" si="33"/>
        <v>1368016.99</v>
      </c>
      <c r="J31" s="160">
        <f>SUM(J28:J30)</f>
        <v>2388050.7999999998</v>
      </c>
      <c r="K31" s="160">
        <f t="shared" ref="K31:L31" si="34">SUM(K28:K30)</f>
        <v>0</v>
      </c>
      <c r="L31" s="160">
        <f t="shared" si="34"/>
        <v>2388050.7999999998</v>
      </c>
      <c r="M31" s="160">
        <f>SUM(M28:M30)</f>
        <v>4487009.3899999997</v>
      </c>
      <c r="N31" s="160">
        <f t="shared" ref="N31:T31" si="35">SUM(N28:N30)</f>
        <v>0</v>
      </c>
      <c r="O31" s="160">
        <f t="shared" si="35"/>
        <v>4487009.3899999997</v>
      </c>
      <c r="P31" s="160">
        <f t="shared" si="35"/>
        <v>62128.67</v>
      </c>
      <c r="Q31" s="160">
        <f t="shared" si="35"/>
        <v>0</v>
      </c>
      <c r="R31" s="160">
        <f t="shared" si="35"/>
        <v>62128.67</v>
      </c>
      <c r="S31" s="160">
        <f t="shared" si="35"/>
        <v>30870.98</v>
      </c>
      <c r="T31" s="160">
        <f t="shared" si="35"/>
        <v>0</v>
      </c>
      <c r="U31" s="160">
        <f>SUM(U28:U30)</f>
        <v>30870.98</v>
      </c>
      <c r="V31" s="160">
        <f>SUM(G31,J31,M31,P31,S31)</f>
        <v>8336076.8300000001</v>
      </c>
      <c r="W31" s="266">
        <f>SUM(,H31,K31,N31,Q31,T31)</f>
        <v>0</v>
      </c>
      <c r="X31" s="275">
        <f>SUM(I31,L31,O31,R31,U31)</f>
        <v>8336076.8300000001</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503" t="s">
        <v>227</v>
      </c>
      <c r="C33" s="504"/>
      <c r="D33" s="504"/>
      <c r="E33" s="504"/>
      <c r="F33" s="505"/>
      <c r="G33" s="160">
        <f>G31+G25+G21+G16</f>
        <v>5929477.9000000004</v>
      </c>
      <c r="H33" s="160">
        <f t="shared" ref="H33:I33" si="36">H31+H25+H21+H16</f>
        <v>-44423</v>
      </c>
      <c r="I33" s="160">
        <f t="shared" si="36"/>
        <v>6085687.4100000001</v>
      </c>
      <c r="J33" s="160">
        <f>J31+J25+J21+J16</f>
        <v>14415749.560000001</v>
      </c>
      <c r="K33" s="160">
        <f>K31+K25+K21+K16</f>
        <v>-27274</v>
      </c>
      <c r="L33" s="160">
        <f t="shared" ref="L33" si="37">L31+L25+L21+L16</f>
        <v>14499425.560000001</v>
      </c>
      <c r="M33" s="160">
        <f>M31+M25+M21+M16</f>
        <v>21773263.189999998</v>
      </c>
      <c r="N33" s="160">
        <f t="shared" ref="N33:O33" si="38">N31+N25+N21+N16</f>
        <v>-6773</v>
      </c>
      <c r="O33" s="160">
        <f t="shared" si="38"/>
        <v>21766490.189999998</v>
      </c>
      <c r="P33" s="160">
        <f>P31+P25+P21+P16</f>
        <v>200507.56</v>
      </c>
      <c r="Q33" s="160">
        <f t="shared" ref="Q33:R33" si="39">Q31+Q25+Q21+Q16</f>
        <v>0</v>
      </c>
      <c r="R33" s="160">
        <f t="shared" si="39"/>
        <v>200507.56</v>
      </c>
      <c r="S33" s="160">
        <f>S31+S25+S21+S16</f>
        <v>814931.81</v>
      </c>
      <c r="T33" s="160">
        <f>T31+T25+T21+T16</f>
        <v>78470</v>
      </c>
      <c r="U33" s="160">
        <f t="shared" ref="U33" si="40">U31+U25+U21+U16</f>
        <v>581819.30000000005</v>
      </c>
      <c r="V33" s="160">
        <f>SUM(G33,J33,M33,P33,S33)</f>
        <v>43133930.020000003</v>
      </c>
      <c r="W33" s="266">
        <f>SUM(,H33,K33,N33,Q33,T33)</f>
        <v>0</v>
      </c>
      <c r="X33" s="275">
        <f>SUM(I33,L33,O33,R33,U33)</f>
        <v>43133930.019999996</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506" t="s">
        <v>233</v>
      </c>
      <c r="B35" s="507"/>
      <c r="C35" s="507"/>
      <c r="D35" s="507"/>
      <c r="E35" s="507"/>
      <c r="F35" s="507"/>
      <c r="G35" s="507"/>
      <c r="H35" s="507"/>
      <c r="I35" s="507"/>
      <c r="J35" s="507"/>
      <c r="K35" s="507"/>
      <c r="L35" s="507"/>
      <c r="M35" s="507"/>
      <c r="N35" s="507"/>
      <c r="O35" s="507"/>
      <c r="P35" s="507"/>
      <c r="Q35" s="507"/>
      <c r="R35" s="507"/>
      <c r="S35" s="507"/>
      <c r="T35" s="507"/>
      <c r="U35" s="507"/>
      <c r="V35" s="507"/>
      <c r="W35" s="507"/>
      <c r="X35" s="508"/>
      <c r="Y35" s="140"/>
    </row>
    <row r="36" spans="1:25" s="22" customFormat="1" x14ac:dyDescent="0.35">
      <c r="A36" s="155">
        <v>15</v>
      </c>
      <c r="B36" s="497" t="s">
        <v>291</v>
      </c>
      <c r="C36" s="498"/>
      <c r="D36" s="498"/>
      <c r="E36" s="498"/>
      <c r="F36" s="499"/>
      <c r="G36" s="157">
        <f>'As-Filed Schedule 1'!E35</f>
        <v>0</v>
      </c>
      <c r="H36" s="263">
        <f>SUMIFS(Adjustments!$G:$G,Adjustments!$H:$H,"1",Adjustments!$I:$I,$G$9,Adjustments!$J:$J,$A36)</f>
        <v>0</v>
      </c>
      <c r="I36" s="274">
        <f t="shared" ref="I36:I38" si="41">SUM(G36:H36)</f>
        <v>0</v>
      </c>
      <c r="J36" s="157">
        <f>'As-Filed Schedule 1'!F35</f>
        <v>128854.1</v>
      </c>
      <c r="K36" s="263">
        <f>SUMIFS(Adjustments!$G:$G,Adjustments!$H:$H,"1",Adjustments!$I:$I,$J$9,Adjustments!$J:$J,$A36)</f>
        <v>0</v>
      </c>
      <c r="L36" s="274">
        <f t="shared" ref="L36:L38" si="42">SUM(J36:K36)</f>
        <v>128854.1</v>
      </c>
      <c r="M36" s="157">
        <f>'As-Filed Schedule 1'!G35</f>
        <v>2568280.8199999998</v>
      </c>
      <c r="N36" s="263">
        <f>SUMIFS(Adjustments!$G:$G,Adjustments!$H:$H,"1",Adjustments!$I:$I,$M$9,Adjustments!$J:$J,$A36)</f>
        <v>0</v>
      </c>
      <c r="O36" s="274">
        <f t="shared" ref="O36:O38" si="43">SUM(M36:N36)</f>
        <v>2568280.8199999998</v>
      </c>
      <c r="P36" s="157">
        <f>'As-Filed Schedule 1'!H35</f>
        <v>2925</v>
      </c>
      <c r="Q36" s="263">
        <f>SUMIFS(Adjustments!$G:$G,Adjustments!$H:$H,"1",Adjustments!$I:$I,$P$9,Adjustments!$J:$J,$A36)</f>
        <v>0</v>
      </c>
      <c r="R36" s="274">
        <f t="shared" ref="R36:R38" si="44">SUM(P36:Q36)</f>
        <v>2925</v>
      </c>
      <c r="S36" s="157">
        <f>'As-Filed Schedule 1'!I35</f>
        <v>0</v>
      </c>
      <c r="T36" s="263">
        <f>SUMIFS(Adjustments!$G:$G,Adjustments!$H:$H,"1",Adjustments!$I:$I,$S$9,Adjustments!$J:$J,$A36)</f>
        <v>0</v>
      </c>
      <c r="U36" s="274">
        <f>SUM(S36:T36)</f>
        <v>0</v>
      </c>
      <c r="V36" s="160">
        <f t="shared" ref="V36:V39" si="45">SUM(G36,J36,M36,P36,S36)</f>
        <v>2700059.92</v>
      </c>
      <c r="W36" s="266">
        <f t="shared" ref="W36:W39" si="46">SUM(,H36,K36,N36,Q36,T36)</f>
        <v>0</v>
      </c>
      <c r="X36" s="275">
        <f t="shared" ref="X36:X39" si="47">SUM(I36,L36,O36,R36,U36)</f>
        <v>2700059.92</v>
      </c>
      <c r="Y36" s="140"/>
    </row>
    <row r="37" spans="1:25" s="22" customFormat="1" x14ac:dyDescent="0.35">
      <c r="A37" s="155">
        <v>16</v>
      </c>
      <c r="B37" s="497" t="s">
        <v>226</v>
      </c>
      <c r="C37" s="498"/>
      <c r="D37" s="498"/>
      <c r="E37" s="498"/>
      <c r="F37" s="499"/>
      <c r="G37" s="157">
        <f>'As-Filed Schedule 1'!E36</f>
        <v>158511</v>
      </c>
      <c r="H37" s="263">
        <f>SUMIFS(Adjustments!$G:$G,Adjustments!$H:$H,"1",Adjustments!$I:$I,$G$9,Adjustments!$J:$J,$A37)</f>
        <v>0</v>
      </c>
      <c r="I37" s="274">
        <f t="shared" si="41"/>
        <v>158511</v>
      </c>
      <c r="J37" s="157">
        <f>'As-Filed Schedule 1'!F36</f>
        <v>1135</v>
      </c>
      <c r="K37" s="263">
        <f>SUMIFS(Adjustments!$G:$G,Adjustments!$H:$H,"1",Adjustments!$I:$I,$J$9,Adjustments!$J:$J,$A37)</f>
        <v>0</v>
      </c>
      <c r="L37" s="274">
        <f t="shared" si="42"/>
        <v>1135</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159646</v>
      </c>
      <c r="W37" s="266">
        <f t="shared" si="46"/>
        <v>0</v>
      </c>
      <c r="X37" s="275">
        <f t="shared" si="47"/>
        <v>159646</v>
      </c>
    </row>
    <row r="38" spans="1:25" s="22" customFormat="1" x14ac:dyDescent="0.35">
      <c r="A38" s="166">
        <v>17</v>
      </c>
      <c r="B38" s="497" t="s">
        <v>458</v>
      </c>
      <c r="C38" s="498"/>
      <c r="D38" s="498"/>
      <c r="E38" s="498"/>
      <c r="F38" s="499"/>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503" t="s">
        <v>225</v>
      </c>
      <c r="C39" s="504"/>
      <c r="D39" s="504"/>
      <c r="E39" s="504"/>
      <c r="F39" s="505"/>
      <c r="G39" s="160">
        <f>SUM(G36:G38)</f>
        <v>158511</v>
      </c>
      <c r="H39" s="160">
        <f t="shared" ref="H39:I39" si="49">SUM(H36:H38)</f>
        <v>0</v>
      </c>
      <c r="I39" s="160">
        <f t="shared" si="49"/>
        <v>158511</v>
      </c>
      <c r="J39" s="160">
        <f>SUM(J36:J38)</f>
        <v>129989.1</v>
      </c>
      <c r="K39" s="160">
        <f t="shared" ref="K39:L39" si="50">SUM(K36:K38)</f>
        <v>0</v>
      </c>
      <c r="L39" s="160">
        <f t="shared" si="50"/>
        <v>129989.1</v>
      </c>
      <c r="M39" s="160">
        <f t="shared" ref="M39:U39" si="51">SUM(M36:M38)</f>
        <v>2568280.8199999998</v>
      </c>
      <c r="N39" s="160">
        <f t="shared" si="51"/>
        <v>0</v>
      </c>
      <c r="O39" s="160">
        <f t="shared" si="51"/>
        <v>2568280.8199999998</v>
      </c>
      <c r="P39" s="160">
        <f t="shared" si="51"/>
        <v>2925</v>
      </c>
      <c r="Q39" s="160">
        <f t="shared" si="51"/>
        <v>0</v>
      </c>
      <c r="R39" s="160">
        <f t="shared" si="51"/>
        <v>2925</v>
      </c>
      <c r="S39" s="160">
        <f t="shared" si="51"/>
        <v>0</v>
      </c>
      <c r="T39" s="160">
        <f t="shared" si="51"/>
        <v>0</v>
      </c>
      <c r="U39" s="160">
        <f t="shared" si="51"/>
        <v>0</v>
      </c>
      <c r="V39" s="160">
        <f t="shared" si="45"/>
        <v>2859705.92</v>
      </c>
      <c r="W39" s="266">
        <f t="shared" si="46"/>
        <v>0</v>
      </c>
      <c r="X39" s="275">
        <f t="shared" si="47"/>
        <v>2859705.92</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503" t="s">
        <v>228</v>
      </c>
      <c r="C41" s="504"/>
      <c r="D41" s="504"/>
      <c r="E41" s="504"/>
      <c r="F41" s="505"/>
      <c r="G41" s="160">
        <f>G39+G33</f>
        <v>6087988.9000000004</v>
      </c>
      <c r="H41" s="160">
        <f>H39+H33</f>
        <v>-44423</v>
      </c>
      <c r="I41" s="160">
        <f>I39+I33</f>
        <v>6244198.4100000001</v>
      </c>
      <c r="J41" s="160">
        <f>J39+J33</f>
        <v>14545738.66</v>
      </c>
      <c r="K41" s="160">
        <f t="shared" ref="K41:L41" si="52">K39+K33</f>
        <v>-27274</v>
      </c>
      <c r="L41" s="160">
        <f t="shared" si="52"/>
        <v>14629414.66</v>
      </c>
      <c r="M41" s="160">
        <f>M39+M33</f>
        <v>24341544.009999998</v>
      </c>
      <c r="N41" s="160">
        <f t="shared" ref="N41" si="53">N39+N33</f>
        <v>-6773</v>
      </c>
      <c r="O41" s="160">
        <f>O39+O33</f>
        <v>24334771.009999998</v>
      </c>
      <c r="P41" s="160">
        <f>P39+P33</f>
        <v>203432.56</v>
      </c>
      <c r="Q41" s="160">
        <f t="shared" ref="Q41" si="54">Q39+Q33</f>
        <v>0</v>
      </c>
      <c r="R41" s="160">
        <f>R39+R33</f>
        <v>203432.56</v>
      </c>
      <c r="S41" s="160">
        <f>S39+S33</f>
        <v>814931.81</v>
      </c>
      <c r="T41" s="160">
        <f t="shared" ref="T41:U41" si="55">T39+T33</f>
        <v>78470</v>
      </c>
      <c r="U41" s="160">
        <f t="shared" si="55"/>
        <v>581819.30000000005</v>
      </c>
      <c r="V41" s="160">
        <f>SUM(G41,J41,M41,P41,S41)</f>
        <v>45993635.940000005</v>
      </c>
      <c r="W41" s="266">
        <f>SUM(,H41,K41,N41,Q41,T41)</f>
        <v>0</v>
      </c>
      <c r="X41" s="275">
        <f>SUM(I41,L41,O41,R41,U41)</f>
        <v>45993635.939999998</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506" t="s">
        <v>486</v>
      </c>
      <c r="B43" s="507"/>
      <c r="C43" s="507"/>
      <c r="D43" s="507"/>
      <c r="E43" s="507"/>
      <c r="F43" s="507"/>
      <c r="G43" s="507"/>
      <c r="H43" s="507"/>
      <c r="I43" s="507"/>
      <c r="J43" s="507"/>
      <c r="K43" s="507"/>
      <c r="L43" s="507"/>
      <c r="M43" s="507"/>
      <c r="N43" s="507"/>
      <c r="O43" s="507"/>
      <c r="P43" s="507"/>
      <c r="Q43" s="507"/>
      <c r="R43" s="507"/>
      <c r="S43" s="507"/>
      <c r="T43" s="507"/>
      <c r="U43" s="507"/>
      <c r="V43" s="507"/>
      <c r="W43" s="507"/>
      <c r="X43" s="508"/>
      <c r="Y43" s="140"/>
    </row>
    <row r="44" spans="1:25" s="22" customFormat="1" x14ac:dyDescent="0.35">
      <c r="A44" s="155">
        <v>20</v>
      </c>
      <c r="B44" s="497" t="s">
        <v>282</v>
      </c>
      <c r="C44" s="498"/>
      <c r="D44" s="498"/>
      <c r="E44" s="498"/>
      <c r="F44" s="499"/>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497" t="s">
        <v>229</v>
      </c>
      <c r="C45" s="498"/>
      <c r="D45" s="498"/>
      <c r="E45" s="498"/>
      <c r="F45" s="499"/>
      <c r="G45" s="157">
        <f>'As-Filed Schedule 1'!E44</f>
        <v>0</v>
      </c>
      <c r="H45" s="263">
        <f>SUMIFS(Adjustments!$G:$G,Adjustments!$H:$H,"1",Adjustments!$I:$I,$G$9,Adjustments!$J:$J,$A45)</f>
        <v>0</v>
      </c>
      <c r="I45" s="274">
        <f>SUM(G45:H45)</f>
        <v>0</v>
      </c>
      <c r="J45" s="157">
        <f>'As-Filed Schedule 1'!F44</f>
        <v>46736.43</v>
      </c>
      <c r="K45" s="263">
        <f>SUMIFS(Adjustments!$G:$G,Adjustments!$H:$H,"1",Adjustments!$I:$I,$J$9,Adjustments!$J:$J,$A45)</f>
        <v>0</v>
      </c>
      <c r="L45" s="274">
        <f t="shared" si="56"/>
        <v>46736.43</v>
      </c>
      <c r="M45" s="157">
        <f>'As-Filed Schedule 1'!G44</f>
        <v>50856.27</v>
      </c>
      <c r="N45" s="263">
        <f>SUMIFS(Adjustments!$G:$G,Adjustments!$H:$H,"1",Adjustments!$I:$I,$M$9,Adjustments!$J:$J,$A45)</f>
        <v>0</v>
      </c>
      <c r="O45" s="274">
        <f t="shared" si="57"/>
        <v>50856.27</v>
      </c>
      <c r="P45" s="157">
        <f>'As-Filed Schedule 1'!H44</f>
        <v>0</v>
      </c>
      <c r="Q45" s="263">
        <f>SUMIFS(Adjustments!$G:$G,Adjustments!$H:$H,"1",Adjustments!$I:$I,$P$9,Adjustments!$J:$J,$A45)</f>
        <v>0</v>
      </c>
      <c r="R45" s="274">
        <f t="shared" si="58"/>
        <v>0</v>
      </c>
      <c r="S45" s="157">
        <f>'As-Filed Schedule 1'!I44</f>
        <v>0</v>
      </c>
      <c r="T45" s="263">
        <f>SUMIFS(Adjustments!$G:$G,Adjustments!$H:$H,"1",Adjustments!$I:$I,$S$9,Adjustments!$J:$J,$A45)</f>
        <v>0</v>
      </c>
      <c r="U45" s="274">
        <f t="shared" si="59"/>
        <v>0</v>
      </c>
      <c r="V45" s="160">
        <f t="shared" si="60"/>
        <v>97592.7</v>
      </c>
      <c r="W45" s="266">
        <f t="shared" si="61"/>
        <v>0</v>
      </c>
      <c r="X45" s="275">
        <f t="shared" si="62"/>
        <v>97592.7</v>
      </c>
      <c r="Y45" s="140"/>
    </row>
    <row r="46" spans="1:25" s="22" customFormat="1" x14ac:dyDescent="0.35">
      <c r="A46" s="155">
        <v>22</v>
      </c>
      <c r="B46" s="497" t="s">
        <v>287</v>
      </c>
      <c r="C46" s="498"/>
      <c r="D46" s="498"/>
      <c r="E46" s="498"/>
      <c r="F46" s="499"/>
      <c r="G46" s="157">
        <f>'As-Filed Schedule 1'!E45</f>
        <v>0</v>
      </c>
      <c r="H46" s="263">
        <f>SUMIFS(Adjustments!$G:$G,Adjustments!$H:$H,"1",Adjustments!$I:$I,$G$9,Adjustments!$J:$J,$A46)</f>
        <v>0</v>
      </c>
      <c r="I46" s="274">
        <f t="shared" ref="I46" si="63">SUM(G46:H46)</f>
        <v>0</v>
      </c>
      <c r="J46" s="157">
        <f>'As-Filed Schedule 1'!F45</f>
        <v>14537.73</v>
      </c>
      <c r="K46" s="263">
        <f>SUMIFS(Adjustments!$G:$G,Adjustments!$H:$H,"1",Adjustments!$I:$I,$J$9,Adjustments!$J:$J,$A46)</f>
        <v>0</v>
      </c>
      <c r="L46" s="274">
        <f t="shared" si="56"/>
        <v>14537.73</v>
      </c>
      <c r="M46" s="157">
        <f>'As-Filed Schedule 1'!G45</f>
        <v>1491492.56</v>
      </c>
      <c r="N46" s="263">
        <f>SUMIFS(Adjustments!$G:$G,Adjustments!$H:$H,"1",Adjustments!$I:$I,$M$9,Adjustments!$J:$J,$A46)</f>
        <v>0</v>
      </c>
      <c r="O46" s="274">
        <f t="shared" si="57"/>
        <v>1491492.56</v>
      </c>
      <c r="P46" s="157">
        <f>'As-Filed Schedule 1'!H45</f>
        <v>0</v>
      </c>
      <c r="Q46" s="263">
        <f>SUMIFS(Adjustments!$G:$G,Adjustments!$H:$H,"1",Adjustments!$I:$I,$P$9,Adjustments!$J:$J,$A46)</f>
        <v>0</v>
      </c>
      <c r="R46" s="274">
        <f t="shared" si="58"/>
        <v>0</v>
      </c>
      <c r="S46" s="157">
        <f>'As-Filed Schedule 1'!I45</f>
        <v>0</v>
      </c>
      <c r="T46" s="263">
        <f>SUMIFS(Adjustments!$G:$G,Adjustments!$H:$H,"1",Adjustments!$I:$I,$S$9,Adjustments!$J:$J,$A46)</f>
        <v>0</v>
      </c>
      <c r="U46" s="274">
        <f t="shared" si="59"/>
        <v>0</v>
      </c>
      <c r="V46" s="160">
        <f t="shared" si="60"/>
        <v>1506030.29</v>
      </c>
      <c r="W46" s="266">
        <f t="shared" si="61"/>
        <v>0</v>
      </c>
      <c r="X46" s="275">
        <f t="shared" si="62"/>
        <v>1506030.29</v>
      </c>
      <c r="Y46" s="140"/>
    </row>
    <row r="47" spans="1:25" s="22" customFormat="1" x14ac:dyDescent="0.35">
      <c r="A47" s="155">
        <v>23</v>
      </c>
      <c r="B47" s="497" t="s">
        <v>283</v>
      </c>
      <c r="C47" s="498"/>
      <c r="D47" s="498"/>
      <c r="E47" s="498"/>
      <c r="F47" s="499"/>
      <c r="G47" s="157">
        <f>'As-Filed Schedule 1'!E46</f>
        <v>0</v>
      </c>
      <c r="H47" s="263">
        <f>SUMIFS(Adjustments!$G:$G,Adjustments!$H:$H,"1",Adjustments!$I:$I,$G$9,Adjustments!$J:$J,$A47)</f>
        <v>0</v>
      </c>
      <c r="I47" s="274">
        <f>SUM(G47:H47)</f>
        <v>0</v>
      </c>
      <c r="J47" s="157">
        <f>'As-Filed Schedule 1'!F46</f>
        <v>0</v>
      </c>
      <c r="K47" s="263">
        <f>SUMIFS(Adjustments!$G:$G,Adjustments!$H:$H,"1",Adjustments!$I:$I,$J$9,Adjustments!$J:$J,$A47)</f>
        <v>0</v>
      </c>
      <c r="L47" s="274">
        <f t="shared" si="56"/>
        <v>0</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0</v>
      </c>
      <c r="W47" s="266">
        <f t="shared" si="61"/>
        <v>0</v>
      </c>
      <c r="X47" s="275">
        <f t="shared" si="62"/>
        <v>0</v>
      </c>
      <c r="Y47" s="140"/>
    </row>
    <row r="48" spans="1:25" s="22" customFormat="1" x14ac:dyDescent="0.35">
      <c r="A48" s="155">
        <v>24</v>
      </c>
      <c r="B48" s="497" t="s">
        <v>313</v>
      </c>
      <c r="C48" s="498"/>
      <c r="D48" s="498"/>
      <c r="E48" s="498"/>
      <c r="F48" s="499"/>
      <c r="G48" s="157">
        <f>'As-Filed Schedule 1'!E47</f>
        <v>0</v>
      </c>
      <c r="H48" s="263">
        <f>SUMIFS(Adjustments!$G:$G,Adjustments!$H:$H,"1",Adjustments!$I:$I,$G$9,Adjustments!$J:$J,$A48)</f>
        <v>0</v>
      </c>
      <c r="I48" s="274">
        <f>SUM(G48:H48)</f>
        <v>0</v>
      </c>
      <c r="J48" s="157">
        <f>'As-Filed Schedule 1'!F47</f>
        <v>14.96</v>
      </c>
      <c r="K48" s="263">
        <f>SUMIFS(Adjustments!$G:$G,Adjustments!$H:$H,"1",Adjustments!$I:$I,$J$9,Adjustments!$J:$J,$A48)</f>
        <v>0</v>
      </c>
      <c r="L48" s="274">
        <f t="shared" si="56"/>
        <v>14.96</v>
      </c>
      <c r="M48" s="157">
        <f>'As-Filed Schedule 1'!G47</f>
        <v>642735.18000000005</v>
      </c>
      <c r="N48" s="263">
        <f>SUMIFS(Adjustments!$G:$G,Adjustments!$H:$H,"1",Adjustments!$I:$I,$M$9,Adjustments!$J:$J,$A48)</f>
        <v>0</v>
      </c>
      <c r="O48" s="274">
        <f t="shared" si="57"/>
        <v>642735.18000000005</v>
      </c>
      <c r="P48" s="157">
        <f>'As-Filed Schedule 1'!H47</f>
        <v>0</v>
      </c>
      <c r="Q48" s="263">
        <f>SUMIFS(Adjustments!$G:$G,Adjustments!$H:$H,"1",Adjustments!$I:$I,$P$9,Adjustments!$J:$J,$A48)</f>
        <v>0</v>
      </c>
      <c r="R48" s="274">
        <f t="shared" si="58"/>
        <v>0</v>
      </c>
      <c r="S48" s="157">
        <f>'As-Filed Schedule 1'!I47</f>
        <v>0</v>
      </c>
      <c r="T48" s="263">
        <f>SUMIFS(Adjustments!$G:$G,Adjustments!$H:$H,"1",Adjustments!$I:$I,$S$9,Adjustments!$J:$J,$A48)</f>
        <v>0</v>
      </c>
      <c r="U48" s="274">
        <f t="shared" si="59"/>
        <v>0</v>
      </c>
      <c r="V48" s="160">
        <f t="shared" si="60"/>
        <v>642750.14</v>
      </c>
      <c r="W48" s="266">
        <f>SUM(,H48,K48,N48,Q48,T48)</f>
        <v>0</v>
      </c>
      <c r="X48" s="275">
        <f t="shared" si="62"/>
        <v>642750.14</v>
      </c>
      <c r="Y48" s="140"/>
    </row>
    <row r="49" spans="1:25" s="22" customFormat="1" x14ac:dyDescent="0.35">
      <c r="A49" s="155">
        <v>25</v>
      </c>
      <c r="B49" s="497" t="s">
        <v>774</v>
      </c>
      <c r="C49" s="498"/>
      <c r="D49" s="498"/>
      <c r="E49" s="498"/>
      <c r="F49" s="499"/>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78" t="s">
        <v>451</v>
      </c>
      <c r="C50" s="579"/>
      <c r="D50" s="579"/>
      <c r="E50" s="579"/>
      <c r="F50" s="580"/>
      <c r="G50" s="157">
        <f>'As-Filed Schedule 1'!E49</f>
        <v>-473687</v>
      </c>
      <c r="H50" s="263">
        <f>SUMIFS(Adjustments!$G:$G,Adjustments!$H:$H,"1",Adjustments!$I:$I,$G$9,Adjustments!$J:$J,$A50)</f>
        <v>0</v>
      </c>
      <c r="I50" s="274">
        <f>SUM(G50:H50)</f>
        <v>-473687</v>
      </c>
      <c r="J50" s="157">
        <f>'As-Filed Schedule 1'!F49</f>
        <v>489982.2</v>
      </c>
      <c r="K50" s="263">
        <f>SUMIFS(Adjustments!$G:$G,Adjustments!$H:$H,"1",Adjustments!$I:$I,$J$9,Adjustments!$J:$J,$A50)</f>
        <v>0</v>
      </c>
      <c r="L50" s="274">
        <f t="shared" si="56"/>
        <v>489982.2</v>
      </c>
      <c r="M50" s="157">
        <f>'As-Filed Schedule 1'!G49</f>
        <v>1271357.83</v>
      </c>
      <c r="N50" s="263">
        <f>SUMIFS(Adjustments!$G:$G,Adjustments!$H:$H,"1",Adjustments!$I:$I,$M$9,Adjustments!$J:$J,$A50)</f>
        <v>0</v>
      </c>
      <c r="O50" s="274">
        <f t="shared" si="57"/>
        <v>1271357.83</v>
      </c>
      <c r="P50" s="157">
        <f>'As-Filed Schedule 1'!H49</f>
        <v>67058.67</v>
      </c>
      <c r="Q50" s="263">
        <f>SUMIFS(Adjustments!$G:$G,Adjustments!$H:$H,"1",Adjustments!$I:$I,$P$9,Adjustments!$J:$J,$A50)</f>
        <v>0</v>
      </c>
      <c r="R50" s="274">
        <f t="shared" si="58"/>
        <v>67058.67</v>
      </c>
      <c r="S50" s="157">
        <f>'As-Filed Schedule 1'!I49</f>
        <v>0</v>
      </c>
      <c r="T50" s="263">
        <f>SUMIFS(Adjustments!$G:$G,Adjustments!$H:$H,"1",Adjustments!$I:$I,$S$9,Adjustments!$J:$J,$A50)</f>
        <v>0</v>
      </c>
      <c r="U50" s="274">
        <f t="shared" si="59"/>
        <v>0</v>
      </c>
      <c r="V50" s="160">
        <f t="shared" si="60"/>
        <v>1354711.7</v>
      </c>
      <c r="W50" s="266">
        <f t="shared" si="61"/>
        <v>0</v>
      </c>
      <c r="X50" s="275">
        <f t="shared" si="62"/>
        <v>1354711.7</v>
      </c>
      <c r="Y50" s="140"/>
    </row>
    <row r="51" spans="1:25" s="22" customFormat="1" x14ac:dyDescent="0.35">
      <c r="A51" s="155">
        <v>27</v>
      </c>
      <c r="B51" s="503" t="s">
        <v>237</v>
      </c>
      <c r="C51" s="504"/>
      <c r="D51" s="504"/>
      <c r="E51" s="504"/>
      <c r="F51" s="505"/>
      <c r="G51" s="160">
        <f t="shared" ref="G51:U51" si="70">SUM(G44:G50)</f>
        <v>-473687</v>
      </c>
      <c r="H51" s="160">
        <f t="shared" si="70"/>
        <v>0</v>
      </c>
      <c r="I51" s="160">
        <f t="shared" si="70"/>
        <v>-473687</v>
      </c>
      <c r="J51" s="160">
        <f t="shared" si="70"/>
        <v>551271.32000000007</v>
      </c>
      <c r="K51" s="160">
        <f t="shared" si="70"/>
        <v>0</v>
      </c>
      <c r="L51" s="160">
        <f t="shared" si="70"/>
        <v>551271.32000000007</v>
      </c>
      <c r="M51" s="160">
        <f t="shared" si="70"/>
        <v>3456441.8400000003</v>
      </c>
      <c r="N51" s="160">
        <f t="shared" si="70"/>
        <v>0</v>
      </c>
      <c r="O51" s="160">
        <f t="shared" si="70"/>
        <v>3456441.8400000003</v>
      </c>
      <c r="P51" s="160">
        <f t="shared" si="70"/>
        <v>67058.67</v>
      </c>
      <c r="Q51" s="160">
        <f t="shared" si="70"/>
        <v>0</v>
      </c>
      <c r="R51" s="160">
        <f t="shared" si="70"/>
        <v>67058.67</v>
      </c>
      <c r="S51" s="160">
        <f t="shared" si="70"/>
        <v>0</v>
      </c>
      <c r="T51" s="160">
        <f t="shared" si="70"/>
        <v>0</v>
      </c>
      <c r="U51" s="160">
        <f t="shared" si="70"/>
        <v>0</v>
      </c>
      <c r="V51" s="160">
        <f t="shared" si="60"/>
        <v>3601084.83</v>
      </c>
      <c r="W51" s="266">
        <f t="shared" si="61"/>
        <v>0</v>
      </c>
      <c r="X51" s="275">
        <f t="shared" si="62"/>
        <v>3601084.83</v>
      </c>
      <c r="Y51" s="140"/>
    </row>
    <row r="52" spans="1:25" s="22" customFormat="1" x14ac:dyDescent="0.35">
      <c r="A52" s="161"/>
      <c r="B52" s="581"/>
      <c r="C52" s="581"/>
      <c r="D52" s="581"/>
      <c r="E52" s="581"/>
      <c r="F52" s="581"/>
      <c r="G52" s="581"/>
      <c r="H52" s="581"/>
      <c r="I52" s="581"/>
      <c r="J52" s="581"/>
      <c r="K52" s="581"/>
      <c r="L52" s="581"/>
      <c r="M52" s="581"/>
      <c r="N52" s="270"/>
      <c r="O52" s="280"/>
      <c r="P52" s="164"/>
      <c r="Q52" s="267"/>
      <c r="R52" s="276"/>
      <c r="S52" s="164"/>
      <c r="T52" s="267"/>
      <c r="U52" s="276"/>
      <c r="V52" s="164"/>
      <c r="W52" s="267"/>
      <c r="X52" s="276"/>
      <c r="Y52" s="140"/>
    </row>
    <row r="53" spans="1:25" s="22" customFormat="1" x14ac:dyDescent="0.35">
      <c r="A53" s="506" t="s">
        <v>232</v>
      </c>
      <c r="B53" s="507"/>
      <c r="C53" s="507"/>
      <c r="D53" s="507"/>
      <c r="E53" s="507"/>
      <c r="F53" s="507"/>
      <c r="G53" s="507"/>
      <c r="H53" s="507"/>
      <c r="I53" s="507"/>
      <c r="J53" s="507"/>
      <c r="K53" s="507"/>
      <c r="L53" s="507"/>
      <c r="M53" s="507"/>
      <c r="N53" s="507"/>
      <c r="O53" s="507"/>
      <c r="P53" s="507"/>
      <c r="Q53" s="507"/>
      <c r="R53" s="507"/>
      <c r="S53" s="507"/>
      <c r="T53" s="507"/>
      <c r="U53" s="507"/>
      <c r="V53" s="507"/>
      <c r="W53" s="507"/>
      <c r="X53" s="508"/>
      <c r="Y53" s="140"/>
    </row>
    <row r="54" spans="1:25" s="22" customFormat="1" x14ac:dyDescent="0.35">
      <c r="A54" s="155">
        <v>28</v>
      </c>
      <c r="B54" s="497" t="s">
        <v>281</v>
      </c>
      <c r="C54" s="498"/>
      <c r="D54" s="498"/>
      <c r="E54" s="498"/>
      <c r="F54" s="499"/>
      <c r="G54" s="157">
        <f>'As-Filed Schedule 1'!E53</f>
        <v>0</v>
      </c>
      <c r="H54" s="263">
        <f>SUMIFS(Adjustments!$G:$G,Adjustments!$H:$H,"1",Adjustments!$I:$I,$G$9,Adjustments!$J:$J,$A54)</f>
        <v>0</v>
      </c>
      <c r="I54" s="274">
        <f t="shared" ref="I54:I57" si="71">SUM(G54:H54)</f>
        <v>0</v>
      </c>
      <c r="J54" s="157">
        <f>'As-Filed Schedule 1'!F53</f>
        <v>0</v>
      </c>
      <c r="K54" s="263">
        <f>SUMIFS(Adjustments!$G:$G,Adjustments!$H:$H,"1",Adjustments!$I:$I,$J$9,Adjustments!$J:$J,$A54)</f>
        <v>0</v>
      </c>
      <c r="L54" s="274">
        <f t="shared" ref="L54:L57" si="72">SUM(J54:K54)</f>
        <v>0</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0</v>
      </c>
      <c r="W54" s="266">
        <f t="shared" ref="W54:W58" si="77">SUM(,H54,K54,N54,Q54,T54)</f>
        <v>0</v>
      </c>
      <c r="X54" s="275">
        <f t="shared" ref="X54:X58" si="78">SUM(I54,L54,O54,R54,U54)</f>
        <v>0</v>
      </c>
      <c r="Y54" s="140"/>
    </row>
    <row r="55" spans="1:25" s="22" customFormat="1" x14ac:dyDescent="0.35">
      <c r="A55" s="155">
        <v>29</v>
      </c>
      <c r="B55" s="497" t="s">
        <v>293</v>
      </c>
      <c r="C55" s="498"/>
      <c r="D55" s="498"/>
      <c r="E55" s="498"/>
      <c r="F55" s="499"/>
      <c r="G55" s="157">
        <f>'As-Filed Schedule 1'!E54</f>
        <v>-125078</v>
      </c>
      <c r="H55" s="263">
        <f>SUMIFS(Adjustments!$G:$G,Adjustments!$H:$H,"1",Adjustments!$I:$I,$G$9,Adjustments!$J:$J,$A55)</f>
        <v>0</v>
      </c>
      <c r="I55" s="274">
        <f t="shared" si="71"/>
        <v>-125078</v>
      </c>
      <c r="J55" s="157">
        <f>'As-Filed Schedule 1'!F54</f>
        <v>61662.89</v>
      </c>
      <c r="K55" s="263">
        <f>SUMIFS(Adjustments!$G:$G,Adjustments!$H:$H,"1",Adjustments!$I:$I,$J$9,Adjustments!$J:$J,$A55)</f>
        <v>0</v>
      </c>
      <c r="L55" s="274">
        <f t="shared" si="72"/>
        <v>61662.89</v>
      </c>
      <c r="M55" s="157">
        <f>'As-Filed Schedule 1'!G54</f>
        <v>62620.86</v>
      </c>
      <c r="N55" s="263">
        <f>SUMIFS(Adjustments!$G:$G,Adjustments!$H:$H,"1",Adjustments!$I:$I,$M$9,Adjustments!$J:$J,$A55)</f>
        <v>0</v>
      </c>
      <c r="O55" s="274">
        <f t="shared" si="73"/>
        <v>62620.86</v>
      </c>
      <c r="P55" s="157">
        <f>'As-Filed Schedule 1'!H54</f>
        <v>793.88</v>
      </c>
      <c r="Q55" s="263">
        <f>SUMIFS(Adjustments!$G:$G,Adjustments!$H:$H,"1",Adjustments!$I:$I,$P$9,Adjustments!$J:$J,$A55)</f>
        <v>0</v>
      </c>
      <c r="R55" s="274">
        <f t="shared" si="74"/>
        <v>793.88</v>
      </c>
      <c r="S55" s="157">
        <f>'As-Filed Schedule 1'!I54</f>
        <v>0</v>
      </c>
      <c r="T55" s="263">
        <f>SUMIFS(Adjustments!$G:$G,Adjustments!$H:$H,"1",Adjustments!$I:$I,$S$9,Adjustments!$J:$J,$A55)</f>
        <v>0</v>
      </c>
      <c r="U55" s="274">
        <f t="shared" si="75"/>
        <v>0</v>
      </c>
      <c r="V55" s="160">
        <f t="shared" si="76"/>
        <v>-0.37000000000000455</v>
      </c>
      <c r="W55" s="266">
        <f t="shared" si="77"/>
        <v>0</v>
      </c>
      <c r="X55" s="275">
        <f t="shared" si="78"/>
        <v>-0.37000000000000455</v>
      </c>
      <c r="Y55" s="140"/>
    </row>
    <row r="56" spans="1:25" s="22" customFormat="1" x14ac:dyDescent="0.35">
      <c r="A56" s="155">
        <v>30</v>
      </c>
      <c r="B56" s="497" t="s">
        <v>294</v>
      </c>
      <c r="C56" s="498"/>
      <c r="D56" s="498"/>
      <c r="E56" s="498"/>
      <c r="F56" s="499"/>
      <c r="G56" s="157">
        <f>'As-Filed Schedule 1'!E55</f>
        <v>66581</v>
      </c>
      <c r="H56" s="263">
        <f>SUMIFS(Adjustments!$G:$G,Adjustments!$H:$H,"1",Adjustments!$I:$I,$G$9,Adjustments!$J:$J,$A56)</f>
        <v>0</v>
      </c>
      <c r="I56" s="274">
        <f t="shared" si="71"/>
        <v>66581</v>
      </c>
      <c r="J56" s="157">
        <f>'As-Filed Schedule 1'!F55</f>
        <v>196094.61</v>
      </c>
      <c r="K56" s="263">
        <f>SUMIFS(Adjustments!$G:$G,Adjustments!$H:$H,"1",Adjustments!$I:$I,$J$9,Adjustments!$J:$J,$A56)</f>
        <v>0</v>
      </c>
      <c r="L56" s="274">
        <f t="shared" si="72"/>
        <v>196094.61</v>
      </c>
      <c r="M56" s="157">
        <f>'As-Filed Schedule 1'!G55</f>
        <v>51000.130000000005</v>
      </c>
      <c r="N56" s="263">
        <f>SUMIFS(Adjustments!$G:$G,Adjustments!$H:$H,"1",Adjustments!$I:$I,$M$9,Adjustments!$J:$J,$A56)</f>
        <v>0</v>
      </c>
      <c r="O56" s="274">
        <f t="shared" si="73"/>
        <v>51000.130000000005</v>
      </c>
      <c r="P56" s="157">
        <f>'As-Filed Schedule 1'!H55</f>
        <v>0</v>
      </c>
      <c r="Q56" s="263">
        <f>SUMIFS(Adjustments!$G:$G,Adjustments!$H:$H,"1",Adjustments!$I:$I,$P$9,Adjustments!$J:$J,$A56)</f>
        <v>0</v>
      </c>
      <c r="R56" s="274">
        <f t="shared" si="74"/>
        <v>0</v>
      </c>
      <c r="S56" s="157">
        <f>'As-Filed Schedule 1'!I55</f>
        <v>0</v>
      </c>
      <c r="T56" s="263">
        <f>SUMIFS(Adjustments!$G:$G,Adjustments!$H:$H,"1",Adjustments!$I:$I,$S$9,Adjustments!$J:$J,$A56)</f>
        <v>0</v>
      </c>
      <c r="U56" s="274">
        <f t="shared" si="75"/>
        <v>0</v>
      </c>
      <c r="V56" s="160">
        <f t="shared" si="76"/>
        <v>313675.74</v>
      </c>
      <c r="W56" s="266">
        <f t="shared" si="77"/>
        <v>0</v>
      </c>
      <c r="X56" s="275">
        <f t="shared" si="78"/>
        <v>313675.74</v>
      </c>
      <c r="Y56" s="140"/>
    </row>
    <row r="57" spans="1:25" s="22" customFormat="1" x14ac:dyDescent="0.35">
      <c r="A57" s="155">
        <v>31</v>
      </c>
      <c r="B57" s="497" t="s">
        <v>295</v>
      </c>
      <c r="C57" s="498"/>
      <c r="D57" s="498"/>
      <c r="E57" s="498"/>
      <c r="F57" s="499"/>
      <c r="G57" s="157">
        <f>'As-Filed Schedule 1'!E56</f>
        <v>251116</v>
      </c>
      <c r="H57" s="263">
        <f>SUMIFS(Adjustments!$G:$G,Adjustments!$H:$H,"1",Adjustments!$I:$I,$G$9,Adjustments!$J:$J,$A57)</f>
        <v>0</v>
      </c>
      <c r="I57" s="274">
        <f t="shared" si="71"/>
        <v>251116</v>
      </c>
      <c r="J57" s="157">
        <f>'As-Filed Schedule 1'!F56</f>
        <v>170460.89</v>
      </c>
      <c r="K57" s="263">
        <f>SUMIFS(Adjustments!$G:$G,Adjustments!$H:$H,"1",Adjustments!$I:$I,$J$9,Adjustments!$J:$J,$A57)</f>
        <v>0</v>
      </c>
      <c r="L57" s="274">
        <f t="shared" si="72"/>
        <v>170460.89</v>
      </c>
      <c r="M57" s="157">
        <f>'As-Filed Schedule 1'!G56</f>
        <v>158303.35</v>
      </c>
      <c r="N57" s="263">
        <f>SUMIFS(Adjustments!$G:$G,Adjustments!$H:$H,"1",Adjustments!$I:$I,$M$9,Adjustments!$J:$J,$A57)</f>
        <v>0</v>
      </c>
      <c r="O57" s="274">
        <f t="shared" si="73"/>
        <v>158303.35</v>
      </c>
      <c r="P57" s="157">
        <f>'As-Filed Schedule 1'!H56</f>
        <v>1837.27</v>
      </c>
      <c r="Q57" s="263">
        <f>SUMIFS(Adjustments!$G:$G,Adjustments!$H:$H,"1",Adjustments!$I:$I,$P$9,Adjustments!$J:$J,$A57)</f>
        <v>0</v>
      </c>
      <c r="R57" s="274">
        <f t="shared" si="74"/>
        <v>1837.27</v>
      </c>
      <c r="S57" s="157">
        <f>'As-Filed Schedule 1'!I56</f>
        <v>6725</v>
      </c>
      <c r="T57" s="263">
        <f>SUMIFS(Adjustments!$G:$G,Adjustments!$H:$H,"1",Adjustments!$I:$I,$S$9,Adjustments!$J:$J,$A57)</f>
        <v>0</v>
      </c>
      <c r="U57" s="274">
        <f t="shared" si="75"/>
        <v>6725</v>
      </c>
      <c r="V57" s="160">
        <f t="shared" si="76"/>
        <v>588442.51</v>
      </c>
      <c r="W57" s="266">
        <f t="shared" si="77"/>
        <v>0</v>
      </c>
      <c r="X57" s="275">
        <f t="shared" si="78"/>
        <v>588442.51</v>
      </c>
      <c r="Y57" s="140"/>
    </row>
    <row r="58" spans="1:25" s="22" customFormat="1" x14ac:dyDescent="0.35">
      <c r="A58" s="155">
        <v>32</v>
      </c>
      <c r="B58" s="503" t="s">
        <v>230</v>
      </c>
      <c r="C58" s="504"/>
      <c r="D58" s="504"/>
      <c r="E58" s="504"/>
      <c r="F58" s="505"/>
      <c r="G58" s="160">
        <f>SUM(G54:G57)</f>
        <v>192619</v>
      </c>
      <c r="H58" s="160">
        <f t="shared" ref="H58:I58" si="79">SUM(H54:H57)</f>
        <v>0</v>
      </c>
      <c r="I58" s="160">
        <f t="shared" si="79"/>
        <v>192619</v>
      </c>
      <c r="J58" s="160">
        <f>SUM(J54:J57)</f>
        <v>428218.39</v>
      </c>
      <c r="K58" s="160">
        <f t="shared" ref="K58:L58" si="80">SUM(K54:K57)</f>
        <v>0</v>
      </c>
      <c r="L58" s="160">
        <f t="shared" si="80"/>
        <v>428218.39</v>
      </c>
      <c r="M58" s="160">
        <f>SUM(M54:M57)</f>
        <v>271924.34000000003</v>
      </c>
      <c r="N58" s="160">
        <f t="shared" ref="N58:O58" si="81">SUM(N54:N57)</f>
        <v>0</v>
      </c>
      <c r="O58" s="160">
        <f t="shared" si="81"/>
        <v>271924.34000000003</v>
      </c>
      <c r="P58" s="160">
        <f>SUM(P54:P57)</f>
        <v>2631.15</v>
      </c>
      <c r="Q58" s="160">
        <f t="shared" ref="Q58:R58" si="82">SUM(Q54:Q57)</f>
        <v>0</v>
      </c>
      <c r="R58" s="160">
        <f t="shared" si="82"/>
        <v>2631.15</v>
      </c>
      <c r="S58" s="160">
        <f>SUM(S54:S57)</f>
        <v>6725</v>
      </c>
      <c r="T58" s="160">
        <f t="shared" ref="T58:U58" si="83">SUM(T54:T57)</f>
        <v>0</v>
      </c>
      <c r="U58" s="160">
        <f t="shared" si="83"/>
        <v>6725</v>
      </c>
      <c r="V58" s="160">
        <f t="shared" si="76"/>
        <v>902117.88</v>
      </c>
      <c r="W58" s="266">
        <f t="shared" si="77"/>
        <v>0</v>
      </c>
      <c r="X58" s="275">
        <f t="shared" si="78"/>
        <v>902117.88</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506" t="s">
        <v>231</v>
      </c>
      <c r="B60" s="507"/>
      <c r="C60" s="507"/>
      <c r="D60" s="507"/>
      <c r="E60" s="507"/>
      <c r="F60" s="507"/>
      <c r="G60" s="507"/>
      <c r="H60" s="507"/>
      <c r="I60" s="507"/>
      <c r="J60" s="507"/>
      <c r="K60" s="507"/>
      <c r="L60" s="507"/>
      <c r="M60" s="507"/>
      <c r="N60" s="507"/>
      <c r="O60" s="507"/>
      <c r="P60" s="507"/>
      <c r="Q60" s="507"/>
      <c r="R60" s="507"/>
      <c r="S60" s="507"/>
      <c r="T60" s="507"/>
      <c r="U60" s="507"/>
      <c r="V60" s="507"/>
      <c r="W60" s="507"/>
      <c r="X60" s="508"/>
      <c r="Y60" s="140"/>
    </row>
    <row r="61" spans="1:25" s="22" customFormat="1" x14ac:dyDescent="0.35">
      <c r="A61" s="155">
        <v>33</v>
      </c>
      <c r="B61" s="578" t="s">
        <v>296</v>
      </c>
      <c r="C61" s="579"/>
      <c r="D61" s="579"/>
      <c r="E61" s="579"/>
      <c r="F61" s="580"/>
      <c r="G61" s="157">
        <f>'As-Filed Schedule 1'!E60</f>
        <v>292264</v>
      </c>
      <c r="H61" s="263">
        <f>SUMIFS(Adjustments!$G:$G,Adjustments!$H:$H,"1",Adjustments!$I:$I,$G$9,Adjustments!$J:$J,$A61)</f>
        <v>0</v>
      </c>
      <c r="I61" s="274">
        <f t="shared" ref="I61:I67" si="84">SUM(G61:H61)</f>
        <v>292264</v>
      </c>
      <c r="J61" s="157">
        <f>'As-Filed Schedule 1'!F60</f>
        <v>663929</v>
      </c>
      <c r="K61" s="263">
        <f>SUMIFS(Adjustments!$G:$G,Adjustments!$H:$H,"1",Adjustments!$I:$I,$J$9,Adjustments!$J:$J,$A61)</f>
        <v>0</v>
      </c>
      <c r="L61" s="274">
        <f t="shared" ref="L61:L67" si="85">SUM(J61:K61)</f>
        <v>663929</v>
      </c>
      <c r="M61" s="157">
        <f>'As-Filed Schedule 1'!G60</f>
        <v>3131106</v>
      </c>
      <c r="N61" s="263">
        <f>SUMIFS(Adjustments!$G:$G,Adjustments!$H:$H,"1",Adjustments!$I:$I,$M$9,Adjustments!$J:$J,$A61)</f>
        <v>0</v>
      </c>
      <c r="O61" s="274">
        <f t="shared" ref="O61:O67" si="86">SUM(M61:N61)</f>
        <v>3131106</v>
      </c>
      <c r="P61" s="157">
        <f>'As-Filed Schedule 1'!H60</f>
        <v>12670</v>
      </c>
      <c r="Q61" s="263">
        <f>SUMIFS(Adjustments!$G:$G,Adjustments!$H:$H,"1",Adjustments!$I:$I,$P$9,Adjustments!$J:$J,$A61)</f>
        <v>0</v>
      </c>
      <c r="R61" s="274">
        <f t="shared" ref="R61:R67" si="87">SUM(P61:Q61)</f>
        <v>12670</v>
      </c>
      <c r="S61" s="157">
        <f>'As-Filed Schedule 1'!I60</f>
        <v>340080</v>
      </c>
      <c r="T61" s="263">
        <f>SUMIFS(Adjustments!$G:$G,Adjustments!$H:$H,"1",Adjustments!$I:$I,$S$9,Adjustments!$J:$J,$A61)</f>
        <v>0</v>
      </c>
      <c r="U61" s="274">
        <f t="shared" ref="U61:U67" si="88">SUM(S61:T61)</f>
        <v>340080</v>
      </c>
      <c r="V61" s="160">
        <f t="shared" ref="V61:V68" si="89">SUM(G61,J61,M61,P61,S61)</f>
        <v>4440049</v>
      </c>
      <c r="W61" s="266">
        <f t="shared" ref="W61:W68" si="90">SUM(,H61,K61,N61,Q61,T61)</f>
        <v>0</v>
      </c>
      <c r="X61" s="275">
        <f t="shared" ref="X61:X68" si="91">SUM(I61,L61,O61,R61,U61)</f>
        <v>4440049</v>
      </c>
      <c r="Y61" s="140"/>
    </row>
    <row r="62" spans="1:25" s="22" customFormat="1" x14ac:dyDescent="0.35">
      <c r="A62" s="155">
        <v>34</v>
      </c>
      <c r="B62" s="578" t="s">
        <v>297</v>
      </c>
      <c r="C62" s="579"/>
      <c r="D62" s="579"/>
      <c r="E62" s="579"/>
      <c r="F62" s="580"/>
      <c r="G62" s="157">
        <f>'As-Filed Schedule 1'!E61</f>
        <v>394289</v>
      </c>
      <c r="H62" s="263">
        <f>SUMIFS(Adjustments!$G:$G,Adjustments!$H:$H,"1",Adjustments!$I:$I,$G$9,Adjustments!$J:$J,$A62)</f>
        <v>0</v>
      </c>
      <c r="I62" s="274">
        <f t="shared" si="84"/>
        <v>394289</v>
      </c>
      <c r="J62" s="157">
        <f>'As-Filed Schedule 1'!F61</f>
        <v>67927.199999999997</v>
      </c>
      <c r="K62" s="263">
        <f>SUMIFS(Adjustments!$G:$G,Adjustments!$H:$H,"1",Adjustments!$I:$I,$J$9,Adjustments!$J:$J,$A62)</f>
        <v>0</v>
      </c>
      <c r="L62" s="274">
        <f t="shared" si="85"/>
        <v>67927.199999999997</v>
      </c>
      <c r="M62" s="157">
        <f>'As-Filed Schedule 1'!G61</f>
        <v>158494.91</v>
      </c>
      <c r="N62" s="263">
        <f>SUMIFS(Adjustments!$G:$G,Adjustments!$H:$H,"1",Adjustments!$I:$I,$M$9,Adjustments!$J:$J,$A62)</f>
        <v>0</v>
      </c>
      <c r="O62" s="274">
        <f t="shared" si="86"/>
        <v>158494.91</v>
      </c>
      <c r="P62" s="157">
        <f>'As-Filed Schedule 1'!H61</f>
        <v>0</v>
      </c>
      <c r="Q62" s="263">
        <f>SUMIFS(Adjustments!$G:$G,Adjustments!$H:$H,"1",Adjustments!$I:$I,$P$9,Adjustments!$J:$J,$A62)</f>
        <v>0</v>
      </c>
      <c r="R62" s="274">
        <f t="shared" si="87"/>
        <v>0</v>
      </c>
      <c r="S62" s="157">
        <f>'As-Filed Schedule 1'!I61</f>
        <v>611</v>
      </c>
      <c r="T62" s="263">
        <f>SUMIFS(Adjustments!$G:$G,Adjustments!$H:$H,"1",Adjustments!$I:$I,$S$9,Adjustments!$J:$J,$A62)</f>
        <v>0</v>
      </c>
      <c r="U62" s="274">
        <f t="shared" si="88"/>
        <v>611</v>
      </c>
      <c r="V62" s="160">
        <f t="shared" si="89"/>
        <v>621322.11</v>
      </c>
      <c r="W62" s="266">
        <f t="shared" si="90"/>
        <v>0</v>
      </c>
      <c r="X62" s="275">
        <f t="shared" si="91"/>
        <v>621322.11</v>
      </c>
      <c r="Y62" s="140"/>
    </row>
    <row r="63" spans="1:25" s="22" customFormat="1" x14ac:dyDescent="0.35">
      <c r="A63" s="155">
        <v>35</v>
      </c>
      <c r="B63" s="578" t="s">
        <v>301</v>
      </c>
      <c r="C63" s="579"/>
      <c r="D63" s="579"/>
      <c r="E63" s="579"/>
      <c r="F63" s="580"/>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78" t="s">
        <v>314</v>
      </c>
      <c r="C64" s="579"/>
      <c r="D64" s="579"/>
      <c r="E64" s="579"/>
      <c r="F64" s="580"/>
      <c r="G64" s="157">
        <f>'As-Filed Schedule 1'!E63</f>
        <v>2083</v>
      </c>
      <c r="H64" s="263">
        <f>SUMIFS(Adjustments!$G:$G,Adjustments!$H:$H,"1",Adjustments!$I:$I,$G$9,Adjustments!$J:$J,$A64)</f>
        <v>0</v>
      </c>
      <c r="I64" s="274">
        <f t="shared" si="84"/>
        <v>2083</v>
      </c>
      <c r="J64" s="157">
        <f>'As-Filed Schedule 1'!F63</f>
        <v>10321.049999999999</v>
      </c>
      <c r="K64" s="263">
        <f>SUMIFS(Adjustments!$G:$G,Adjustments!$H:$H,"1",Adjustments!$I:$I,$J$9,Adjustments!$J:$J,$A64)</f>
        <v>0</v>
      </c>
      <c r="L64" s="274">
        <f t="shared" si="85"/>
        <v>10321.049999999999</v>
      </c>
      <c r="M64" s="157">
        <f>'As-Filed Schedule 1'!G63</f>
        <v>-194.42</v>
      </c>
      <c r="N64" s="263">
        <f>SUMIFS(Adjustments!$G:$G,Adjustments!$H:$H,"1",Adjustments!$I:$I,$M$9,Adjustments!$J:$J,$A64)</f>
        <v>0</v>
      </c>
      <c r="O64" s="274">
        <f t="shared" si="86"/>
        <v>-194.42</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12209.63</v>
      </c>
      <c r="W64" s="266">
        <f t="shared" si="90"/>
        <v>0</v>
      </c>
      <c r="X64" s="275">
        <f t="shared" si="91"/>
        <v>12209.63</v>
      </c>
      <c r="Y64" s="140"/>
    </row>
    <row r="65" spans="1:25" s="22" customFormat="1" x14ac:dyDescent="0.35">
      <c r="A65" s="155">
        <v>37</v>
      </c>
      <c r="B65" s="578" t="s">
        <v>315</v>
      </c>
      <c r="C65" s="579"/>
      <c r="D65" s="579"/>
      <c r="E65" s="579"/>
      <c r="F65" s="580"/>
      <c r="G65" s="157">
        <f>'As-Filed Schedule 1'!E64</f>
        <v>0</v>
      </c>
      <c r="H65" s="263">
        <f>SUMIFS(Adjustments!$G:$G,Adjustments!$H:$H,"1",Adjustments!$I:$I,$G$9,Adjustments!$J:$J,$A65)</f>
        <v>0</v>
      </c>
      <c r="I65" s="274">
        <f t="shared" si="84"/>
        <v>0</v>
      </c>
      <c r="J65" s="157">
        <f>'As-Filed Schedule 1'!F64</f>
        <v>4819</v>
      </c>
      <c r="K65" s="263">
        <f>SUMIFS(Adjustments!$G:$G,Adjustments!$H:$H,"1",Adjustments!$I:$I,$J$9,Adjustments!$J:$J,$A65)</f>
        <v>0</v>
      </c>
      <c r="L65" s="274">
        <f t="shared" si="85"/>
        <v>4819</v>
      </c>
      <c r="M65" s="157">
        <f>'As-Filed Schedule 1'!G64</f>
        <v>5693.93</v>
      </c>
      <c r="N65" s="263">
        <f>SUMIFS(Adjustments!$G:$G,Adjustments!$H:$H,"1",Adjustments!$I:$I,$M$9,Adjustments!$J:$J,$A65)</f>
        <v>0</v>
      </c>
      <c r="O65" s="274">
        <f t="shared" si="86"/>
        <v>5693.93</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10512.93</v>
      </c>
      <c r="W65" s="266">
        <f t="shared" si="90"/>
        <v>0</v>
      </c>
      <c r="X65" s="275">
        <f t="shared" si="91"/>
        <v>10512.93</v>
      </c>
      <c r="Y65" s="140"/>
    </row>
    <row r="66" spans="1:25" s="22" customFormat="1" x14ac:dyDescent="0.35">
      <c r="A66" s="155">
        <v>38</v>
      </c>
      <c r="B66" s="578" t="s">
        <v>316</v>
      </c>
      <c r="C66" s="579"/>
      <c r="D66" s="579"/>
      <c r="E66" s="579"/>
      <c r="F66" s="580"/>
      <c r="G66" s="157">
        <f>'As-Filed Schedule 1'!E65</f>
        <v>28</v>
      </c>
      <c r="H66" s="263">
        <f>SUMIFS(Adjustments!$G:$G,Adjustments!$H:$H,"1",Adjustments!$I:$I,$G$9,Adjustments!$J:$J,$A66)</f>
        <v>0</v>
      </c>
      <c r="I66" s="274">
        <f t="shared" si="84"/>
        <v>28</v>
      </c>
      <c r="J66" s="157">
        <f>'As-Filed Schedule 1'!F65</f>
        <v>155.43</v>
      </c>
      <c r="K66" s="263">
        <f>SUMIFS(Adjustments!$G:$G,Adjustments!$H:$H,"1",Adjustments!$I:$I,$J$9,Adjustments!$J:$J,$A66)</f>
        <v>0</v>
      </c>
      <c r="L66" s="274">
        <f t="shared" si="85"/>
        <v>155.43</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183.43</v>
      </c>
      <c r="W66" s="266">
        <f t="shared" si="90"/>
        <v>0</v>
      </c>
      <c r="X66" s="275">
        <f t="shared" si="91"/>
        <v>183.43</v>
      </c>
      <c r="Y66" s="140"/>
    </row>
    <row r="67" spans="1:25" s="22" customFormat="1" x14ac:dyDescent="0.35">
      <c r="A67" s="155">
        <v>39</v>
      </c>
      <c r="B67" s="578" t="s">
        <v>298</v>
      </c>
      <c r="C67" s="579"/>
      <c r="D67" s="579"/>
      <c r="E67" s="579"/>
      <c r="F67" s="580"/>
      <c r="G67" s="157">
        <f>'As-Filed Schedule 1'!E66</f>
        <v>1657</v>
      </c>
      <c r="H67" s="263">
        <f>SUMIFS(Adjustments!$G:$G,Adjustments!$H:$H,"1",Adjustments!$I:$I,$G$9,Adjustments!$J:$J,$A67)</f>
        <v>0</v>
      </c>
      <c r="I67" s="274">
        <f t="shared" si="84"/>
        <v>1657</v>
      </c>
      <c r="J67" s="157">
        <f>'As-Filed Schedule 1'!F66</f>
        <v>21829.119999999999</v>
      </c>
      <c r="K67" s="263">
        <f>SUMIFS(Adjustments!$G:$G,Adjustments!$H:$H,"1",Adjustments!$I:$I,$J$9,Adjustments!$J:$J,$A67)</f>
        <v>0</v>
      </c>
      <c r="L67" s="274">
        <f t="shared" si="85"/>
        <v>21829.119999999999</v>
      </c>
      <c r="M67" s="157">
        <f>'As-Filed Schedule 1'!G66</f>
        <v>106551.8</v>
      </c>
      <c r="N67" s="263">
        <f>SUMIFS(Adjustments!$G:$G,Adjustments!$H:$H,"1",Adjustments!$I:$I,$M$9,Adjustments!$J:$J,$A67)</f>
        <v>0</v>
      </c>
      <c r="O67" s="274">
        <f t="shared" si="86"/>
        <v>106551.8</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130037.92</v>
      </c>
      <c r="W67" s="266">
        <f t="shared" si="90"/>
        <v>0</v>
      </c>
      <c r="X67" s="275">
        <f t="shared" si="91"/>
        <v>130037.92</v>
      </c>
      <c r="Y67" s="140"/>
    </row>
    <row r="68" spans="1:25" s="22" customFormat="1" x14ac:dyDescent="0.35">
      <c r="A68" s="155">
        <v>40</v>
      </c>
      <c r="B68" s="575" t="s">
        <v>236</v>
      </c>
      <c r="C68" s="576"/>
      <c r="D68" s="576"/>
      <c r="E68" s="576"/>
      <c r="F68" s="577"/>
      <c r="G68" s="160">
        <f>SUM(G61:G67)</f>
        <v>690321</v>
      </c>
      <c r="H68" s="160">
        <f>SUM(H61:H67)</f>
        <v>0</v>
      </c>
      <c r="I68" s="160">
        <f>SUM(I61:I67)</f>
        <v>690321</v>
      </c>
      <c r="J68" s="160">
        <f>SUM(J61:J67)</f>
        <v>768980.8</v>
      </c>
      <c r="K68" s="160">
        <f t="shared" ref="K68:L68" si="92">SUM(K61:K67)</f>
        <v>0</v>
      </c>
      <c r="L68" s="160">
        <f t="shared" si="92"/>
        <v>768980.8</v>
      </c>
      <c r="M68" s="160">
        <f>SUM(M61:M67)</f>
        <v>3401652.22</v>
      </c>
      <c r="N68" s="160">
        <f t="shared" ref="N68:O68" si="93">SUM(N61:N67)</f>
        <v>0</v>
      </c>
      <c r="O68" s="160">
        <f t="shared" si="93"/>
        <v>3401652.22</v>
      </c>
      <c r="P68" s="160">
        <f>SUM(P61:P67)</f>
        <v>12670</v>
      </c>
      <c r="Q68" s="160">
        <f>SUM(Q61:Q67)</f>
        <v>0</v>
      </c>
      <c r="R68" s="160">
        <f>SUM(R61:R67)</f>
        <v>12670</v>
      </c>
      <c r="S68" s="160">
        <f>SUM(S61:S67)</f>
        <v>340691</v>
      </c>
      <c r="T68" s="160">
        <f t="shared" ref="T68:U68" si="94">SUM(T61:T67)</f>
        <v>0</v>
      </c>
      <c r="U68" s="160">
        <f t="shared" si="94"/>
        <v>340691</v>
      </c>
      <c r="V68" s="160">
        <f t="shared" si="89"/>
        <v>5214315.0200000005</v>
      </c>
      <c r="W68" s="266">
        <f t="shared" si="90"/>
        <v>0</v>
      </c>
      <c r="X68" s="275">
        <f t="shared" si="91"/>
        <v>5214315.0200000005</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506" t="s">
        <v>235</v>
      </c>
      <c r="B70" s="507"/>
      <c r="C70" s="507"/>
      <c r="D70" s="507"/>
      <c r="E70" s="507"/>
      <c r="F70" s="507"/>
      <c r="G70" s="507"/>
      <c r="H70" s="507"/>
      <c r="I70" s="507"/>
      <c r="J70" s="507"/>
      <c r="K70" s="507"/>
      <c r="L70" s="507"/>
      <c r="M70" s="507"/>
      <c r="N70" s="507"/>
      <c r="O70" s="507"/>
      <c r="P70" s="507"/>
      <c r="Q70" s="507"/>
      <c r="R70" s="507"/>
      <c r="S70" s="507"/>
      <c r="T70" s="507"/>
      <c r="U70" s="507"/>
      <c r="V70" s="507"/>
      <c r="W70" s="507"/>
      <c r="X70" s="508"/>
      <c r="Y70" s="140"/>
    </row>
    <row r="71" spans="1:25" s="22" customFormat="1" x14ac:dyDescent="0.35">
      <c r="A71" s="155">
        <v>41</v>
      </c>
      <c r="B71" s="497" t="s">
        <v>238</v>
      </c>
      <c r="C71" s="498"/>
      <c r="D71" s="498"/>
      <c r="E71" s="498"/>
      <c r="F71" s="499"/>
      <c r="G71" s="157">
        <f>'As-Filed Schedule 1'!E70</f>
        <v>152</v>
      </c>
      <c r="H71" s="263">
        <f>SUMIFS(Adjustments!$G:$G,Adjustments!$H:$H,"1",Adjustments!$I:$I,$G$9,Adjustments!$J:$J,$A71)</f>
        <v>0</v>
      </c>
      <c r="I71" s="274">
        <f t="shared" ref="I71:I78" si="95">SUM(G71:H71)</f>
        <v>152</v>
      </c>
      <c r="J71" s="157">
        <f>'As-Filed Schedule 1'!F70</f>
        <v>2352</v>
      </c>
      <c r="K71" s="263">
        <f>SUMIFS(Adjustments!$G:$G,Adjustments!$H:$H,"1",Adjustments!$I:$I,$J$9,Adjustments!$J:$J,$A71)</f>
        <v>0</v>
      </c>
      <c r="L71" s="274">
        <f t="shared" ref="L71:L78" si="96">SUM(J71:K71)</f>
        <v>2352</v>
      </c>
      <c r="M71" s="157">
        <f>'As-Filed Schedule 1'!G70</f>
        <v>0</v>
      </c>
      <c r="N71" s="263">
        <f>SUMIFS(Adjustments!$G:$G,Adjustments!$H:$H,"1",Adjustments!$I:$I,$M$9,Adjustments!$J:$J,$A71)</f>
        <v>0</v>
      </c>
      <c r="O71" s="274">
        <f t="shared" ref="O71:O78" si="97">SUM(M71:N71)</f>
        <v>0</v>
      </c>
      <c r="P71" s="157">
        <f>'As-Filed Schedule 1'!H70</f>
        <v>0</v>
      </c>
      <c r="Q71" s="263">
        <f>SUMIFS(Adjustments!$G:$G,Adjustments!$H:$H,"1",Adjustments!$I:$I,$P$9,Adjustments!$J:$J,$A71)</f>
        <v>0</v>
      </c>
      <c r="R71" s="274">
        <f t="shared" ref="R71:R78" si="98">SUM(P71:Q71)</f>
        <v>0</v>
      </c>
      <c r="S71" s="157">
        <f>'As-Filed Schedule 1'!I70</f>
        <v>0</v>
      </c>
      <c r="T71" s="263">
        <f>SUMIFS(Adjustments!$G:$G,Adjustments!$H:$H,"1",Adjustments!$I:$I,$S$9,Adjustments!$J:$J,$A71)</f>
        <v>0</v>
      </c>
      <c r="U71" s="274">
        <f t="shared" ref="U71:U78" si="99">SUM(S71:T71)</f>
        <v>0</v>
      </c>
      <c r="V71" s="160">
        <f t="shared" ref="V71:V79" si="100">SUM(G71,J71,M71,P71,S71)</f>
        <v>2504</v>
      </c>
      <c r="W71" s="266">
        <f t="shared" ref="W71:W79" si="101">SUM(,H71,K71,N71,Q71,T71)</f>
        <v>0</v>
      </c>
      <c r="X71" s="275">
        <f t="shared" ref="X71:X79" si="102">SUM(I71,L71,O71,R71,U71)</f>
        <v>2504</v>
      </c>
      <c r="Y71" s="140"/>
    </row>
    <row r="72" spans="1:25" s="22" customFormat="1" x14ac:dyDescent="0.35">
      <c r="A72" s="155">
        <v>42</v>
      </c>
      <c r="B72" s="497" t="s">
        <v>288</v>
      </c>
      <c r="C72" s="498"/>
      <c r="D72" s="498"/>
      <c r="E72" s="498"/>
      <c r="F72" s="499"/>
      <c r="G72" s="157">
        <f>'As-Filed Schedule 1'!E71</f>
        <v>108154</v>
      </c>
      <c r="H72" s="263">
        <f>SUMIFS(Adjustments!$G:$G,Adjustments!$H:$H,"1",Adjustments!$I:$I,$G$9,Adjustments!$J:$J,$A72)</f>
        <v>0</v>
      </c>
      <c r="I72" s="274">
        <f t="shared" si="95"/>
        <v>108154</v>
      </c>
      <c r="J72" s="157">
        <f>'As-Filed Schedule 1'!F71</f>
        <v>91268.73</v>
      </c>
      <c r="K72" s="263">
        <f>SUMIFS(Adjustments!$G:$G,Adjustments!$H:$H,"1",Adjustments!$I:$I,$J$9,Adjustments!$J:$J,$A72)</f>
        <v>0</v>
      </c>
      <c r="L72" s="274">
        <f t="shared" si="96"/>
        <v>91268.73</v>
      </c>
      <c r="M72" s="157">
        <f>'As-Filed Schedule 1'!G71</f>
        <v>21505.58</v>
      </c>
      <c r="N72" s="263">
        <f>SUMIFS(Adjustments!$G:$G,Adjustments!$H:$H,"1",Adjustments!$I:$I,$M$9,Adjustments!$J:$J,$A72)</f>
        <v>0</v>
      </c>
      <c r="O72" s="274">
        <f t="shared" si="97"/>
        <v>21505.58</v>
      </c>
      <c r="P72" s="157">
        <f>'As-Filed Schedule 1'!H71</f>
        <v>1354.98</v>
      </c>
      <c r="Q72" s="263">
        <f>SUMIFS(Adjustments!$G:$G,Adjustments!$H:$H,"1",Adjustments!$I:$I,$P$9,Adjustments!$J:$J,$A72)</f>
        <v>0</v>
      </c>
      <c r="R72" s="274">
        <f t="shared" si="98"/>
        <v>1354.98</v>
      </c>
      <c r="S72" s="157">
        <f>'As-Filed Schedule 1'!I71</f>
        <v>10543</v>
      </c>
      <c r="T72" s="263">
        <f>SUMIFS(Adjustments!$G:$G,Adjustments!$H:$H,"1",Adjustments!$I:$I,$S$9,Adjustments!$J:$J,$A72)</f>
        <v>0</v>
      </c>
      <c r="U72" s="274">
        <f t="shared" si="99"/>
        <v>10543</v>
      </c>
      <c r="V72" s="160">
        <f t="shared" si="100"/>
        <v>232826.29</v>
      </c>
      <c r="W72" s="266">
        <f t="shared" si="101"/>
        <v>0</v>
      </c>
      <c r="X72" s="275">
        <f t="shared" si="102"/>
        <v>232826.29</v>
      </c>
      <c r="Y72" s="140"/>
    </row>
    <row r="73" spans="1:25" s="22" customFormat="1" x14ac:dyDescent="0.35">
      <c r="A73" s="155">
        <v>43</v>
      </c>
      <c r="B73" s="497" t="s">
        <v>239</v>
      </c>
      <c r="C73" s="498"/>
      <c r="D73" s="498"/>
      <c r="E73" s="498"/>
      <c r="F73" s="499"/>
      <c r="G73" s="157">
        <f>'As-Filed Schedule 1'!E72</f>
        <v>690723</v>
      </c>
      <c r="H73" s="263">
        <f>SUMIFS(Adjustments!$G:$G,Adjustments!$H:$H,"1",Adjustments!$I:$I,$G$9,Adjustments!$J:$J,$A73)</f>
        <v>0</v>
      </c>
      <c r="I73" s="274">
        <f t="shared" si="95"/>
        <v>690723</v>
      </c>
      <c r="J73" s="157">
        <f>'As-Filed Schedule 1'!F72</f>
        <v>0</v>
      </c>
      <c r="K73" s="263">
        <f>SUMIFS(Adjustments!$G:$G,Adjustments!$H:$H,"1",Adjustments!$I:$I,$J$9,Adjustments!$J:$J,$A73)</f>
        <v>0</v>
      </c>
      <c r="L73" s="274">
        <f t="shared" si="96"/>
        <v>0</v>
      </c>
      <c r="M73" s="157">
        <f>'As-Filed Schedule 1'!G72</f>
        <v>231916</v>
      </c>
      <c r="N73" s="263">
        <f>SUMIFS(Adjustments!$G:$G,Adjustments!$H:$H,"1",Adjustments!$I:$I,$M$9,Adjustments!$J:$J,$A73)</f>
        <v>0</v>
      </c>
      <c r="O73" s="274">
        <f t="shared" si="97"/>
        <v>231916</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922639</v>
      </c>
      <c r="W73" s="266">
        <f t="shared" si="101"/>
        <v>0</v>
      </c>
      <c r="X73" s="275">
        <f t="shared" si="102"/>
        <v>922639</v>
      </c>
      <c r="Y73" s="140"/>
    </row>
    <row r="74" spans="1:25" s="22" customFormat="1" x14ac:dyDescent="0.35">
      <c r="A74" s="155">
        <v>44</v>
      </c>
      <c r="B74" s="497" t="s">
        <v>307</v>
      </c>
      <c r="C74" s="498"/>
      <c r="D74" s="498"/>
      <c r="E74" s="498"/>
      <c r="F74" s="499"/>
      <c r="G74" s="157">
        <f>'As-Filed Schedule 1'!E73</f>
        <v>11721</v>
      </c>
      <c r="H74" s="263">
        <f>SUMIFS(Adjustments!$G:$G,Adjustments!$H:$H,"1",Adjustments!$I:$I,$G$9,Adjustments!$J:$J,$A74)</f>
        <v>0</v>
      </c>
      <c r="I74" s="274">
        <f t="shared" si="95"/>
        <v>11721</v>
      </c>
      <c r="J74" s="157">
        <f>'As-Filed Schedule 1'!F73</f>
        <v>42641.55</v>
      </c>
      <c r="K74" s="263">
        <f>SUMIFS(Adjustments!$G:$G,Adjustments!$H:$H,"1",Adjustments!$I:$I,$J$9,Adjustments!$J:$J,$A74)</f>
        <v>0</v>
      </c>
      <c r="L74" s="274">
        <f t="shared" si="96"/>
        <v>42641.55</v>
      </c>
      <c r="M74" s="157">
        <f>'As-Filed Schedule 1'!G73</f>
        <v>0</v>
      </c>
      <c r="N74" s="263">
        <f>SUMIFS(Adjustments!$G:$G,Adjustments!$H:$H,"1",Adjustments!$I:$I,$M$9,Adjustments!$J:$J,$A74)</f>
        <v>0</v>
      </c>
      <c r="O74" s="274">
        <f t="shared" si="97"/>
        <v>0</v>
      </c>
      <c r="P74" s="157">
        <f>'As-Filed Schedule 1'!H73</f>
        <v>0</v>
      </c>
      <c r="Q74" s="263">
        <f>SUMIFS(Adjustments!$G:$G,Adjustments!$H:$H,"1",Adjustments!$I:$I,$P$9,Adjustments!$J:$J,$A74)</f>
        <v>0</v>
      </c>
      <c r="R74" s="274">
        <f t="shared" si="98"/>
        <v>0</v>
      </c>
      <c r="S74" s="157">
        <f>'As-Filed Schedule 1'!I73</f>
        <v>891</v>
      </c>
      <c r="T74" s="263">
        <f>SUMIFS(Adjustments!$G:$G,Adjustments!$H:$H,"1",Adjustments!$I:$I,$S$9,Adjustments!$J:$J,$A74)</f>
        <v>978</v>
      </c>
      <c r="U74" s="274">
        <f t="shared" si="99"/>
        <v>1869</v>
      </c>
      <c r="V74" s="160">
        <f t="shared" si="100"/>
        <v>55253.55</v>
      </c>
      <c r="W74" s="266">
        <f t="shared" si="101"/>
        <v>978</v>
      </c>
      <c r="X74" s="275">
        <f t="shared" si="102"/>
        <v>56231.55</v>
      </c>
      <c r="Y74" s="140"/>
    </row>
    <row r="75" spans="1:25" s="22" customFormat="1" x14ac:dyDescent="0.35">
      <c r="A75" s="155">
        <v>45</v>
      </c>
      <c r="B75" s="497" t="s">
        <v>285</v>
      </c>
      <c r="C75" s="498"/>
      <c r="D75" s="498"/>
      <c r="E75" s="498"/>
      <c r="F75" s="499"/>
      <c r="G75" s="157">
        <f>'As-Filed Schedule 1'!E74</f>
        <v>0</v>
      </c>
      <c r="H75" s="263">
        <f>SUMIFS(Adjustments!$G:$G,Adjustments!$H:$H,"1",Adjustments!$I:$I,$G$9,Adjustments!$J:$J,$A75)</f>
        <v>0</v>
      </c>
      <c r="I75" s="274">
        <f t="shared" si="95"/>
        <v>0</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0</v>
      </c>
      <c r="T75" s="263">
        <f>SUMIFS(Adjustments!$G:$G,Adjustments!$H:$H,"1",Adjustments!$I:$I,$S$9,Adjustments!$J:$J,$A75)</f>
        <v>0</v>
      </c>
      <c r="U75" s="274">
        <f t="shared" si="99"/>
        <v>0</v>
      </c>
      <c r="V75" s="160">
        <f t="shared" si="100"/>
        <v>0</v>
      </c>
      <c r="W75" s="266">
        <f t="shared" si="101"/>
        <v>0</v>
      </c>
      <c r="X75" s="275">
        <f t="shared" si="102"/>
        <v>0</v>
      </c>
      <c r="Y75" s="140"/>
    </row>
    <row r="76" spans="1:25" s="22" customFormat="1" x14ac:dyDescent="0.35">
      <c r="A76" s="155">
        <v>46</v>
      </c>
      <c r="B76" s="497" t="s">
        <v>286</v>
      </c>
      <c r="C76" s="498"/>
      <c r="D76" s="498"/>
      <c r="E76" s="498"/>
      <c r="F76" s="499"/>
      <c r="G76" s="157">
        <f>'As-Filed Schedule 1'!E75</f>
        <v>972323</v>
      </c>
      <c r="H76" s="263">
        <f>SUMIFS(Adjustments!$G:$G,Adjustments!$H:$H,"1",Adjustments!$I:$I,$G$9,Adjustments!$J:$J,$A76)</f>
        <v>0</v>
      </c>
      <c r="I76" s="274">
        <f t="shared" si="95"/>
        <v>972323</v>
      </c>
      <c r="J76" s="157">
        <f>'As-Filed Schedule 1'!F75</f>
        <v>129334.28</v>
      </c>
      <c r="K76" s="263">
        <f>SUMIFS(Adjustments!$G:$G,Adjustments!$H:$H,"1",Adjustments!$I:$I,$J$9,Adjustments!$J:$J,$A76)</f>
        <v>0</v>
      </c>
      <c r="L76" s="274">
        <f t="shared" si="96"/>
        <v>129334.28</v>
      </c>
      <c r="M76" s="157">
        <f>'As-Filed Schedule 1'!G75</f>
        <v>220100</v>
      </c>
      <c r="N76" s="263">
        <f>SUMIFS(Adjustments!$G:$G,Adjustments!$H:$H,"1",Adjustments!$I:$I,$M$9,Adjustments!$J:$J,$A76)</f>
        <v>0</v>
      </c>
      <c r="O76" s="274">
        <f t="shared" si="97"/>
        <v>220100</v>
      </c>
      <c r="P76" s="157">
        <f>'As-Filed Schedule 1'!H75</f>
        <v>0</v>
      </c>
      <c r="Q76" s="263">
        <f>SUMIFS(Adjustments!$G:$G,Adjustments!$H:$H,"1",Adjustments!$I:$I,$P$9,Adjustments!$J:$J,$A76)</f>
        <v>0</v>
      </c>
      <c r="R76" s="274">
        <f t="shared" si="98"/>
        <v>0</v>
      </c>
      <c r="S76" s="157">
        <f>'As-Filed Schedule 1'!I75</f>
        <v>0</v>
      </c>
      <c r="T76" s="263">
        <f>SUMIFS(Adjustments!$G:$G,Adjustments!$H:$H,"1",Adjustments!$I:$I,$S$9,Adjustments!$J:$J,$A76)</f>
        <v>0</v>
      </c>
      <c r="U76" s="274">
        <f t="shared" si="99"/>
        <v>0</v>
      </c>
      <c r="V76" s="160">
        <f t="shared" si="100"/>
        <v>1321757.28</v>
      </c>
      <c r="W76" s="266">
        <f t="shared" si="101"/>
        <v>0</v>
      </c>
      <c r="X76" s="275">
        <f t="shared" si="102"/>
        <v>1321757.28</v>
      </c>
      <c r="Y76" s="140"/>
    </row>
    <row r="77" spans="1:25" s="22" customFormat="1" x14ac:dyDescent="0.35">
      <c r="A77" s="155">
        <v>47</v>
      </c>
      <c r="B77" s="497" t="s">
        <v>317</v>
      </c>
      <c r="C77" s="498"/>
      <c r="D77" s="498"/>
      <c r="E77" s="498"/>
      <c r="F77" s="499"/>
      <c r="G77" s="157">
        <f>'As-Filed Schedule 1'!E76</f>
        <v>101907</v>
      </c>
      <c r="H77" s="263">
        <f>SUMIFS(Adjustments!$G:$G,Adjustments!$H:$H,"1",Adjustments!$I:$I,$G$9,Adjustments!$J:$J,$A77)</f>
        <v>0</v>
      </c>
      <c r="I77" s="274">
        <f t="shared" si="95"/>
        <v>101907</v>
      </c>
      <c r="J77" s="157">
        <f>'As-Filed Schedule 1'!F76</f>
        <v>141757.04999999999</v>
      </c>
      <c r="K77" s="263">
        <f>SUMIFS(Adjustments!$G:$G,Adjustments!$H:$H,"1",Adjustments!$I:$I,$J$9,Adjustments!$J:$J,$A77)</f>
        <v>0</v>
      </c>
      <c r="L77" s="274">
        <f t="shared" si="96"/>
        <v>141757.04999999999</v>
      </c>
      <c r="M77" s="157">
        <f>'As-Filed Schedule 1'!G76</f>
        <v>156441.63</v>
      </c>
      <c r="N77" s="263">
        <f>SUMIFS(Adjustments!$G:$G,Adjustments!$H:$H,"1",Adjustments!$I:$I,$M$9,Adjustments!$J:$J,$A77)</f>
        <v>0</v>
      </c>
      <c r="O77" s="274">
        <f t="shared" si="97"/>
        <v>156441.63</v>
      </c>
      <c r="P77" s="157">
        <f>'As-Filed Schedule 1'!H76</f>
        <v>1352.97</v>
      </c>
      <c r="Q77" s="263">
        <f>SUMIFS(Adjustments!$G:$G,Adjustments!$H:$H,"1",Adjustments!$I:$I,$P$9,Adjustments!$J:$J,$A77)</f>
        <v>0</v>
      </c>
      <c r="R77" s="274">
        <f t="shared" si="98"/>
        <v>1352.97</v>
      </c>
      <c r="S77" s="157">
        <f>'As-Filed Schedule 1'!I76</f>
        <v>0</v>
      </c>
      <c r="T77" s="263">
        <f>SUMIFS(Adjustments!$G:$G,Adjustments!$H:$H,"1",Adjustments!$I:$I,$S$9,Adjustments!$J:$J,$A77)</f>
        <v>0</v>
      </c>
      <c r="U77" s="274">
        <f t="shared" si="99"/>
        <v>0</v>
      </c>
      <c r="V77" s="160">
        <f t="shared" si="100"/>
        <v>401458.64999999997</v>
      </c>
      <c r="W77" s="266">
        <f t="shared" si="101"/>
        <v>0</v>
      </c>
      <c r="X77" s="275">
        <f t="shared" si="102"/>
        <v>401458.64999999997</v>
      </c>
      <c r="Y77" s="140"/>
    </row>
    <row r="78" spans="1:25" s="22" customFormat="1" x14ac:dyDescent="0.35">
      <c r="A78" s="155">
        <v>48</v>
      </c>
      <c r="B78" s="497" t="s">
        <v>284</v>
      </c>
      <c r="C78" s="498"/>
      <c r="D78" s="498"/>
      <c r="E78" s="498"/>
      <c r="F78" s="499"/>
      <c r="G78" s="157">
        <f>'As-Filed Schedule 1'!E77</f>
        <v>-375545</v>
      </c>
      <c r="H78" s="263">
        <f>SUMIFS(Adjustments!$G:$G,Adjustments!$H:$H,"1",Adjustments!$I:$I,$G$9,Adjustments!$J:$J,$A78)</f>
        <v>-13153</v>
      </c>
      <c r="I78" s="274">
        <f t="shared" si="95"/>
        <v>-388698</v>
      </c>
      <c r="J78" s="157">
        <f>'As-Filed Schedule 1'!F77</f>
        <v>1687745.47</v>
      </c>
      <c r="K78" s="263">
        <f>SUMIFS(Adjustments!$G:$G,Adjustments!$H:$H,"1",Adjustments!$I:$I,$J$9,Adjustments!$J:$J,$A78)</f>
        <v>0</v>
      </c>
      <c r="L78" s="274">
        <f t="shared" si="96"/>
        <v>1687745.47</v>
      </c>
      <c r="M78" s="157">
        <f>'As-Filed Schedule 1'!G77</f>
        <v>1463525.29</v>
      </c>
      <c r="N78" s="263">
        <f>SUMIFS(Adjustments!$G:$G,Adjustments!$H:$H,"1",Adjustments!$I:$I,$M$9,Adjustments!$J:$J,$A78)</f>
        <v>-978</v>
      </c>
      <c r="O78" s="274">
        <f t="shared" si="97"/>
        <v>1462547.29</v>
      </c>
      <c r="P78" s="157">
        <f>'As-Filed Schedule 1'!H77</f>
        <v>28457.84</v>
      </c>
      <c r="Q78" s="263">
        <f>SUMIFS(Adjustments!$G:$G,Adjustments!$H:$H,"1",Adjustments!$I:$I,$P$9,Adjustments!$J:$J,$A78)</f>
        <v>0</v>
      </c>
      <c r="R78" s="274">
        <f t="shared" si="98"/>
        <v>28457.84</v>
      </c>
      <c r="S78" s="157">
        <f>'As-Filed Schedule 1'!I77</f>
        <v>10995</v>
      </c>
      <c r="T78" s="263">
        <f>SUMIFS(Adjustments!$G:$G,Adjustments!$H:$H,"1",Adjustments!$I:$I,$S$9,Adjustments!$J:$J,$A78)</f>
        <v>13153</v>
      </c>
      <c r="U78" s="274">
        <f t="shared" si="99"/>
        <v>24148</v>
      </c>
      <c r="V78" s="160">
        <f t="shared" si="100"/>
        <v>2815178.5999999996</v>
      </c>
      <c r="W78" s="266">
        <f t="shared" si="101"/>
        <v>-978</v>
      </c>
      <c r="X78" s="275">
        <f t="shared" si="102"/>
        <v>2814200.5999999996</v>
      </c>
      <c r="Y78" s="140"/>
    </row>
    <row r="79" spans="1:25" s="22" customFormat="1" x14ac:dyDescent="0.35">
      <c r="A79" s="155">
        <v>49</v>
      </c>
      <c r="B79" s="503" t="s">
        <v>278</v>
      </c>
      <c r="C79" s="504"/>
      <c r="D79" s="504"/>
      <c r="E79" s="504"/>
      <c r="F79" s="505"/>
      <c r="G79" s="160">
        <f>SUM(G71:G78)</f>
        <v>1509435</v>
      </c>
      <c r="H79" s="160">
        <f t="shared" ref="H79:I79" si="103">SUM(H71:H78)</f>
        <v>-13153</v>
      </c>
      <c r="I79" s="160">
        <f t="shared" si="103"/>
        <v>1496282</v>
      </c>
      <c r="J79" s="160">
        <f t="shared" ref="J79:U79" si="104">SUM(J71:J78)</f>
        <v>2095099.08</v>
      </c>
      <c r="K79" s="160">
        <f t="shared" si="104"/>
        <v>0</v>
      </c>
      <c r="L79" s="160">
        <f t="shared" si="104"/>
        <v>2095099.08</v>
      </c>
      <c r="M79" s="160">
        <f t="shared" si="104"/>
        <v>2093488.5</v>
      </c>
      <c r="N79" s="160">
        <f t="shared" si="104"/>
        <v>-978</v>
      </c>
      <c r="O79" s="160">
        <f t="shared" si="104"/>
        <v>2092510.5</v>
      </c>
      <c r="P79" s="160">
        <f t="shared" si="104"/>
        <v>31165.79</v>
      </c>
      <c r="Q79" s="160">
        <f>SUM(Q71:Q78)</f>
        <v>0</v>
      </c>
      <c r="R79" s="160">
        <f t="shared" si="104"/>
        <v>31165.79</v>
      </c>
      <c r="S79" s="160">
        <f t="shared" si="104"/>
        <v>22429</v>
      </c>
      <c r="T79" s="160">
        <f t="shared" si="104"/>
        <v>14131</v>
      </c>
      <c r="U79" s="160">
        <f t="shared" si="104"/>
        <v>36560</v>
      </c>
      <c r="V79" s="160">
        <f t="shared" si="100"/>
        <v>5751617.3700000001</v>
      </c>
      <c r="W79" s="266">
        <f t="shared" si="101"/>
        <v>0</v>
      </c>
      <c r="X79" s="275">
        <f t="shared" si="102"/>
        <v>5751617.3700000001</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506" t="s">
        <v>302</v>
      </c>
      <c r="B81" s="507"/>
      <c r="C81" s="507"/>
      <c r="D81" s="507"/>
      <c r="E81" s="507"/>
      <c r="F81" s="507"/>
      <c r="G81" s="507"/>
      <c r="H81" s="507"/>
      <c r="I81" s="507"/>
      <c r="J81" s="507"/>
      <c r="K81" s="507"/>
      <c r="L81" s="507"/>
      <c r="M81" s="507"/>
      <c r="N81" s="507"/>
      <c r="O81" s="507"/>
      <c r="P81" s="507"/>
      <c r="Q81" s="507"/>
      <c r="R81" s="507"/>
      <c r="S81" s="507"/>
      <c r="T81" s="507"/>
      <c r="U81" s="507"/>
      <c r="V81" s="507"/>
      <c r="W81" s="507"/>
      <c r="X81" s="508"/>
      <c r="Y81" s="140"/>
    </row>
    <row r="82" spans="1:25" s="22" customFormat="1" x14ac:dyDescent="0.35">
      <c r="A82" s="155">
        <v>50</v>
      </c>
      <c r="B82" s="497" t="s">
        <v>303</v>
      </c>
      <c r="C82" s="498"/>
      <c r="D82" s="498"/>
      <c r="E82" s="498"/>
      <c r="F82" s="499"/>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97" t="s">
        <v>308</v>
      </c>
      <c r="C83" s="498"/>
      <c r="D83" s="498"/>
      <c r="E83" s="498"/>
      <c r="F83" s="499"/>
      <c r="G83" s="98"/>
      <c r="H83" s="268"/>
      <c r="I83" s="278"/>
      <c r="J83" s="98"/>
      <c r="K83" s="268"/>
      <c r="L83" s="278"/>
      <c r="M83" s="98"/>
      <c r="N83" s="268"/>
      <c r="O83" s="278"/>
      <c r="P83" s="98"/>
      <c r="Q83" s="268"/>
      <c r="R83" s="278"/>
      <c r="S83" s="157">
        <f>'As-Filed Schedule 1'!I82</f>
        <v>2500</v>
      </c>
      <c r="T83" s="263">
        <f>SUMIFS(Adjustments!$G:$G,Adjustments!$H:$H,"1",Adjustments!$I:$I,$S$9,Adjustments!$J:$J,$A83)</f>
        <v>0</v>
      </c>
      <c r="U83" s="274">
        <f t="shared" ref="U83:U85" si="106">SUM(S83:T83)</f>
        <v>2500</v>
      </c>
      <c r="V83" s="160">
        <f t="shared" si="105"/>
        <v>2500</v>
      </c>
      <c r="W83" s="266">
        <f t="shared" si="105"/>
        <v>0</v>
      </c>
      <c r="X83" s="275">
        <f t="shared" si="105"/>
        <v>2500</v>
      </c>
      <c r="Y83" s="140"/>
    </row>
    <row r="84" spans="1:25" s="22" customFormat="1" x14ac:dyDescent="0.35">
      <c r="A84" s="155">
        <v>52</v>
      </c>
      <c r="B84" s="497" t="s">
        <v>309</v>
      </c>
      <c r="C84" s="498"/>
      <c r="D84" s="498"/>
      <c r="E84" s="498"/>
      <c r="F84" s="499"/>
      <c r="G84" s="98"/>
      <c r="H84" s="268"/>
      <c r="I84" s="278"/>
      <c r="J84" s="98"/>
      <c r="K84" s="268"/>
      <c r="L84" s="278"/>
      <c r="M84" s="98"/>
      <c r="N84" s="268"/>
      <c r="O84" s="278"/>
      <c r="P84" s="98"/>
      <c r="Q84" s="268"/>
      <c r="R84" s="278"/>
      <c r="S84" s="157">
        <f>'As-Filed Schedule 1'!I83</f>
        <v>85566.42</v>
      </c>
      <c r="T84" s="263">
        <f>SUMIFS(Adjustments!$G:$G,Adjustments!$H:$H,"1",Adjustments!$I:$I,$S$9,Adjustments!$J:$J,$A84)</f>
        <v>0</v>
      </c>
      <c r="U84" s="274">
        <f>SUM(S84:T84)</f>
        <v>85566.42</v>
      </c>
      <c r="V84" s="160">
        <f t="shared" si="105"/>
        <v>85566.42</v>
      </c>
      <c r="W84" s="266">
        <f t="shared" si="105"/>
        <v>0</v>
      </c>
      <c r="X84" s="275">
        <f t="shared" si="105"/>
        <v>85566.42</v>
      </c>
      <c r="Y84" s="140"/>
    </row>
    <row r="85" spans="1:25" s="22" customFormat="1" x14ac:dyDescent="0.35">
      <c r="A85" s="155">
        <v>53</v>
      </c>
      <c r="B85" s="497" t="s">
        <v>304</v>
      </c>
      <c r="C85" s="498"/>
      <c r="D85" s="498"/>
      <c r="E85" s="498"/>
      <c r="F85" s="499"/>
      <c r="G85" s="98"/>
      <c r="H85" s="268"/>
      <c r="I85" s="278"/>
      <c r="J85" s="98"/>
      <c r="K85" s="268"/>
      <c r="L85" s="278"/>
      <c r="M85" s="98"/>
      <c r="N85" s="268"/>
      <c r="O85" s="278"/>
      <c r="P85" s="98"/>
      <c r="Q85" s="268"/>
      <c r="R85" s="278"/>
      <c r="S85" s="157">
        <f>'As-Filed Schedule 1'!I84</f>
        <v>93173.72</v>
      </c>
      <c r="T85" s="263">
        <f>SUMIFS(Adjustments!$G:$G,Adjustments!$H:$H,"1",Adjustments!$I:$I,$S$9,Adjustments!$J:$J,$A85)</f>
        <v>0</v>
      </c>
      <c r="U85" s="274">
        <f t="shared" si="106"/>
        <v>93173.72</v>
      </c>
      <c r="V85" s="160">
        <f t="shared" si="105"/>
        <v>93173.72</v>
      </c>
      <c r="W85" s="266">
        <f t="shared" si="105"/>
        <v>0</v>
      </c>
      <c r="X85" s="275">
        <f t="shared" si="105"/>
        <v>93173.72</v>
      </c>
      <c r="Y85" s="140"/>
    </row>
    <row r="86" spans="1:25" s="22" customFormat="1" x14ac:dyDescent="0.35">
      <c r="A86" s="155">
        <v>54</v>
      </c>
      <c r="B86" s="503" t="s">
        <v>305</v>
      </c>
      <c r="C86" s="504"/>
      <c r="D86" s="504"/>
      <c r="E86" s="504"/>
      <c r="F86" s="505"/>
      <c r="G86" s="160">
        <v>0</v>
      </c>
      <c r="H86" s="160">
        <v>0</v>
      </c>
      <c r="I86" s="160">
        <v>0</v>
      </c>
      <c r="J86" s="160">
        <v>0</v>
      </c>
      <c r="K86" s="160">
        <v>0</v>
      </c>
      <c r="L86" s="160">
        <v>0</v>
      </c>
      <c r="M86" s="160">
        <v>0</v>
      </c>
      <c r="N86" s="160">
        <v>0</v>
      </c>
      <c r="O86" s="160">
        <v>0</v>
      </c>
      <c r="P86" s="160">
        <v>0</v>
      </c>
      <c r="Q86" s="160">
        <v>0</v>
      </c>
      <c r="R86" s="160">
        <v>0</v>
      </c>
      <c r="S86" s="160">
        <f>SUM(S82:S85)</f>
        <v>181240.14</v>
      </c>
      <c r="T86" s="160">
        <f t="shared" ref="T86:U86" si="107">SUM(T82:T85)</f>
        <v>0</v>
      </c>
      <c r="U86" s="160">
        <f t="shared" si="107"/>
        <v>181240.14</v>
      </c>
      <c r="V86" s="160">
        <f>SUM(G86,J86,M86,P86,S86)</f>
        <v>181240.14</v>
      </c>
      <c r="W86" s="266">
        <f>SUM(H86,K86,N86,Q86,T86)</f>
        <v>0</v>
      </c>
      <c r="X86" s="275">
        <f>SUM(I86,L86,O86,R86,U86)</f>
        <v>181240.14</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506" t="s">
        <v>272</v>
      </c>
      <c r="B88" s="507"/>
      <c r="C88" s="507"/>
      <c r="D88" s="507"/>
      <c r="E88" s="507"/>
      <c r="F88" s="507"/>
      <c r="G88" s="507"/>
      <c r="H88" s="507"/>
      <c r="I88" s="507"/>
      <c r="J88" s="507"/>
      <c r="K88" s="507"/>
      <c r="L88" s="507"/>
      <c r="M88" s="507"/>
      <c r="N88" s="507"/>
      <c r="O88" s="507"/>
      <c r="P88" s="507"/>
      <c r="Q88" s="507"/>
      <c r="R88" s="507"/>
      <c r="S88" s="507"/>
      <c r="T88" s="507"/>
      <c r="U88" s="507"/>
      <c r="V88" s="507"/>
      <c r="W88" s="507"/>
      <c r="X88" s="508"/>
      <c r="Y88" s="140"/>
    </row>
    <row r="89" spans="1:25" s="22" customFormat="1" x14ac:dyDescent="0.35">
      <c r="A89" s="155">
        <v>55</v>
      </c>
      <c r="B89" s="497" t="s">
        <v>273</v>
      </c>
      <c r="C89" s="498"/>
      <c r="D89" s="498"/>
      <c r="E89" s="498"/>
      <c r="F89" s="499"/>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503" t="s">
        <v>269</v>
      </c>
      <c r="C90" s="504"/>
      <c r="D90" s="504"/>
      <c r="E90" s="504"/>
      <c r="F90" s="505"/>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503" t="s">
        <v>240</v>
      </c>
      <c r="C92" s="504"/>
      <c r="D92" s="504"/>
      <c r="E92" s="504"/>
      <c r="F92" s="505"/>
      <c r="G92" s="160">
        <f t="shared" ref="G92:U92" si="112">G79+G68+G58+G51+G41+G90+G86</f>
        <v>8006676.9000000004</v>
      </c>
      <c r="H92" s="160">
        <f t="shared" si="112"/>
        <v>-57576</v>
      </c>
      <c r="I92" s="160">
        <f>I79+I68+I58+I51+I41+I90+I86</f>
        <v>8149733.4100000001</v>
      </c>
      <c r="J92" s="160">
        <f>J79+J68+J58+J51+J41+J90+J86</f>
        <v>18389308.25</v>
      </c>
      <c r="K92" s="160">
        <f t="shared" si="112"/>
        <v>-27274</v>
      </c>
      <c r="L92" s="160">
        <f t="shared" si="112"/>
        <v>18472984.25</v>
      </c>
      <c r="M92" s="160">
        <f t="shared" si="112"/>
        <v>33565050.909999996</v>
      </c>
      <c r="N92" s="160">
        <f t="shared" si="112"/>
        <v>-7751</v>
      </c>
      <c r="O92" s="160">
        <f t="shared" si="112"/>
        <v>33557299.909999996</v>
      </c>
      <c r="P92" s="160">
        <f t="shared" si="112"/>
        <v>316958.17</v>
      </c>
      <c r="Q92" s="160">
        <f t="shared" si="112"/>
        <v>0</v>
      </c>
      <c r="R92" s="160">
        <f t="shared" si="112"/>
        <v>316958.17</v>
      </c>
      <c r="S92" s="160">
        <f t="shared" si="112"/>
        <v>1366016.9500000002</v>
      </c>
      <c r="T92" s="160">
        <f t="shared" si="112"/>
        <v>92601</v>
      </c>
      <c r="U92" s="160">
        <f t="shared" si="112"/>
        <v>1147035.44</v>
      </c>
      <c r="V92" s="160">
        <f>SUM(G92,J92,M92,P92,S92)</f>
        <v>61644011.18</v>
      </c>
      <c r="W92" s="266">
        <f>SUM(H92,K92,N92,Q92,T92)</f>
        <v>0</v>
      </c>
      <c r="X92" s="275">
        <f>SUM(I92,L92,O92,R92,U92)</f>
        <v>61644011.179999992</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97" t="s">
        <v>2</v>
      </c>
      <c r="C94" s="498"/>
      <c r="D94" s="498"/>
      <c r="E94" s="498"/>
      <c r="F94" s="499"/>
      <c r="G94" s="158">
        <f>G92*-1</f>
        <v>-8006676.9000000004</v>
      </c>
      <c r="H94" s="158">
        <f>H92*-1</f>
        <v>57576</v>
      </c>
      <c r="I94" s="149">
        <f>I92*-1</f>
        <v>-8149733.4100000001</v>
      </c>
      <c r="J94" s="157">
        <f>'As-Filed Schedule 1'!F93</f>
        <v>2745052</v>
      </c>
      <c r="K94" s="263">
        <f>SUMIFS(Adjustments!$G:$G,Adjustments!$H:$H,"1",Adjustments!$I:$I,$J$9,Adjustments!$J:$J,$A94)</f>
        <v>69265.983702368569</v>
      </c>
      <c r="L94" s="274">
        <f>SUM(J94:K94)</f>
        <v>2814317.9837023686</v>
      </c>
      <c r="M94" s="157">
        <f>'As-Filed Schedule 1'!G93</f>
        <v>5010400</v>
      </c>
      <c r="N94" s="263">
        <f>SUMIFS(Adjustments!$G:$G,Adjustments!$H:$H,"1",Adjustments!$I:$I,$M$9,Adjustments!$J:$J,$A94)</f>
        <v>101979.9422169961</v>
      </c>
      <c r="O94" s="274">
        <f>SUM(M94:N94)</f>
        <v>5112379.9422169961</v>
      </c>
      <c r="P94" s="157">
        <f>'As-Filed Schedule 1'!H93</f>
        <v>47314</v>
      </c>
      <c r="Q94" s="263">
        <f>SUMIFS(Adjustments!$G:$G,Adjustments!$H:$H,"1",Adjustments!$I:$I,$P$9,Adjustments!$J:$J,$A94)</f>
        <v>973.84561705544911</v>
      </c>
      <c r="R94" s="274">
        <f>SUM(P94:Q94)</f>
        <v>48287.845617055449</v>
      </c>
      <c r="S94" s="157">
        <f>'As-Filed Schedule 1'!I93</f>
        <v>203911</v>
      </c>
      <c r="T94" s="263">
        <f>SUMIFS(Adjustments!$G:$G,Adjustments!$H:$H,"1",Adjustments!$I:$I,$S$9,Adjustments!$J:$J,$A94)</f>
        <v>-29162.771536420594</v>
      </c>
      <c r="U94" s="274">
        <f t="shared" ref="U94" si="113">SUM(S94:T94)</f>
        <v>174748.22846357941</v>
      </c>
      <c r="V94" s="160">
        <f>SUM(,G94,J94,M94,P94,S94)</f>
        <v>9.999999962747097E-2</v>
      </c>
      <c r="W94" s="266">
        <f>SUM(H94,K94,N94,Q94,T94)</f>
        <v>200632.99999999953</v>
      </c>
      <c r="X94" s="275">
        <f>SUM(I94,L94,O94,R94,U94)</f>
        <v>0.58999999985098839</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503" t="s">
        <v>241</v>
      </c>
      <c r="C96" s="504"/>
      <c r="D96" s="504"/>
      <c r="E96" s="504"/>
      <c r="F96" s="505"/>
      <c r="G96" s="160">
        <f>G94+G92</f>
        <v>0</v>
      </c>
      <c r="H96" s="160">
        <f t="shared" ref="H96:I96" si="114">H94+H92</f>
        <v>0</v>
      </c>
      <c r="I96" s="160">
        <f t="shared" si="114"/>
        <v>0</v>
      </c>
      <c r="J96" s="160">
        <f>J94+J92</f>
        <v>21134360.25</v>
      </c>
      <c r="K96" s="160">
        <f t="shared" ref="K96" si="115">K94+K92</f>
        <v>41991.983702368569</v>
      </c>
      <c r="L96" s="160">
        <f>L94+L92</f>
        <v>21287302.233702369</v>
      </c>
      <c r="M96" s="160">
        <f t="shared" ref="M96:R96" si="116">M94+M92</f>
        <v>38575450.909999996</v>
      </c>
      <c r="N96" s="160">
        <f t="shared" si="116"/>
        <v>94228.942216996104</v>
      </c>
      <c r="O96" s="160">
        <f t="shared" si="116"/>
        <v>38669679.852216989</v>
      </c>
      <c r="P96" s="160">
        <f t="shared" si="116"/>
        <v>364272.17</v>
      </c>
      <c r="Q96" s="160">
        <f t="shared" si="116"/>
        <v>973.84561705544911</v>
      </c>
      <c r="R96" s="160">
        <f t="shared" si="116"/>
        <v>365246.01561705541</v>
      </c>
      <c r="S96" s="160">
        <f>S94+S92</f>
        <v>1569927.9500000002</v>
      </c>
      <c r="T96" s="160">
        <f t="shared" ref="T96:U96" si="117">T94+T92</f>
        <v>63438.228463579406</v>
      </c>
      <c r="U96" s="160">
        <f t="shared" si="117"/>
        <v>1321783.6684635794</v>
      </c>
      <c r="V96" s="160">
        <f>SUM(G96,J96,M96,P96,S96)</f>
        <v>61644011.280000001</v>
      </c>
      <c r="W96" s="266">
        <f>SUM(H96,K96,N96,Q96,T96)</f>
        <v>200632.99999999953</v>
      </c>
      <c r="X96" s="275">
        <f>SUM(I96,L96,O96,R96,U96)</f>
        <v>61644011.769999996</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96" t="s">
        <v>4</v>
      </c>
      <c r="C98" s="496"/>
      <c r="D98" s="170"/>
      <c r="E98" s="265"/>
      <c r="F98" s="140"/>
      <c r="G98" s="170"/>
      <c r="H98" s="265"/>
      <c r="I98" s="140"/>
      <c r="J98" s="150">
        <f>'As-Filed Schedule 1'!F97</f>
        <v>0</v>
      </c>
      <c r="K98" s="263">
        <f>SUMIFS(Adjustments!$G:$G,Adjustments!$H:$H,"1",Adjustments!$I:$I,$J$9,Adjustments!$J:$J,$A98)</f>
        <v>9221</v>
      </c>
      <c r="L98" s="274">
        <f>SUM(J98:K98)</f>
        <v>9221</v>
      </c>
      <c r="M98" s="170"/>
      <c r="N98" s="265"/>
      <c r="O98" s="140"/>
      <c r="P98" s="170"/>
      <c r="Q98" s="265"/>
      <c r="R98" s="140"/>
      <c r="S98" s="170"/>
      <c r="T98" s="265"/>
      <c r="U98" s="140"/>
      <c r="V98" s="170"/>
      <c r="W98" s="265"/>
      <c r="X98" s="140"/>
      <c r="Y98" s="140"/>
    </row>
    <row r="99" spans="1:25" s="22" customFormat="1" x14ac:dyDescent="0.35">
      <c r="A99" s="155">
        <v>61</v>
      </c>
      <c r="B99" s="496" t="s">
        <v>5</v>
      </c>
      <c r="C99" s="496"/>
      <c r="D99" s="170"/>
      <c r="E99" s="265"/>
      <c r="F99" s="140"/>
      <c r="G99" s="170"/>
      <c r="H99" s="265"/>
      <c r="I99" s="140"/>
      <c r="J99" s="158" t="str">
        <f>IFERROR(J96/J98,"")</f>
        <v/>
      </c>
      <c r="K99" s="158">
        <f t="shared" ref="K99" si="118">IFERROR(K96/K98,"")</f>
        <v>4.5539511660740235</v>
      </c>
      <c r="L99" s="158">
        <f>IFERROR(L96/L98,"")</f>
        <v>2308.5676427396561</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96" t="s">
        <v>306</v>
      </c>
      <c r="C101" s="496"/>
      <c r="D101" s="170"/>
      <c r="E101" s="265"/>
      <c r="F101" s="140"/>
      <c r="G101" s="170"/>
      <c r="H101" s="265"/>
      <c r="I101" s="140"/>
      <c r="J101" s="170"/>
      <c r="K101" s="265"/>
      <c r="L101" s="140"/>
      <c r="M101" s="170"/>
      <c r="N101" s="265"/>
      <c r="O101" s="140"/>
      <c r="P101" s="170"/>
      <c r="Q101" s="265"/>
      <c r="R101" s="140"/>
      <c r="S101" s="170"/>
      <c r="T101" s="265"/>
      <c r="U101" s="140"/>
      <c r="V101" s="157">
        <f>'As-Filed Schedule 1'!J100</f>
        <v>61644011</v>
      </c>
      <c r="W101"/>
      <c r="X101" s="274">
        <f>SUM(V101:W101)</f>
        <v>61644011</v>
      </c>
      <c r="Y101" s="140"/>
    </row>
    <row r="102" spans="1:25" s="22" customFormat="1" x14ac:dyDescent="0.35">
      <c r="A102" s="155">
        <v>63</v>
      </c>
      <c r="B102" s="496" t="s">
        <v>10</v>
      </c>
      <c r="C102" s="496"/>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1</v>
      </c>
      <c r="Y102" s="140"/>
    </row>
    <row r="103" spans="1:25" x14ac:dyDescent="0.35">
      <c r="A103" s="100"/>
      <c r="B103" s="100"/>
      <c r="C103" s="100"/>
      <c r="D103" s="100"/>
      <c r="G103" s="100"/>
      <c r="J103" s="100"/>
      <c r="M103" s="100"/>
      <c r="P103" s="100"/>
      <c r="S103" s="100"/>
      <c r="V103" s="100"/>
    </row>
    <row r="104" spans="1:25" x14ac:dyDescent="0.35">
      <c r="A104" s="155">
        <v>64</v>
      </c>
      <c r="B104" s="496" t="s">
        <v>201</v>
      </c>
      <c r="C104" s="496"/>
      <c r="D104" s="100"/>
      <c r="G104" s="172">
        <f>IFERROR(G92/SUM(J92,M92,P92,S92),"")</f>
        <v>0.14927432556963383</v>
      </c>
      <c r="H104" s="172">
        <f>IFERROR(H92/SUM(K92,N92,Q92,T92),"")</f>
        <v>-1</v>
      </c>
      <c r="I104" s="172">
        <f>IFERROR(I92/SUM(L92,O92,R92,U92),"")</f>
        <v>0.15234776035373326</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customProperties>
    <customPr name="OrphanNamesChecked" r:id="rId4"/>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773</v>
      </c>
    </row>
    <row r="2" spans="1:14" ht="21" x14ac:dyDescent="0.5">
      <c r="A2" s="2" t="s">
        <v>771</v>
      </c>
    </row>
    <row r="3" spans="1:14" ht="25" customHeight="1" x14ac:dyDescent="0.5">
      <c r="A3" s="512" t="s">
        <v>596</v>
      </c>
      <c r="B3" s="512"/>
      <c r="C3" s="512"/>
      <c r="D3" s="512"/>
      <c r="E3" s="512"/>
      <c r="F3" s="512"/>
      <c r="G3" s="512"/>
      <c r="H3" s="512"/>
      <c r="I3" s="512"/>
      <c r="J3" s="512"/>
      <c r="K3" s="512"/>
      <c r="L3" s="512"/>
    </row>
    <row r="4" spans="1:14" x14ac:dyDescent="0.35">
      <c r="J4" s="61"/>
      <c r="L4" s="130"/>
      <c r="M4" s="130"/>
      <c r="N4" s="130"/>
    </row>
    <row r="5" spans="1:14" x14ac:dyDescent="0.35">
      <c r="A5" s="1" t="s">
        <v>772</v>
      </c>
      <c r="C5" s="421" t="str">
        <f>Results!$C$6</f>
        <v>Mind Springs Health</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593</v>
      </c>
      <c r="E7" s="309" t="s">
        <v>592</v>
      </c>
      <c r="J7" s="48"/>
      <c r="L7" s="40"/>
      <c r="M7" s="40"/>
      <c r="N7" s="40"/>
    </row>
    <row r="8" spans="1:14" x14ac:dyDescent="0.35">
      <c r="A8" s="1" t="s">
        <v>263</v>
      </c>
      <c r="D8" s="117">
        <f>'As-Filed Schedule 1A'!D8</f>
        <v>221900</v>
      </c>
      <c r="E8" s="310">
        <v>332850</v>
      </c>
      <c r="F8" s="78"/>
      <c r="G8" s="48"/>
      <c r="H8" s="48"/>
      <c r="I8" s="48"/>
      <c r="J8" s="48"/>
      <c r="L8" s="40"/>
      <c r="M8" s="40"/>
      <c r="N8" s="40"/>
    </row>
    <row r="9" spans="1:14" ht="6.75" customHeight="1" x14ac:dyDescent="0.35">
      <c r="J9" s="48"/>
      <c r="L9" s="40"/>
      <c r="M9" s="40"/>
      <c r="N9" s="40"/>
    </row>
    <row r="10" spans="1:14" x14ac:dyDescent="0.35">
      <c r="A10" s="1" t="s">
        <v>264</v>
      </c>
      <c r="D10" s="77" t="s">
        <v>265</v>
      </c>
      <c r="E10" s="78"/>
      <c r="F10" s="78"/>
      <c r="J10" s="48"/>
      <c r="L10" s="40"/>
      <c r="M10" s="40"/>
      <c r="N10" s="40"/>
    </row>
    <row r="11" spans="1:14" x14ac:dyDescent="0.35">
      <c r="A11" s="1"/>
      <c r="D11" s="78"/>
      <c r="E11" s="78"/>
      <c r="F11" s="78"/>
      <c r="J11" s="48"/>
      <c r="L11" s="131"/>
    </row>
    <row r="12" spans="1:14" x14ac:dyDescent="0.35">
      <c r="A12" s="1" t="s">
        <v>266</v>
      </c>
      <c r="D12" s="48"/>
      <c r="E12" s="48"/>
      <c r="F12" s="48"/>
      <c r="L12" s="131"/>
    </row>
    <row r="13" spans="1:14" ht="15" customHeight="1" x14ac:dyDescent="0.35">
      <c r="A13" s="513" t="s">
        <v>487</v>
      </c>
      <c r="B13" s="513"/>
      <c r="C13" s="513"/>
      <c r="D13" s="513"/>
      <c r="E13" s="513"/>
      <c r="F13" s="513"/>
      <c r="G13" s="513"/>
      <c r="H13" s="513"/>
      <c r="I13" s="513"/>
      <c r="J13" s="513"/>
      <c r="K13" s="513"/>
      <c r="L13" s="62"/>
    </row>
    <row r="14" spans="1:14" ht="15" customHeight="1" x14ac:dyDescent="0.35">
      <c r="A14" s="513"/>
      <c r="B14" s="513"/>
      <c r="C14" s="513"/>
      <c r="D14" s="513"/>
      <c r="E14" s="513"/>
      <c r="F14" s="513"/>
      <c r="G14" s="513"/>
      <c r="H14" s="513"/>
      <c r="I14" s="513"/>
      <c r="J14" s="513"/>
      <c r="K14" s="513"/>
      <c r="L14" s="62"/>
    </row>
    <row r="15" spans="1:14" ht="15" customHeight="1" x14ac:dyDescent="0.35">
      <c r="A15" s="513"/>
      <c r="B15" s="513"/>
      <c r="C15" s="513"/>
      <c r="D15" s="513"/>
      <c r="E15" s="513"/>
      <c r="F15" s="513"/>
      <c r="G15" s="513"/>
      <c r="H15" s="513"/>
      <c r="I15" s="513"/>
      <c r="J15" s="513"/>
      <c r="K15" s="513"/>
      <c r="L15" s="62"/>
    </row>
    <row r="16" spans="1:14" x14ac:dyDescent="0.35">
      <c r="A16" s="513"/>
      <c r="B16" s="513"/>
      <c r="C16" s="513"/>
      <c r="D16" s="513"/>
      <c r="E16" s="513"/>
      <c r="F16" s="513"/>
      <c r="G16" s="513"/>
      <c r="H16" s="513"/>
      <c r="I16" s="513"/>
      <c r="J16" s="513"/>
      <c r="K16" s="513"/>
    </row>
    <row r="17" spans="1:27" x14ac:dyDescent="0.35">
      <c r="A17" s="174"/>
      <c r="B17" s="174"/>
      <c r="C17" s="174"/>
      <c r="D17" s="174"/>
      <c r="E17" s="174"/>
      <c r="F17" s="174"/>
      <c r="G17" s="174"/>
      <c r="H17" s="174"/>
      <c r="I17" s="174"/>
      <c r="J17" s="174"/>
      <c r="K17" s="127"/>
    </row>
    <row r="18" spans="1:27" x14ac:dyDescent="0.35">
      <c r="A18" s="174"/>
      <c r="B18" s="514">
        <v>1</v>
      </c>
      <c r="C18" s="515"/>
      <c r="D18" s="175">
        <v>2</v>
      </c>
      <c r="E18" s="175">
        <v>3</v>
      </c>
      <c r="F18" s="175">
        <v>4</v>
      </c>
      <c r="G18" s="175">
        <v>5</v>
      </c>
      <c r="H18" s="256" t="s">
        <v>565</v>
      </c>
      <c r="I18" s="257" t="s">
        <v>566</v>
      </c>
      <c r="J18" s="175">
        <v>6</v>
      </c>
      <c r="K18" s="257" t="s">
        <v>570</v>
      </c>
    </row>
    <row r="19" spans="1:27" s="4" customFormat="1" ht="58" x14ac:dyDescent="0.35">
      <c r="A19" s="176"/>
      <c r="B19" s="516" t="s">
        <v>598</v>
      </c>
      <c r="C19" s="516"/>
      <c r="D19" s="151" t="s">
        <v>599</v>
      </c>
      <c r="E19" s="151" t="s">
        <v>602</v>
      </c>
      <c r="F19" s="151" t="s">
        <v>603</v>
      </c>
      <c r="G19" s="151" t="s">
        <v>488</v>
      </c>
      <c r="H19" s="258" t="s">
        <v>600</v>
      </c>
      <c r="I19" s="259" t="s">
        <v>601</v>
      </c>
      <c r="J19" s="151" t="s">
        <v>489</v>
      </c>
      <c r="K19" s="259" t="s">
        <v>594</v>
      </c>
    </row>
    <row r="20" spans="1:27" x14ac:dyDescent="0.35">
      <c r="A20" s="177">
        <v>1</v>
      </c>
      <c r="B20" s="511" t="str">
        <f>IF('As-Filed Schedule 1A'!B20:C20=0,"",'As-Filed Schedule 1A'!B20:C20)</f>
        <v>Chief Medical Officer</v>
      </c>
      <c r="C20" s="511"/>
      <c r="D20" s="178">
        <f>IF('As-Filed Schedule 1A'!D20=0,"",'As-Filed Schedule 1A'!D20)</f>
        <v>3</v>
      </c>
      <c r="E20" s="179">
        <f>IF('As-Filed Schedule 1A'!E20=0,"",'As-Filed Schedule 1A'!E20)</f>
        <v>12</v>
      </c>
      <c r="F20" s="179">
        <f>IF('As-Filed Schedule 1A'!F20=0,"",'As-Filed Schedule 1A'!F20)</f>
        <v>1</v>
      </c>
      <c r="G20" s="180">
        <f>'As-Filed Schedule 1A'!G20</f>
        <v>433904.71</v>
      </c>
      <c r="H20" s="314">
        <f>SUMIFS(Adjustments!$G:$G,Adjustments!$H:$H,"1A",Adjustments!$I:$I,'Schedule 1A Adjustments'!$G$18,Adjustments!$J:$J,'Schedule 1A Adjustments'!A20)</f>
        <v>0</v>
      </c>
      <c r="I20" s="310">
        <f>SUM(G20:H20)</f>
        <v>433904.71</v>
      </c>
      <c r="J20" s="181">
        <f>IF(G20-$D$8&gt;0,G20-$D$8,0)</f>
        <v>212004.71000000002</v>
      </c>
      <c r="K20" s="181">
        <f>IF(I20-$E$8&gt;0,I20-$E$8,0)</f>
        <v>101054.71000000002</v>
      </c>
    </row>
    <row r="21" spans="1:27" x14ac:dyDescent="0.35">
      <c r="A21" s="177">
        <f>A20+1</f>
        <v>2</v>
      </c>
      <c r="B21" s="511" t="str">
        <f>IF('As-Filed Schedule 1A'!B21:C21=0,"",'As-Filed Schedule 1A'!B21:C21)</f>
        <v>Chief Operating Officer</v>
      </c>
      <c r="C21" s="511"/>
      <c r="D21" s="178">
        <f>IF('As-Filed Schedule 1A'!D21=0,"",'As-Filed Schedule 1A'!D21)</f>
        <v>2</v>
      </c>
      <c r="E21" s="179">
        <f>IF('As-Filed Schedule 1A'!E21=0,"",'As-Filed Schedule 1A'!E21)</f>
        <v>12</v>
      </c>
      <c r="F21" s="179">
        <f>IF('As-Filed Schedule 1A'!F21=0,"",'As-Filed Schedule 1A'!F21)</f>
        <v>1</v>
      </c>
      <c r="G21" s="180">
        <f>'As-Filed Schedule 1A'!G21</f>
        <v>311582.51</v>
      </c>
      <c r="H21" s="314">
        <f>SUMIFS(Adjustments!$G:$G,Adjustments!$H:$H,"1A",Adjustments!$I:$I,'Schedule 1A Adjustments'!$G$18,Adjustments!$J:$J,'Schedule 1A Adjustments'!A21)</f>
        <v>0</v>
      </c>
      <c r="I21" s="310">
        <f t="shared" ref="I21:I24" si="0">SUM(G21:H21)</f>
        <v>311582.51</v>
      </c>
      <c r="J21" s="181">
        <f>IF(G21-$D$8&gt;0,G21-$D$8,0)</f>
        <v>89682.510000000009</v>
      </c>
      <c r="K21" s="181">
        <f>IF(I21-$E$8&gt;0,I21-$E$8,0)</f>
        <v>0</v>
      </c>
    </row>
    <row r="22" spans="1:27" x14ac:dyDescent="0.35">
      <c r="A22" s="177">
        <f t="shared" ref="A22:A30" si="1">A21+1</f>
        <v>3</v>
      </c>
      <c r="B22" s="511" t="str">
        <f>IF('As-Filed Schedule 1A'!B22:C22=0,"",'As-Filed Schedule 1A'!B22:C22)</f>
        <v>CEO</v>
      </c>
      <c r="C22" s="511"/>
      <c r="D22" s="178">
        <f>IF('As-Filed Schedule 1A'!D22=0,"",'As-Filed Schedule 1A'!D22)</f>
        <v>2</v>
      </c>
      <c r="E22" s="179">
        <f>IF('As-Filed Schedule 1A'!E22=0,"",'As-Filed Schedule 1A'!E22)</f>
        <v>12</v>
      </c>
      <c r="F22" s="179">
        <f>IF('As-Filed Schedule 1A'!F22=0,"",'As-Filed Schedule 1A'!F22)</f>
        <v>1</v>
      </c>
      <c r="G22" s="180">
        <f>'As-Filed Schedule 1A'!G22</f>
        <v>426716.59</v>
      </c>
      <c r="H22" s="314">
        <f>SUMIFS(Adjustments!$G:$G,Adjustments!$H:$H,"1A",Adjustments!$I:$I,'Schedule 1A Adjustments'!$G$18,Adjustments!$J:$J,'Schedule 1A Adjustments'!A22)</f>
        <v>0</v>
      </c>
      <c r="I22" s="310">
        <f t="shared" si="0"/>
        <v>426716.59</v>
      </c>
      <c r="J22" s="181">
        <f>IF(G22-$D$8&gt;0,G22-$D$8,0)</f>
        <v>204816.59000000003</v>
      </c>
      <c r="K22" s="181">
        <f>IF(I22-$E$8&gt;0,I22-$E$8,0)</f>
        <v>93866.590000000026</v>
      </c>
    </row>
    <row r="23" spans="1:27" x14ac:dyDescent="0.35">
      <c r="A23" s="177">
        <f t="shared" si="1"/>
        <v>4</v>
      </c>
      <c r="B23" s="511" t="str">
        <f>IF('As-Filed Schedule 1A'!B23:C23=0,"",'As-Filed Schedule 1A'!B23:C23)</f>
        <v/>
      </c>
      <c r="C23" s="511"/>
      <c r="D23" s="178" t="str">
        <f>IF('As-Filed Schedule 1A'!D23=0,"",'As-Filed Schedule 1A'!D23)</f>
        <v/>
      </c>
      <c r="E23" s="179" t="str">
        <f>IF('As-Filed Schedule 1A'!E23=0,"",'As-Filed Schedule 1A'!E23)</f>
        <v/>
      </c>
      <c r="F23" s="179" t="str">
        <f>IF('As-Filed Schedule 1A'!F23=0,"",'As-Filed Schedule 1A'!F23)</f>
        <v/>
      </c>
      <c r="G23" s="180">
        <f>'As-Filed Schedule 1A'!G23</f>
        <v>0</v>
      </c>
      <c r="H23" s="314">
        <f>SUMIFS(Adjustments!$G:$G,Adjustments!$H:$H,"1A",Adjustments!$I:$I,'Schedule 1A Adjustments'!$G$18,Adjustments!$J:$J,'Schedule 1A Adjustments'!A23)</f>
        <v>0</v>
      </c>
      <c r="I23" s="310">
        <f t="shared" si="0"/>
        <v>0</v>
      </c>
      <c r="J23" s="181">
        <f>IF(G23-$D$8&gt;0,G23-$D$8,0)</f>
        <v>0</v>
      </c>
      <c r="K23" s="181">
        <f>IF(I23-$E$8&gt;0,I23-$E$8,0)</f>
        <v>0</v>
      </c>
    </row>
    <row r="24" spans="1:27" x14ac:dyDescent="0.35">
      <c r="A24" s="177">
        <f t="shared" si="1"/>
        <v>5</v>
      </c>
      <c r="B24" s="511" t="str">
        <f>IF('As-Filed Schedule 1A'!B24:C24=0,"",'As-Filed Schedule 1A'!B24:C24)</f>
        <v/>
      </c>
      <c r="C24" s="511"/>
      <c r="D24" s="178" t="str">
        <f>IF('As-Filed Schedule 1A'!D24=0,"",'As-Filed Schedule 1A'!D24)</f>
        <v/>
      </c>
      <c r="E24" s="179" t="str">
        <f>IF('As-Filed Schedule 1A'!E24=0,"",'As-Filed Schedule 1A'!E24)</f>
        <v/>
      </c>
      <c r="F24" s="179" t="str">
        <f>IF('As-Filed Schedule 1A'!F24=0,"",'As-Filed Schedule 1A'!F24)</f>
        <v/>
      </c>
      <c r="G24" s="180">
        <f>'As-Filed Schedule 1A'!G24</f>
        <v>0</v>
      </c>
      <c r="H24" s="314">
        <f>SUMIFS(Adjustments!$G:$G,Adjustments!$H:$H,"1A",Adjustments!$I:$I,'Schedule 1A Adjustments'!$G$18,Adjustments!$J:$J,'Schedule 1A Adjustments'!A24)</f>
        <v>0</v>
      </c>
      <c r="I24" s="310">
        <f t="shared" si="0"/>
        <v>0</v>
      </c>
      <c r="J24" s="181">
        <f>IF(G24-$D$8&gt;0,G24-$D$8,0)</f>
        <v>0</v>
      </c>
      <c r="K24" s="181">
        <f>IF(I24-$E$8&gt;0,I24-$E$8,0)</f>
        <v>0</v>
      </c>
    </row>
    <row r="25" spans="1:27" x14ac:dyDescent="0.35">
      <c r="A25" s="182">
        <f t="shared" si="1"/>
        <v>6</v>
      </c>
      <c r="B25" s="313" t="s">
        <v>597</v>
      </c>
      <c r="C25" s="100"/>
      <c r="D25" s="100"/>
      <c r="E25" s="100"/>
      <c r="F25" s="100"/>
      <c r="G25" s="100"/>
      <c r="H25" s="100"/>
      <c r="I25" s="100"/>
      <c r="J25" s="183">
        <f>SUM(J20:J24)</f>
        <v>506503.81000000006</v>
      </c>
      <c r="K25" s="183">
        <f>SUM(K20:K24)</f>
        <v>194921.30000000005</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183</v>
      </c>
      <c r="J27" s="185">
        <f>SUMIF($D$20:$D$24,2,$J$20:$J$24)</f>
        <v>294499.10000000003</v>
      </c>
      <c r="K27" s="185">
        <f>SUMIF($D$20:$D$24,2,$K$20:$K$24)</f>
        <v>93866.590000000026</v>
      </c>
    </row>
    <row r="28" spans="1:27" x14ac:dyDescent="0.35">
      <c r="A28" s="182">
        <v>8</v>
      </c>
      <c r="B28" s="100"/>
      <c r="C28" s="100"/>
      <c r="D28" s="100"/>
      <c r="E28" s="100"/>
      <c r="F28" s="100"/>
      <c r="I28" s="184" t="s">
        <v>181</v>
      </c>
      <c r="J28" s="185">
        <f>SUMIF($D$20:$D$24,3,$J$20:$J$24)</f>
        <v>212004.71000000002</v>
      </c>
      <c r="K28" s="185">
        <f>SUMIF($D$20:$D$24,3,$K$20:$K$24)</f>
        <v>101054.71000000002</v>
      </c>
    </row>
    <row r="29" spans="1:27" x14ac:dyDescent="0.35">
      <c r="A29" s="182">
        <v>9</v>
      </c>
      <c r="B29" s="100"/>
      <c r="C29" s="100"/>
      <c r="D29" s="100"/>
      <c r="E29" s="100"/>
      <c r="F29" s="100"/>
      <c r="I29" s="184" t="s">
        <v>182</v>
      </c>
      <c r="J29" s="185">
        <f>SUMIF($D$20:$D$24,4,$J$20:$J$24)</f>
        <v>0</v>
      </c>
      <c r="K29" s="185">
        <f>SUMIF($D$20:$D$24,4,$K$20:$K$24)</f>
        <v>0</v>
      </c>
    </row>
    <row r="30" spans="1:27" x14ac:dyDescent="0.35">
      <c r="A30" s="182">
        <f t="shared" si="1"/>
        <v>10</v>
      </c>
      <c r="B30" s="100"/>
      <c r="C30" s="100"/>
      <c r="D30" s="100"/>
      <c r="E30" s="100"/>
      <c r="F30" s="100"/>
      <c r="I30" s="184" t="s">
        <v>184</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268</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773</v>
      </c>
      <c r="B1" s="3"/>
      <c r="C1" s="3"/>
    </row>
    <row r="2" spans="1:29" ht="21" x14ac:dyDescent="0.5">
      <c r="A2" s="2" t="s">
        <v>771</v>
      </c>
      <c r="B2" s="2"/>
      <c r="C2" s="2"/>
    </row>
    <row r="3" spans="1:29" ht="25" customHeight="1" x14ac:dyDescent="0.5">
      <c r="A3" s="5" t="s">
        <v>756</v>
      </c>
    </row>
    <row r="5" spans="1:29" x14ac:dyDescent="0.35">
      <c r="A5" s="1" t="s">
        <v>772</v>
      </c>
      <c r="C5" s="421" t="str">
        <f>Results!$C$6</f>
        <v>Mind Springs Health</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271</v>
      </c>
      <c r="L8" s="40"/>
      <c r="P8" s="40"/>
      <c r="Q8" s="40"/>
      <c r="R8" s="40"/>
    </row>
    <row r="9" spans="1:29" ht="15" customHeight="1" x14ac:dyDescent="0.35">
      <c r="A9" s="520" t="s">
        <v>921</v>
      </c>
      <c r="B9" s="520"/>
      <c r="C9" s="520"/>
      <c r="D9" s="520"/>
      <c r="E9" s="520"/>
      <c r="F9" s="520"/>
      <c r="G9" s="520"/>
      <c r="H9" s="520"/>
      <c r="I9" s="520"/>
      <c r="J9" s="520"/>
      <c r="K9" s="520"/>
      <c r="L9" s="520"/>
      <c r="M9" s="520"/>
      <c r="N9" s="520"/>
      <c r="O9" s="64"/>
      <c r="P9" s="40"/>
      <c r="Q9" s="40"/>
      <c r="R9" s="40"/>
      <c r="Y9" s="65"/>
      <c r="Z9" s="65"/>
      <c r="AA9" s="65"/>
      <c r="AB9" s="65"/>
      <c r="AC9" s="65"/>
    </row>
    <row r="10" spans="1:29" ht="15" customHeight="1" x14ac:dyDescent="0.35">
      <c r="A10" s="520"/>
      <c r="B10" s="520"/>
      <c r="C10" s="520"/>
      <c r="D10" s="520"/>
      <c r="E10" s="520"/>
      <c r="F10" s="520"/>
      <c r="G10" s="520"/>
      <c r="H10" s="520"/>
      <c r="I10" s="520"/>
      <c r="J10" s="520"/>
      <c r="K10" s="520"/>
      <c r="L10" s="520"/>
      <c r="M10" s="520"/>
      <c r="N10" s="520"/>
      <c r="O10" s="64"/>
      <c r="P10" s="40"/>
      <c r="Q10" s="40"/>
      <c r="R10" s="40"/>
      <c r="Y10" s="65"/>
      <c r="Z10" s="65"/>
      <c r="AA10" s="65"/>
      <c r="AB10" s="65"/>
      <c r="AC10" s="65"/>
    </row>
    <row r="11" spans="1:29" x14ac:dyDescent="0.35">
      <c r="A11" s="520"/>
      <c r="B11" s="520"/>
      <c r="C11" s="520"/>
      <c r="D11" s="520"/>
      <c r="E11" s="520"/>
      <c r="F11" s="520"/>
      <c r="G11" s="520"/>
      <c r="H11" s="520"/>
      <c r="I11" s="520"/>
      <c r="J11" s="520"/>
      <c r="K11" s="520"/>
      <c r="L11" s="520"/>
      <c r="M11" s="520"/>
      <c r="N11" s="520"/>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21">
        <v>1</v>
      </c>
      <c r="C13" s="521"/>
      <c r="D13" s="175">
        <v>2</v>
      </c>
      <c r="E13" s="256" t="s">
        <v>555</v>
      </c>
      <c r="F13" s="257" t="s">
        <v>556</v>
      </c>
      <c r="G13" s="175">
        <v>3</v>
      </c>
      <c r="H13" s="256" t="s">
        <v>559</v>
      </c>
      <c r="I13" s="257" t="s">
        <v>560</v>
      </c>
      <c r="J13" s="175">
        <v>4</v>
      </c>
      <c r="K13" s="257" t="s">
        <v>564</v>
      </c>
      <c r="L13" s="175">
        <v>5</v>
      </c>
      <c r="M13" s="175">
        <v>6</v>
      </c>
      <c r="N13" s="175">
        <v>7</v>
      </c>
      <c r="O13" s="64"/>
      <c r="Y13" s="65"/>
      <c r="Z13" s="65"/>
      <c r="AA13" s="65"/>
      <c r="AB13" s="65"/>
      <c r="AC13" s="65"/>
    </row>
    <row r="14" spans="1:29" s="4" customFormat="1" ht="72.5" x14ac:dyDescent="0.35">
      <c r="A14" s="191"/>
      <c r="B14" s="516" t="s">
        <v>605</v>
      </c>
      <c r="C14" s="522"/>
      <c r="D14" s="151" t="s">
        <v>780</v>
      </c>
      <c r="E14" s="258" t="s">
        <v>781</v>
      </c>
      <c r="F14" s="259" t="s">
        <v>782</v>
      </c>
      <c r="G14" s="192" t="s">
        <v>262</v>
      </c>
      <c r="H14" s="308" t="s">
        <v>604</v>
      </c>
      <c r="I14" s="316" t="s">
        <v>591</v>
      </c>
      <c r="J14" s="151" t="s">
        <v>784</v>
      </c>
      <c r="K14" s="259" t="s">
        <v>785</v>
      </c>
      <c r="L14" s="193" t="s">
        <v>599</v>
      </c>
      <c r="M14" s="192" t="s">
        <v>606</v>
      </c>
      <c r="N14" s="151" t="s">
        <v>607</v>
      </c>
      <c r="O14" s="66"/>
      <c r="Y14" s="67"/>
      <c r="Z14" s="67"/>
      <c r="AA14" s="67"/>
      <c r="AB14" s="67"/>
      <c r="AC14" s="67"/>
    </row>
    <row r="15" spans="1:29" s="4" customFormat="1" ht="15" customHeight="1" x14ac:dyDescent="0.35">
      <c r="A15" s="182">
        <v>1</v>
      </c>
      <c r="B15" s="511" t="str">
        <f>IF('As-Filed Schedule 1C'!B15:C15=0,"",'As-Filed Schedule 1C'!B15:C15)</f>
        <v>Intercompany Lease of Property</v>
      </c>
      <c r="C15" s="511"/>
      <c r="D15" s="180">
        <f>'As-Filed Schedule 1C'!D15</f>
        <v>4167296</v>
      </c>
      <c r="E15" s="314">
        <f>SUMIFS(Adjustments!$G:$G,Adjustments!$H:$H,"1C",Adjustments!$I:$I,'Schedule 1C Adjustments'!$D$13,Adjustments!$J:$J,'Schedule 1C Adjustments'!A15)</f>
        <v>0</v>
      </c>
      <c r="F15" s="310">
        <f>SUM(D15:E15)</f>
        <v>4167296</v>
      </c>
      <c r="G15" s="180">
        <f>'As-Filed Schedule 1C'!E15</f>
        <v>4167296</v>
      </c>
      <c r="H15" s="314">
        <f>SUMIFS(Adjustments!$G:$G,Adjustments!$H:$H,"1C",Adjustments!$I:$I,'Schedule 1C Adjustments'!$G$13,Adjustments!$J:$J,'Schedule 1C Adjustments'!A15)</f>
        <v>0</v>
      </c>
      <c r="I15" s="310">
        <f>SUM(G15:H15)</f>
        <v>4167296</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11" t="str">
        <f>IF('As-Filed Schedule 1C'!B16:C16=0,"",'As-Filed Schedule 1C'!B16:C16)</f>
        <v/>
      </c>
      <c r="C16" s="511"/>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11" t="str">
        <f>IF('As-Filed Schedule 1C'!B17:C17=0,"",'As-Filed Schedule 1C'!B17:C17)</f>
        <v/>
      </c>
      <c r="C17" s="511"/>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11" t="str">
        <f>IF('As-Filed Schedule 1C'!B18:C18=0,"",'As-Filed Schedule 1C'!B18:C18)</f>
        <v/>
      </c>
      <c r="C18" s="511"/>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11" t="str">
        <f>IF('As-Filed Schedule 1C'!B19:C19=0,"",'As-Filed Schedule 1C'!B19:C19)</f>
        <v/>
      </c>
      <c r="C19" s="511"/>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11" t="str">
        <f>IF('As-Filed Schedule 1C'!B20:C20=0,"",'As-Filed Schedule 1C'!B20:C20)</f>
        <v/>
      </c>
      <c r="C20" s="511"/>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11" t="str">
        <f>IF('As-Filed Schedule 1C'!B21:C21=0,"",'As-Filed Schedule 1C'!B21:C21)</f>
        <v/>
      </c>
      <c r="C21" s="511"/>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11" t="str">
        <f>IF('As-Filed Schedule 1C'!B22:C22=0,"",'As-Filed Schedule 1C'!B22:C22)</f>
        <v/>
      </c>
      <c r="C22" s="511"/>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11" t="str">
        <f>IF('As-Filed Schedule 1C'!B23:C23=0,"",'As-Filed Schedule 1C'!B23:C23)</f>
        <v/>
      </c>
      <c r="C23" s="511"/>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11" t="str">
        <f>IF('As-Filed Schedule 1C'!B24:C24=0,"",'As-Filed Schedule 1C'!B24:C24)</f>
        <v/>
      </c>
      <c r="C24" s="511"/>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597</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183</v>
      </c>
      <c r="J27" s="185">
        <f>SUMIF($L$15:$L$24,2,$J$15:$J$24)</f>
        <v>0</v>
      </c>
      <c r="K27" s="185">
        <f>SUMIF($L$15:$L$24,2,$K$15:$K$24)</f>
        <v>0</v>
      </c>
      <c r="L27" s="191"/>
      <c r="M27" s="100"/>
      <c r="N27" s="100"/>
    </row>
    <row r="28" spans="1:29" x14ac:dyDescent="0.35">
      <c r="A28" s="182">
        <v>13</v>
      </c>
      <c r="B28" s="100"/>
      <c r="C28" s="100"/>
      <c r="D28" s="100"/>
      <c r="E28" s="100"/>
      <c r="F28" s="100"/>
      <c r="H28" s="184"/>
      <c r="I28" s="184" t="s">
        <v>181</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182</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184</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270</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19" t="s">
        <v>922</v>
      </c>
      <c r="B34" s="519"/>
      <c r="C34" s="519"/>
      <c r="D34" s="519"/>
      <c r="E34" s="519"/>
      <c r="F34" s="519"/>
      <c r="G34" s="519"/>
      <c r="H34" s="519"/>
      <c r="I34" s="519"/>
      <c r="J34" s="519"/>
      <c r="K34" s="519"/>
      <c r="L34" s="519"/>
      <c r="M34" s="519"/>
      <c r="N34" s="519"/>
      <c r="O34" s="64"/>
      <c r="Y34" s="65"/>
      <c r="Z34" s="65"/>
      <c r="AA34" s="65"/>
      <c r="AB34" s="65"/>
      <c r="AC34" s="65"/>
    </row>
    <row r="35" spans="1:29" x14ac:dyDescent="0.35">
      <c r="A35" s="519"/>
      <c r="B35" s="519"/>
      <c r="C35" s="519"/>
      <c r="D35" s="519"/>
      <c r="E35" s="519"/>
      <c r="F35" s="519"/>
      <c r="G35" s="519"/>
      <c r="H35" s="519"/>
      <c r="I35" s="519"/>
      <c r="J35" s="519"/>
      <c r="K35" s="519"/>
      <c r="L35" s="519"/>
      <c r="M35" s="519"/>
      <c r="N35" s="519"/>
      <c r="O35" s="64"/>
      <c r="Y35" s="65"/>
      <c r="Z35" s="65"/>
      <c r="AA35" s="65"/>
      <c r="AB35" s="65"/>
      <c r="AC35" s="65"/>
    </row>
    <row r="36" spans="1:29" x14ac:dyDescent="0.35">
      <c r="A36" s="519"/>
      <c r="B36" s="519"/>
      <c r="C36" s="519"/>
      <c r="D36" s="519"/>
      <c r="E36" s="519"/>
      <c r="F36" s="519"/>
      <c r="G36" s="519"/>
      <c r="H36" s="519"/>
      <c r="I36" s="519"/>
      <c r="J36" s="519"/>
      <c r="K36" s="519"/>
      <c r="L36" s="519"/>
      <c r="M36" s="519"/>
      <c r="N36" s="519"/>
      <c r="O36" s="64"/>
      <c r="Y36" s="65"/>
      <c r="Z36" s="65"/>
      <c r="AA36" s="65"/>
      <c r="AB36" s="65"/>
      <c r="AC36" s="65"/>
    </row>
    <row r="37" spans="1:29" x14ac:dyDescent="0.35">
      <c r="A37" s="519"/>
      <c r="B37" s="519"/>
      <c r="C37" s="519"/>
      <c r="D37" s="519"/>
      <c r="E37" s="519"/>
      <c r="F37" s="519"/>
      <c r="G37" s="519"/>
      <c r="H37" s="519"/>
      <c r="I37" s="519"/>
      <c r="J37" s="519"/>
      <c r="K37" s="519"/>
      <c r="L37" s="519"/>
      <c r="M37" s="519"/>
      <c r="N37" s="519"/>
      <c r="O37" s="64"/>
      <c r="Y37" s="65"/>
      <c r="Z37" s="65"/>
      <c r="AA37" s="65"/>
      <c r="AB37" s="65"/>
      <c r="AC37" s="65"/>
    </row>
    <row r="38" spans="1:29" x14ac:dyDescent="0.35">
      <c r="A38" s="519"/>
      <c r="B38" s="519"/>
      <c r="C38" s="519"/>
      <c r="D38" s="519"/>
      <c r="E38" s="519"/>
      <c r="F38" s="519"/>
      <c r="G38" s="519"/>
      <c r="H38" s="519"/>
      <c r="I38" s="519"/>
      <c r="J38" s="519"/>
      <c r="K38" s="519"/>
      <c r="L38" s="519"/>
      <c r="M38" s="519"/>
      <c r="N38" s="519"/>
      <c r="O38" s="64"/>
      <c r="Y38" s="65"/>
      <c r="Z38" s="65"/>
      <c r="AA38" s="65"/>
      <c r="AB38" s="65"/>
      <c r="AC38" s="65"/>
    </row>
    <row r="39" spans="1:29" x14ac:dyDescent="0.35">
      <c r="A39" s="519"/>
      <c r="B39" s="519"/>
      <c r="C39" s="519"/>
      <c r="D39" s="519"/>
      <c r="E39" s="519"/>
      <c r="F39" s="519"/>
      <c r="G39" s="519"/>
      <c r="H39" s="519"/>
      <c r="I39" s="519"/>
      <c r="J39" s="519"/>
      <c r="K39" s="519"/>
      <c r="L39" s="519"/>
      <c r="M39" s="519"/>
      <c r="N39" s="519"/>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election activeCell="J17" sqref="J17"/>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773</v>
      </c>
    </row>
    <row r="2" spans="1:31" ht="21" x14ac:dyDescent="0.5">
      <c r="A2" s="2" t="s">
        <v>771</v>
      </c>
    </row>
    <row r="3" spans="1:31" ht="25" customHeight="1" x14ac:dyDescent="0.5">
      <c r="A3" s="512" t="s">
        <v>755</v>
      </c>
      <c r="B3" s="512"/>
      <c r="C3" s="512"/>
      <c r="D3" s="512"/>
      <c r="E3" s="512"/>
      <c r="F3" s="512"/>
      <c r="G3" s="319"/>
      <c r="H3" s="322"/>
    </row>
    <row r="4" spans="1:31" x14ac:dyDescent="0.35">
      <c r="A4" s="48"/>
    </row>
    <row r="5" spans="1:31" x14ac:dyDescent="0.35">
      <c r="A5" s="1" t="s">
        <v>772</v>
      </c>
      <c r="C5" s="421" t="str">
        <f>Results!$C$6</f>
        <v>Mind Springs Health</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252</v>
      </c>
      <c r="B8" s="1" t="s">
        <v>610</v>
      </c>
      <c r="C8" s="1"/>
      <c r="D8" s="119" t="str">
        <f>'As-Filed Schedule 2A'!D8</f>
        <v>Yes</v>
      </c>
      <c r="E8" s="41" t="s">
        <v>258</v>
      </c>
      <c r="V8" s="40"/>
      <c r="W8" s="260"/>
      <c r="X8" s="40"/>
      <c r="Y8" s="40"/>
      <c r="Z8" s="260"/>
      <c r="AA8" s="40"/>
      <c r="AB8" s="40"/>
    </row>
    <row r="9" spans="1:31" x14ac:dyDescent="0.35">
      <c r="V9" s="130"/>
      <c r="W9" s="330"/>
      <c r="X9" s="130"/>
      <c r="Y9" s="130"/>
      <c r="Z9" s="330"/>
      <c r="AA9" s="130"/>
      <c r="AB9" s="130"/>
    </row>
    <row r="10" spans="1:31" x14ac:dyDescent="0.35">
      <c r="A10" s="1" t="s">
        <v>253</v>
      </c>
      <c r="B10" s="1" t="s">
        <v>255</v>
      </c>
      <c r="C10" s="1"/>
      <c r="V10" s="40"/>
      <c r="W10" s="260"/>
      <c r="X10" s="40"/>
      <c r="Y10" s="40"/>
      <c r="Z10" s="260"/>
      <c r="AA10" s="40"/>
      <c r="AB10" s="40"/>
    </row>
    <row r="11" spans="1:31" x14ac:dyDescent="0.35">
      <c r="A11" s="1"/>
      <c r="B11" s="323" t="s">
        <v>597</v>
      </c>
      <c r="C11" s="1"/>
      <c r="V11" s="40"/>
      <c r="W11" s="260"/>
      <c r="X11" s="40"/>
      <c r="Y11" s="40"/>
      <c r="Z11" s="260"/>
      <c r="AA11" s="40"/>
      <c r="AB11" s="40"/>
    </row>
    <row r="12" spans="1:31" x14ac:dyDescent="0.35">
      <c r="B12" s="526">
        <v>1</v>
      </c>
      <c r="C12" s="526"/>
      <c r="D12" s="526"/>
      <c r="F12" s="23">
        <v>2</v>
      </c>
      <c r="G12" s="256" t="s">
        <v>555</v>
      </c>
      <c r="H12" s="257" t="s">
        <v>556</v>
      </c>
      <c r="I12" s="23">
        <v>3</v>
      </c>
      <c r="J12" s="257" t="s">
        <v>560</v>
      </c>
      <c r="K12" s="23">
        <v>4</v>
      </c>
      <c r="L12" s="257" t="s">
        <v>613</v>
      </c>
      <c r="N12" s="23">
        <v>5</v>
      </c>
      <c r="O12" s="256" t="s">
        <v>565</v>
      </c>
      <c r="P12" s="257" t="s">
        <v>566</v>
      </c>
      <c r="Q12" s="23">
        <v>6</v>
      </c>
      <c r="R12" s="257" t="s">
        <v>570</v>
      </c>
      <c r="S12" s="23">
        <v>7</v>
      </c>
      <c r="T12" s="257" t="s">
        <v>574</v>
      </c>
      <c r="V12" s="23">
        <v>8</v>
      </c>
      <c r="W12" s="256" t="s">
        <v>615</v>
      </c>
      <c r="X12" s="257" t="s">
        <v>616</v>
      </c>
      <c r="Y12" s="23">
        <v>9</v>
      </c>
      <c r="Z12" s="256" t="s">
        <v>617</v>
      </c>
      <c r="AA12" s="257" t="s">
        <v>618</v>
      </c>
      <c r="AC12" s="40"/>
      <c r="AD12" s="40"/>
      <c r="AE12" s="40"/>
    </row>
    <row r="13" spans="1:31" x14ac:dyDescent="0.35">
      <c r="B13" s="535" t="s">
        <v>611</v>
      </c>
      <c r="C13" s="536"/>
      <c r="D13" s="537"/>
      <c r="F13" s="529" t="s">
        <v>260</v>
      </c>
      <c r="G13" s="534"/>
      <c r="H13" s="534"/>
      <c r="I13" s="534"/>
      <c r="J13" s="534"/>
      <c r="K13" s="530"/>
      <c r="L13" s="324"/>
      <c r="N13" s="529" t="s">
        <v>261</v>
      </c>
      <c r="O13" s="534"/>
      <c r="P13" s="534"/>
      <c r="Q13" s="534"/>
      <c r="R13" s="534"/>
      <c r="S13" s="530"/>
      <c r="T13" s="324"/>
      <c r="V13" s="532" t="s">
        <v>249</v>
      </c>
      <c r="W13" s="582" t="s">
        <v>619</v>
      </c>
      <c r="X13" s="584" t="s">
        <v>620</v>
      </c>
      <c r="Y13" s="532" t="s">
        <v>311</v>
      </c>
      <c r="Z13" s="582" t="s">
        <v>621</v>
      </c>
      <c r="AA13" s="584" t="s">
        <v>622</v>
      </c>
      <c r="AC13" s="40"/>
      <c r="AD13" s="40"/>
      <c r="AE13" s="40"/>
    </row>
    <row r="14" spans="1:31" ht="56.25" customHeight="1" x14ac:dyDescent="0.35">
      <c r="B14" s="538"/>
      <c r="C14" s="539"/>
      <c r="D14" s="540"/>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V14" s="533"/>
      <c r="W14" s="583"/>
      <c r="X14" s="585"/>
      <c r="Y14" s="533"/>
      <c r="Z14" s="583"/>
      <c r="AA14" s="585"/>
    </row>
    <row r="15" spans="1:31" x14ac:dyDescent="0.35">
      <c r="A15" s="24">
        <v>1</v>
      </c>
      <c r="B15" s="531" t="str">
        <f>IF('As-Filed Schedule 2A'!B15:D15=0,"",'As-Filed Schedule 2A'!B15:D15)</f>
        <v>Crisis</v>
      </c>
      <c r="C15" s="531"/>
      <c r="D15" s="531"/>
      <c r="F15" s="117">
        <f>'As-Filed Schedule 2A'!F15</f>
        <v>2492738.6040167371</v>
      </c>
      <c r="G15" s="314">
        <f>SUMIFS(Adjustments!$G:$G,Adjustments!$H:$H,"2A",Adjustments!$I:$I,'Schedule 2A Adjustments'!$F$12,Adjustments!$J:$J,'Schedule 2A Adjustments'!A15)</f>
        <v>0</v>
      </c>
      <c r="H15" s="310">
        <f>SUM(F15:G15)</f>
        <v>2492738.6040167371</v>
      </c>
      <c r="I15" s="68">
        <f>IFERROR(F15*'As-Filed Schedule 1'!$E$103,0)</f>
        <v>372101.87393598893</v>
      </c>
      <c r="J15" s="311">
        <f>IFERROR(H15*'Adjusted Schedule 1'!$E$104,0)</f>
        <v>379763.14346924145</v>
      </c>
      <c r="K15" s="68">
        <f>SUM(F15,I15)</f>
        <v>2864840.4779527262</v>
      </c>
      <c r="L15" s="311">
        <f>SUM(H15,J15)</f>
        <v>2872501.7474859785</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0</v>
      </c>
      <c r="W15" s="314">
        <f>SUMIFS(Adjustments!$G:$G,Adjustments!$H:$H,"2A",Adjustments!$I:$I,'Schedule 2A Adjustments'!$V$12,Adjustments!$J:$J,'Schedule 2A Adjustments'!A15)</f>
        <v>0</v>
      </c>
      <c r="X15" s="327">
        <f>SUM(V15:W15)</f>
        <v>0</v>
      </c>
      <c r="Y15" s="120">
        <f>'As-Filed Schedule 2A'!O15</f>
        <v>0</v>
      </c>
      <c r="Z15" s="314">
        <f>SUMIFS(Adjustments!$G:$G,Adjustments!$H:$H,"2A",Adjustments!$I:$I,'Schedule 2A Adjustments'!$Y$12,Adjustments!$J:$J,'Schedule 2A Adjustments'!A15)</f>
        <v>0</v>
      </c>
      <c r="AA15" s="327">
        <f>SUM(Y15:Z15)</f>
        <v>0</v>
      </c>
    </row>
    <row r="16" spans="1:31" x14ac:dyDescent="0.35">
      <c r="A16" s="24">
        <v>2</v>
      </c>
      <c r="B16" s="531" t="str">
        <f>IF('As-Filed Schedule 2A'!B16:D16=0,"",'As-Filed Schedule 2A'!B16:D16)</f>
        <v>Emergency Services</v>
      </c>
      <c r="C16" s="531"/>
      <c r="D16" s="531"/>
      <c r="F16" s="117">
        <f>'As-Filed Schedule 2A'!F16</f>
        <v>104095.07089315614</v>
      </c>
      <c r="G16" s="314">
        <f>SUMIFS(Adjustments!$G:$G,Adjustments!$H:$H,"2A",Adjustments!$I:$I,'Schedule 2A Adjustments'!$F$12,Adjustments!$J:$J,'Schedule 2A Adjustments'!A16)</f>
        <v>0</v>
      </c>
      <c r="H16" s="310">
        <f t="shared" ref="H16:H72" si="1">SUM(F16:G16)</f>
        <v>104095.07089315614</v>
      </c>
      <c r="I16" s="68">
        <f>IFERROR(F16*'As-Filed Schedule 1'!$E$103,0)</f>
        <v>15538.721502699103</v>
      </c>
      <c r="J16" s="311">
        <f>IFERROR(H16*'Adjusted Schedule 1'!$E$104,0)</f>
        <v>15858.650914435426</v>
      </c>
      <c r="K16" s="68">
        <f>SUM(F16,I16)</f>
        <v>119633.79239585524</v>
      </c>
      <c r="L16" s="311">
        <f t="shared" ref="L16:L72" si="2">SUM(H16,J16)</f>
        <v>119953.72180759156</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0</v>
      </c>
      <c r="W16" s="314">
        <f>SUMIFS(Adjustments!$G:$G,Adjustments!$H:$H,"2A",Adjustments!$I:$I,'Schedule 2A Adjustments'!$V$12,Adjustments!$J:$J,'Schedule 2A Adjustments'!A16)</f>
        <v>0</v>
      </c>
      <c r="X16" s="327">
        <f t="shared" ref="X16:X72" si="5">SUM(V16:W16)</f>
        <v>0</v>
      </c>
      <c r="Y16" s="120">
        <f>'As-Filed Schedule 2A'!O16</f>
        <v>0</v>
      </c>
      <c r="Z16" s="314">
        <f>SUMIFS(Adjustments!$G:$G,Adjustments!$H:$H,"2A",Adjustments!$I:$I,'Schedule 2A Adjustments'!$Y$12,Adjustments!$J:$J,'Schedule 2A Adjustments'!A16)</f>
        <v>0</v>
      </c>
      <c r="AA16" s="327">
        <f t="shared" ref="AA16:AA72" si="6">SUM(Y16:Z16)</f>
        <v>0</v>
      </c>
    </row>
    <row r="17" spans="1:27" x14ac:dyDescent="0.35">
      <c r="A17" s="24">
        <v>3</v>
      </c>
      <c r="B17" s="531" t="str">
        <f>IF('As-Filed Schedule 2A'!B17:D17=0,"",'As-Filed Schedule 2A'!B17:D17)</f>
        <v>Co Responders</v>
      </c>
      <c r="C17" s="531"/>
      <c r="D17" s="531"/>
      <c r="F17" s="117">
        <f>'As-Filed Schedule 2A'!F17</f>
        <v>283431.46401381161</v>
      </c>
      <c r="G17" s="314">
        <f>SUMIFS(Adjustments!$G:$G,Adjustments!$H:$H,"2A",Adjustments!$I:$I,'Schedule 2A Adjustments'!$F$12,Adjustments!$J:$J,'Schedule 2A Adjustments'!A17)</f>
        <v>0</v>
      </c>
      <c r="H17" s="310">
        <f t="shared" si="1"/>
        <v>283431.46401381161</v>
      </c>
      <c r="I17" s="68">
        <f>IFERROR(F17*'As-Filed Schedule 1'!$E$103,0)</f>
        <v>42309.040635875666</v>
      </c>
      <c r="J17" s="311">
        <f>IFERROR(H17*'Adjusted Schedule 1'!$E$104,0)</f>
        <v>43180.148756283947</v>
      </c>
      <c r="K17" s="68">
        <f>SUM(F17,I17)</f>
        <v>325740.50464968727</v>
      </c>
      <c r="L17" s="311">
        <f t="shared" si="2"/>
        <v>326611.61277009558</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0</v>
      </c>
      <c r="W17" s="314">
        <f>SUMIFS(Adjustments!$G:$G,Adjustments!$H:$H,"2A",Adjustments!$I:$I,'Schedule 2A Adjustments'!$V$12,Adjustments!$J:$J,'Schedule 2A Adjustments'!A17)</f>
        <v>0</v>
      </c>
      <c r="X17" s="327">
        <f t="shared" si="5"/>
        <v>0</v>
      </c>
      <c r="Y17" s="120">
        <f>'As-Filed Schedule 2A'!O17</f>
        <v>0</v>
      </c>
      <c r="Z17" s="314">
        <f>SUMIFS(Adjustments!$G:$G,Adjustments!$H:$H,"2A",Adjustments!$I:$I,'Schedule 2A Adjustments'!$Y$12,Adjustments!$J:$J,'Schedule 2A Adjustments'!A17)</f>
        <v>0</v>
      </c>
      <c r="AA17" s="327">
        <f t="shared" si="6"/>
        <v>0</v>
      </c>
    </row>
    <row r="18" spans="1:27" x14ac:dyDescent="0.35">
      <c r="A18" s="24">
        <v>4</v>
      </c>
      <c r="B18" s="531" t="str">
        <f>IF('As-Filed Schedule 2A'!B18:D18=0,"",'As-Filed Schedule 2A'!B18:D18)</f>
        <v/>
      </c>
      <c r="C18" s="531"/>
      <c r="D18" s="531"/>
      <c r="F18" s="117">
        <f>'As-Filed Schedule 2A'!F18</f>
        <v>0</v>
      </c>
      <c r="G18" s="314">
        <f>SUMIFS(Adjustments!$G:$G,Adjustments!$H:$H,"2A",Adjustments!$I:$I,'Schedule 2A Adjustments'!$F$12,Adjustments!$J:$J,'Schedule 2A Adjustments'!A18)</f>
        <v>0</v>
      </c>
      <c r="H18" s="310">
        <f t="shared" si="1"/>
        <v>0</v>
      </c>
      <c r="I18" s="68">
        <f>IFERROR(F18*'As-Filed Schedule 1'!$E$103,0)</f>
        <v>0</v>
      </c>
      <c r="J18" s="311">
        <f>IFERROR(H18*'Adjusted Schedule 1'!$E$104,0)</f>
        <v>0</v>
      </c>
      <c r="K18" s="68">
        <f t="shared" ref="K18:K72" si="7">SUM(F18,I18)</f>
        <v>0</v>
      </c>
      <c r="L18" s="311">
        <f t="shared" si="2"/>
        <v>0</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31" t="str">
        <f>IF('As-Filed Schedule 2A'!B19:D19=0,"",'As-Filed Schedule 2A'!B19:D19)</f>
        <v/>
      </c>
      <c r="C19" s="531"/>
      <c r="D19" s="531"/>
      <c r="F19" s="117">
        <f>'As-Filed Schedule 2A'!F19</f>
        <v>0</v>
      </c>
      <c r="G19" s="314">
        <f>SUMIFS(Adjustments!$G:$G,Adjustments!$H:$H,"2A",Adjustments!$I:$I,'Schedule 2A Adjustments'!$F$12,Adjustments!$J:$J,'Schedule 2A Adjustments'!A19)</f>
        <v>0</v>
      </c>
      <c r="H19" s="310">
        <f t="shared" si="1"/>
        <v>0</v>
      </c>
      <c r="I19" s="68">
        <f>IFERROR(F19*'As-Filed Schedule 1'!$E$103,0)</f>
        <v>0</v>
      </c>
      <c r="J19" s="311">
        <f>IFERROR(H19*'Adjusted Schedule 1'!$E$104,0)</f>
        <v>0</v>
      </c>
      <c r="K19" s="68">
        <f t="shared" si="7"/>
        <v>0</v>
      </c>
      <c r="L19" s="311">
        <f t="shared" si="2"/>
        <v>0</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0</v>
      </c>
      <c r="W19" s="314">
        <f>SUMIFS(Adjustments!$G:$G,Adjustments!$H:$H,"2A",Adjustments!$I:$I,'Schedule 2A Adjustments'!$V$12,Adjustments!$J:$J,'Schedule 2A Adjustments'!A19)</f>
        <v>0</v>
      </c>
      <c r="X19" s="327">
        <f t="shared" si="5"/>
        <v>0</v>
      </c>
      <c r="Y19" s="120">
        <f>'As-Filed Schedule 2A'!O19</f>
        <v>0</v>
      </c>
      <c r="Z19" s="314">
        <f>SUMIFS(Adjustments!$G:$G,Adjustments!$H:$H,"2A",Adjustments!$I:$I,'Schedule 2A Adjustments'!$Y$12,Adjustments!$J:$J,'Schedule 2A Adjustments'!A19)</f>
        <v>0</v>
      </c>
      <c r="AA19" s="327">
        <f t="shared" si="6"/>
        <v>0</v>
      </c>
    </row>
    <row r="20" spans="1:27" x14ac:dyDescent="0.35">
      <c r="A20" s="24">
        <v>6</v>
      </c>
      <c r="B20" s="531" t="str">
        <f>IF('As-Filed Schedule 2A'!B20:D20=0,"",'As-Filed Schedule 2A'!B20:D20)</f>
        <v/>
      </c>
      <c r="C20" s="531"/>
      <c r="D20" s="531"/>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31" t="str">
        <f>IF('As-Filed Schedule 2A'!B21:D21=0,"",'As-Filed Schedule 2A'!B21:D21)</f>
        <v/>
      </c>
      <c r="C21" s="531"/>
      <c r="D21" s="531"/>
      <c r="F21" s="117">
        <f>'As-Filed Schedule 2A'!F21</f>
        <v>0</v>
      </c>
      <c r="G21" s="314">
        <f>SUMIFS(Adjustments!$G:$G,Adjustments!$H:$H,"2A",Adjustments!$I:$I,'Schedule 2A Adjustments'!$F$12,Adjustments!$J:$J,'Schedule 2A Adjustments'!A21)</f>
        <v>0</v>
      </c>
      <c r="H21" s="310">
        <f t="shared" si="1"/>
        <v>0</v>
      </c>
      <c r="I21" s="68">
        <f>IFERROR(F21*'As-Filed Schedule 1'!$E$103,0)</f>
        <v>0</v>
      </c>
      <c r="J21" s="311">
        <f>IFERROR(H21*'Adjusted Schedule 1'!$E$104,0)</f>
        <v>0</v>
      </c>
      <c r="K21" s="68">
        <f t="shared" si="7"/>
        <v>0</v>
      </c>
      <c r="L21" s="311">
        <f t="shared" si="2"/>
        <v>0</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31" t="str">
        <f>IF('As-Filed Schedule 2A'!B22:D22=0,"",'As-Filed Schedule 2A'!B22:D22)</f>
        <v/>
      </c>
      <c r="C22" s="531"/>
      <c r="D22" s="531"/>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31" t="str">
        <f>IF('As-Filed Schedule 2A'!B23:D23=0,"",'As-Filed Schedule 2A'!B23:D23)</f>
        <v/>
      </c>
      <c r="C23" s="531"/>
      <c r="D23" s="531"/>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31" t="str">
        <f>IF('As-Filed Schedule 2A'!B24:D24=0,"",'As-Filed Schedule 2A'!B24:D24)</f>
        <v/>
      </c>
      <c r="C24" s="531"/>
      <c r="D24" s="531"/>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31" t="str">
        <f>IF('As-Filed Schedule 2A'!B25:D25=0,"",'As-Filed Schedule 2A'!B25:D25)</f>
        <v/>
      </c>
      <c r="C25" s="531"/>
      <c r="D25" s="531"/>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31" t="str">
        <f>IF('As-Filed Schedule 2A'!B26:D26=0,"",'As-Filed Schedule 2A'!B26:D26)</f>
        <v/>
      </c>
      <c r="C26" s="531"/>
      <c r="D26" s="531"/>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31" t="str">
        <f>IF('As-Filed Schedule 2A'!B27:D27=0,"",'As-Filed Schedule 2A'!B27:D27)</f>
        <v/>
      </c>
      <c r="C27" s="531"/>
      <c r="D27" s="531"/>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31" t="str">
        <f>IF('As-Filed Schedule 2A'!B28:D28=0,"",'As-Filed Schedule 2A'!B28:D28)</f>
        <v/>
      </c>
      <c r="C28" s="531"/>
      <c r="D28" s="531"/>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31" t="str">
        <f>IF('As-Filed Schedule 2A'!B29:D29=0,"",'As-Filed Schedule 2A'!B29:D29)</f>
        <v/>
      </c>
      <c r="C29" s="531"/>
      <c r="D29" s="531"/>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31" t="str">
        <f>IF('As-Filed Schedule 2A'!B30:D30=0,"",'As-Filed Schedule 2A'!B30:D30)</f>
        <v/>
      </c>
      <c r="C30" s="531"/>
      <c r="D30" s="531"/>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31" t="str">
        <f>IF('As-Filed Schedule 2A'!B31:D31=0,"",'As-Filed Schedule 2A'!B31:D31)</f>
        <v/>
      </c>
      <c r="C31" s="531"/>
      <c r="D31" s="531"/>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31" t="str">
        <f>IF('As-Filed Schedule 2A'!B32:D32=0,"",'As-Filed Schedule 2A'!B32:D32)</f>
        <v/>
      </c>
      <c r="C32" s="531"/>
      <c r="D32" s="531"/>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31" t="str">
        <f>IF('As-Filed Schedule 2A'!B33:D33=0,"",'As-Filed Schedule 2A'!B33:D33)</f>
        <v/>
      </c>
      <c r="C33" s="531"/>
      <c r="D33" s="531"/>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31" t="str">
        <f>IF('As-Filed Schedule 2A'!B34:D34=0,"",'As-Filed Schedule 2A'!B34:D34)</f>
        <v/>
      </c>
      <c r="C34" s="531"/>
      <c r="D34" s="531"/>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31" t="str">
        <f>IF('As-Filed Schedule 2A'!B35:D35=0,"",'As-Filed Schedule 2A'!B35:D35)</f>
        <v/>
      </c>
      <c r="C35" s="531"/>
      <c r="D35" s="531"/>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31" t="str">
        <f>IF('As-Filed Schedule 2A'!B36:D36=0,"",'As-Filed Schedule 2A'!B36:D36)</f>
        <v/>
      </c>
      <c r="C36" s="531"/>
      <c r="D36" s="531"/>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31" t="str">
        <f>IF('As-Filed Schedule 2A'!B37:D37=0,"",'As-Filed Schedule 2A'!B37:D37)</f>
        <v/>
      </c>
      <c r="C37" s="531"/>
      <c r="D37" s="531"/>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31" t="str">
        <f>IF('As-Filed Schedule 2A'!B38:D38=0,"",'As-Filed Schedule 2A'!B38:D38)</f>
        <v/>
      </c>
      <c r="C38" s="531"/>
      <c r="D38" s="531"/>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31" t="str">
        <f>IF('As-Filed Schedule 2A'!B39:D39=0,"",'As-Filed Schedule 2A'!B39:D39)</f>
        <v/>
      </c>
      <c r="C39" s="531"/>
      <c r="D39" s="531"/>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31" t="str">
        <f>IF('As-Filed Schedule 2A'!B40:D40=0,"",'As-Filed Schedule 2A'!B40:D40)</f>
        <v/>
      </c>
      <c r="C40" s="531"/>
      <c r="D40" s="531"/>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31" t="str">
        <f>IF('As-Filed Schedule 2A'!B41:D41=0,"",'As-Filed Schedule 2A'!B41:D41)</f>
        <v/>
      </c>
      <c r="C41" s="531"/>
      <c r="D41" s="531"/>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31" t="str">
        <f>IF('As-Filed Schedule 2A'!B42:D42=0,"",'As-Filed Schedule 2A'!B42:D42)</f>
        <v/>
      </c>
      <c r="C42" s="531"/>
      <c r="D42" s="531"/>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31" t="str">
        <f>IF('As-Filed Schedule 2A'!B43:D43=0,"",'As-Filed Schedule 2A'!B43:D43)</f>
        <v/>
      </c>
      <c r="C43" s="531"/>
      <c r="D43" s="531"/>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31" t="str">
        <f>IF('As-Filed Schedule 2A'!B44:D44=0,"",'As-Filed Schedule 2A'!B44:D44)</f>
        <v/>
      </c>
      <c r="C44" s="531"/>
      <c r="D44" s="531"/>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31" t="str">
        <f>IF('As-Filed Schedule 2A'!B45:D45=0,"",'As-Filed Schedule 2A'!B45:D45)</f>
        <v/>
      </c>
      <c r="C45" s="531"/>
      <c r="D45" s="531"/>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31" t="str">
        <f>IF('As-Filed Schedule 2A'!B46:D46=0,"",'As-Filed Schedule 2A'!B46:D46)</f>
        <v/>
      </c>
      <c r="C46" s="531"/>
      <c r="D46" s="531"/>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31" t="str">
        <f>IF('As-Filed Schedule 2A'!B47:D47=0,"",'As-Filed Schedule 2A'!B47:D47)</f>
        <v/>
      </c>
      <c r="C47" s="531"/>
      <c r="D47" s="531"/>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31" t="str">
        <f>IF('As-Filed Schedule 2A'!B48:D48=0,"",'As-Filed Schedule 2A'!B48:D48)</f>
        <v/>
      </c>
      <c r="C48" s="531"/>
      <c r="D48" s="531"/>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31" t="str">
        <f>IF('As-Filed Schedule 2A'!B49:D49=0,"",'As-Filed Schedule 2A'!B49:D49)</f>
        <v/>
      </c>
      <c r="C49" s="531"/>
      <c r="D49" s="531"/>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31" t="str">
        <f>IF('As-Filed Schedule 2A'!B50:D50=0,"",'As-Filed Schedule 2A'!B50:D50)</f>
        <v/>
      </c>
      <c r="C50" s="531"/>
      <c r="D50" s="531"/>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31" t="str">
        <f>IF('As-Filed Schedule 2A'!B51:D51=0,"",'As-Filed Schedule 2A'!B51:D51)</f>
        <v/>
      </c>
      <c r="C51" s="531"/>
      <c r="D51" s="531"/>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31" t="str">
        <f>IF('As-Filed Schedule 2A'!B52:D52=0,"",'As-Filed Schedule 2A'!B52:D52)</f>
        <v/>
      </c>
      <c r="C52" s="531"/>
      <c r="D52" s="531"/>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31" t="str">
        <f>IF('As-Filed Schedule 2A'!B53:D53=0,"",'As-Filed Schedule 2A'!B53:D53)</f>
        <v/>
      </c>
      <c r="C53" s="531"/>
      <c r="D53" s="531"/>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31" t="str">
        <f>IF('As-Filed Schedule 2A'!B54:D54=0,"",'As-Filed Schedule 2A'!B54:D54)</f>
        <v/>
      </c>
      <c r="C54" s="531"/>
      <c r="D54" s="531"/>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31" t="str">
        <f>IF('As-Filed Schedule 2A'!B55:D55=0,"",'As-Filed Schedule 2A'!B55:D55)</f>
        <v/>
      </c>
      <c r="C55" s="531"/>
      <c r="D55" s="531"/>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31" t="str">
        <f>IF('As-Filed Schedule 2A'!B56:D56=0,"",'As-Filed Schedule 2A'!B56:D56)</f>
        <v/>
      </c>
      <c r="C56" s="531"/>
      <c r="D56" s="531"/>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31" t="str">
        <f>IF('As-Filed Schedule 2A'!B57:D57=0,"",'As-Filed Schedule 2A'!B57:D57)</f>
        <v/>
      </c>
      <c r="C57" s="531"/>
      <c r="D57" s="531"/>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31" t="str">
        <f>IF('As-Filed Schedule 2A'!B58:D58=0,"",'As-Filed Schedule 2A'!B58:D58)</f>
        <v/>
      </c>
      <c r="C58" s="531"/>
      <c r="D58" s="531"/>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31" t="str">
        <f>IF('As-Filed Schedule 2A'!B59:D59=0,"",'As-Filed Schedule 2A'!B59:D59)</f>
        <v/>
      </c>
      <c r="C59" s="531"/>
      <c r="D59" s="531"/>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31" t="str">
        <f>IF('As-Filed Schedule 2A'!B60:D60=0,"",'As-Filed Schedule 2A'!B60:D60)</f>
        <v/>
      </c>
      <c r="C60" s="531"/>
      <c r="D60" s="531"/>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31" t="str">
        <f>IF('As-Filed Schedule 2A'!B61:D61=0,"",'As-Filed Schedule 2A'!B61:D61)</f>
        <v/>
      </c>
      <c r="C61" s="531"/>
      <c r="D61" s="531"/>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31" t="str">
        <f>IF('As-Filed Schedule 2A'!B62:D62=0,"",'As-Filed Schedule 2A'!B62:D62)</f>
        <v/>
      </c>
      <c r="C62" s="531"/>
      <c r="D62" s="531"/>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31" t="str">
        <f>IF('As-Filed Schedule 2A'!B63:D63=0,"",'As-Filed Schedule 2A'!B63:D63)</f>
        <v/>
      </c>
      <c r="C63" s="531"/>
      <c r="D63" s="531"/>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31" t="str">
        <f>IF('As-Filed Schedule 2A'!B64:D64=0,"",'As-Filed Schedule 2A'!B64:D64)</f>
        <v/>
      </c>
      <c r="C64" s="531"/>
      <c r="D64" s="531"/>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31" t="str">
        <f>IF('As-Filed Schedule 2A'!B65:D65=0,"",'As-Filed Schedule 2A'!B65:D65)</f>
        <v/>
      </c>
      <c r="C65" s="531"/>
      <c r="D65" s="531"/>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31" t="str">
        <f>IF('As-Filed Schedule 2A'!B66:D66=0,"",'As-Filed Schedule 2A'!B66:D66)</f>
        <v/>
      </c>
      <c r="C66" s="531"/>
      <c r="D66" s="531"/>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31" t="str">
        <f>IF('As-Filed Schedule 2A'!B67:D67=0,"",'As-Filed Schedule 2A'!B67:D67)</f>
        <v/>
      </c>
      <c r="C67" s="531"/>
      <c r="D67" s="531"/>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31" t="str">
        <f>IF('As-Filed Schedule 2A'!B68:D68=0,"",'As-Filed Schedule 2A'!B68:D68)</f>
        <v/>
      </c>
      <c r="C68" s="531"/>
      <c r="D68" s="531"/>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31" t="str">
        <f>IF('As-Filed Schedule 2A'!B69:D69=0,"",'As-Filed Schedule 2A'!B69:D69)</f>
        <v/>
      </c>
      <c r="C69" s="531"/>
      <c r="D69" s="531"/>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31" t="str">
        <f>IF('As-Filed Schedule 2A'!B70:D70=0,"",'As-Filed Schedule 2A'!B70:D70)</f>
        <v/>
      </c>
      <c r="C70" s="531"/>
      <c r="D70" s="531"/>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31" t="str">
        <f>IF('As-Filed Schedule 2A'!B71:D71=0,"",'As-Filed Schedule 2A'!B71:D71)</f>
        <v/>
      </c>
      <c r="C71" s="531"/>
      <c r="D71" s="531"/>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31" t="str">
        <f>IF('As-Filed Schedule 2A'!B72:D72=0,"",'As-Filed Schedule 2A'!B72:D72)</f>
        <v/>
      </c>
      <c r="C72" s="531"/>
      <c r="D72" s="531"/>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2880265.1389237051</v>
      </c>
      <c r="G73" s="321">
        <f t="shared" si="9"/>
        <v>0</v>
      </c>
      <c r="H73" s="312">
        <f t="shared" si="9"/>
        <v>2880265.1389237051</v>
      </c>
      <c r="I73" s="18">
        <f t="shared" si="9"/>
        <v>429949.63607456372</v>
      </c>
      <c r="J73" s="312">
        <f t="shared" si="9"/>
        <v>438801.94313996087</v>
      </c>
      <c r="K73" s="18">
        <f t="shared" si="9"/>
        <v>3310214.7749982686</v>
      </c>
      <c r="L73" s="312">
        <f t="shared" si="9"/>
        <v>3319067.0820636656</v>
      </c>
      <c r="N73" s="18">
        <f>SUM(N15:N72)</f>
        <v>0</v>
      </c>
      <c r="O73" s="321">
        <f t="shared" ref="O73:P73" si="10">SUM(O15:O72)</f>
        <v>0</v>
      </c>
      <c r="P73" s="312">
        <f t="shared" si="10"/>
        <v>0</v>
      </c>
      <c r="Q73" s="18">
        <f t="shared" ref="Q73" si="11">SUM(Q15:Q72)</f>
        <v>0</v>
      </c>
      <c r="R73" s="312">
        <f>SUM(R15:R72)</f>
        <v>0</v>
      </c>
      <c r="S73" s="18">
        <f>SUM(S15:S72)</f>
        <v>0</v>
      </c>
      <c r="T73" s="312">
        <f>SUM(T15:T72)</f>
        <v>0</v>
      </c>
      <c r="Y73" s="83" t="s">
        <v>312</v>
      </c>
      <c r="Z73" s="332"/>
      <c r="AA73" s="329"/>
    </row>
    <row r="74" spans="1:27" ht="15" thickBot="1" x14ac:dyDescent="0.4">
      <c r="K74" s="37" t="s">
        <v>256</v>
      </c>
      <c r="L74" s="325" t="s">
        <v>256</v>
      </c>
      <c r="S74" s="37" t="s">
        <v>257</v>
      </c>
      <c r="T74" s="325" t="s">
        <v>257</v>
      </c>
    </row>
    <row r="75" spans="1:27" ht="16" thickBot="1" x14ac:dyDescent="0.4">
      <c r="A75" s="24">
        <v>60</v>
      </c>
      <c r="B75" s="143" t="s">
        <v>462</v>
      </c>
      <c r="C75" s="72"/>
      <c r="E75" s="72"/>
      <c r="F75" s="75">
        <f>K73+S73</f>
        <v>3310214.7749982686</v>
      </c>
      <c r="G75"/>
      <c r="H75" s="75">
        <f>L73+T73</f>
        <v>3319067.0820636656</v>
      </c>
      <c r="M75" s="74"/>
      <c r="N75" s="74"/>
      <c r="O75" s="333"/>
      <c r="P75" s="326"/>
      <c r="Q75" s="74"/>
      <c r="R75" s="326"/>
      <c r="S75" s="74"/>
      <c r="T75" s="326"/>
      <c r="V75" s="72"/>
      <c r="W75" s="331"/>
      <c r="X75" s="328"/>
      <c r="Y75" s="72"/>
      <c r="Z75" s="331"/>
      <c r="AA75" s="328"/>
    </row>
    <row r="76" spans="1:27" x14ac:dyDescent="0.35">
      <c r="F76" s="78" t="s">
        <v>499</v>
      </c>
      <c r="H76" s="309" t="s">
        <v>595</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customProperties>
    <customPr name="OrphanNamesChecked" r:id="rId4"/>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773</v>
      </c>
    </row>
    <row r="2" spans="1:27" ht="21" x14ac:dyDescent="0.5">
      <c r="A2" s="2" t="s">
        <v>771</v>
      </c>
    </row>
    <row r="3" spans="1:27" ht="25" customHeight="1" x14ac:dyDescent="0.5">
      <c r="A3" s="512" t="s">
        <v>754</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623</v>
      </c>
      <c r="C8" s="1"/>
      <c r="F8" s="119" t="str">
        <f>'As-Filed Schedule 2B'!F8</f>
        <v>Yes</v>
      </c>
      <c r="G8" s="41" t="s">
        <v>258</v>
      </c>
      <c r="J8" s="336"/>
    </row>
    <row r="10" spans="1:27" x14ac:dyDescent="0.35">
      <c r="A10" s="1" t="s">
        <v>253</v>
      </c>
      <c r="B10" s="1" t="s">
        <v>255</v>
      </c>
      <c r="C10" s="1"/>
    </row>
    <row r="11" spans="1:27" x14ac:dyDescent="0.35">
      <c r="B11" s="334" t="s">
        <v>597</v>
      </c>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35" t="s">
        <v>611</v>
      </c>
      <c r="C13" s="536"/>
      <c r="D13" s="537"/>
      <c r="F13" s="529" t="s">
        <v>260</v>
      </c>
      <c r="G13" s="534"/>
      <c r="H13" s="534"/>
      <c r="I13" s="534"/>
      <c r="J13" s="534"/>
      <c r="K13" s="534"/>
      <c r="L13" s="530"/>
      <c r="N13" s="529" t="s">
        <v>261</v>
      </c>
      <c r="O13" s="534"/>
      <c r="P13" s="534"/>
      <c r="Q13" s="534"/>
      <c r="R13" s="534"/>
      <c r="S13" s="534"/>
      <c r="T13" s="530"/>
      <c r="V13" s="532" t="s">
        <v>249</v>
      </c>
      <c r="W13" s="582" t="s">
        <v>619</v>
      </c>
      <c r="X13" s="584" t="s">
        <v>620</v>
      </c>
      <c r="Y13" s="528" t="s">
        <v>311</v>
      </c>
      <c r="Z13" s="586" t="s">
        <v>621</v>
      </c>
      <c r="AA13" s="587" t="s">
        <v>624</v>
      </c>
    </row>
    <row r="14" spans="1:27" ht="55.5" customHeight="1" x14ac:dyDescent="0.35">
      <c r="B14" s="538"/>
      <c r="C14" s="539"/>
      <c r="D14" s="540"/>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33"/>
      <c r="W14" s="583"/>
      <c r="X14" s="585"/>
      <c r="Y14" s="528"/>
      <c r="Z14" s="586"/>
      <c r="AA14" s="587"/>
    </row>
    <row r="15" spans="1:27" x14ac:dyDescent="0.35">
      <c r="A15" s="24">
        <v>1</v>
      </c>
      <c r="B15" s="531" t="str">
        <f>IF('As-Filed Schedule 2B'!B15:D15=0,"",'As-Filed Schedule 2B'!B15:D15)</f>
        <v>Consultative and Education</v>
      </c>
      <c r="C15" s="531"/>
      <c r="D15" s="531"/>
      <c r="F15" s="117">
        <f>'As-Filed Schedule 2B'!F15</f>
        <v>0</v>
      </c>
      <c r="G15" s="314">
        <f>SUMIFS(Adjustments!$G:$G,Adjustments!$H:$H,"2B",Adjustments!$I:$I,'Schedule 2B Adjustments'!$F$12,Adjustments!$J:$J,'Schedule 2B Adjustments'!$A15)</f>
        <v>0</v>
      </c>
      <c r="H15" s="310">
        <f>SUM(F15:G15)</f>
        <v>0</v>
      </c>
      <c r="I15" s="181">
        <f>IFERROR(F15*'As-Filed Schedule 1'!$E$103,0)</f>
        <v>0</v>
      </c>
      <c r="J15" s="311">
        <f>IFERROR(H15*'Adjusted Schedule 1'!$E$104,0)</f>
        <v>0</v>
      </c>
      <c r="K15" s="181">
        <f>SUM(F15,I15)</f>
        <v>0</v>
      </c>
      <c r="L15" s="311">
        <f>SUM(H15,J15)</f>
        <v>0</v>
      </c>
      <c r="M15" s="100"/>
      <c r="N15" s="180">
        <f>'As-Filed Schedule 2B'!J15</f>
        <v>14137.73263825416</v>
      </c>
      <c r="O15" s="314">
        <f>SUMIFS(Adjustments!$G:$G,Adjustments!$H:$H,"2B",Adjustments!$I:$I,'Schedule 2B Adjustments'!$N$12,Adjustments!$J:$J,'Schedule 2B Adjustments'!$A15)</f>
        <v>0</v>
      </c>
      <c r="P15" s="310">
        <f>SUM(N15:O15)</f>
        <v>14137.73263825416</v>
      </c>
      <c r="Q15" s="181">
        <f>IFERROR(N15*'As-Filed Schedule 1'!$E$103,0)</f>
        <v>2110.4005046591897</v>
      </c>
      <c r="R15" s="311">
        <f>IFERROR(P15*'Adjusted Schedule 1'!$E$104,0)</f>
        <v>2153.8519039178977</v>
      </c>
      <c r="S15" s="68">
        <f>SUM(N15,Q15)</f>
        <v>16248.13314291335</v>
      </c>
      <c r="T15" s="311">
        <f>SUM(P15,R15)</f>
        <v>16291.584542172057</v>
      </c>
      <c r="V15" s="120">
        <f>'As-Filed Schedule 2B'!N15</f>
        <v>0</v>
      </c>
      <c r="W15" s="314">
        <f>SUMIFS(Adjustments!$G:$G,Adjustments!$H:$H,"2B",Adjustments!$I:$I,'Schedule 2B Adjustments'!$V$12,Adjustments!$J:$J,'Schedule 2B Adjustments'!$A15)</f>
        <v>0</v>
      </c>
      <c r="X15" s="327">
        <f>SUM(V15:W15)</f>
        <v>0</v>
      </c>
      <c r="Y15" s="120">
        <f>'As-Filed Schedule 2B'!O15</f>
        <v>0</v>
      </c>
      <c r="Z15" s="314">
        <f>SUMIFS(Adjustments!$G:$G,Adjustments!$H:$H,"2B",Adjustments!$I:$I,'Schedule 2B Adjustments'!$Y$12,Adjustments!$J:$J,'Schedule 2B Adjustments'!$A15)</f>
        <v>0</v>
      </c>
      <c r="AA15" s="327">
        <f>SUM(Y15:Z15)</f>
        <v>0</v>
      </c>
    </row>
    <row r="16" spans="1:27" x14ac:dyDescent="0.35">
      <c r="A16" s="24">
        <v>2</v>
      </c>
      <c r="B16" s="531" t="str">
        <f>IF('As-Filed Schedule 2B'!B16:D16=0,"",'As-Filed Schedule 2B'!B16:D16)</f>
        <v>Gun Violence Prevention</v>
      </c>
      <c r="C16" s="531"/>
      <c r="D16" s="531"/>
      <c r="F16" s="117">
        <f>'As-Filed Schedule 2B'!F16</f>
        <v>0</v>
      </c>
      <c r="G16" s="314">
        <f>SUMIFS(Adjustments!$G:$G,Adjustments!$H:$H,"2B",Adjustments!$I:$I,'Schedule 2B Adjustments'!$F$12,Adjustments!$J:$J,'Schedule 2B Adjustments'!$A16)</f>
        <v>0</v>
      </c>
      <c r="H16" s="310">
        <f t="shared" ref="H16:H72" si="0">SUM(F16:G16)</f>
        <v>0</v>
      </c>
      <c r="I16" s="68">
        <f>IFERROR(F16*'As-Filed Schedule 1'!$E$103,0)</f>
        <v>0</v>
      </c>
      <c r="J16" s="311">
        <f>IFERROR(H16*'Adjusted Schedule 1'!$E$104,0)</f>
        <v>0</v>
      </c>
      <c r="K16" s="181">
        <f t="shared" ref="K16:K72" si="1">SUM(F16,I16)</f>
        <v>0</v>
      </c>
      <c r="L16" s="311">
        <f>SUM(H16,J16)</f>
        <v>0</v>
      </c>
      <c r="N16" s="180">
        <f>'As-Filed Schedule 2B'!J16</f>
        <v>41347.738531586379</v>
      </c>
      <c r="O16" s="314">
        <f>SUMIFS(Adjustments!$G:$G,Adjustments!$H:$H,"2B",Adjustments!$I:$I,'Schedule 2B Adjustments'!$N$12,Adjustments!$J:$J,'Schedule 2B Adjustments'!$A16)</f>
        <v>0</v>
      </c>
      <c r="P16" s="310">
        <f t="shared" ref="P16:P72" si="2">SUM(N16:O16)</f>
        <v>41347.738531586379</v>
      </c>
      <c r="Q16" s="68">
        <f>IFERROR(N16*'As-Filed Schedule 1'!$E$103,0)</f>
        <v>6172.1557831321188</v>
      </c>
      <c r="R16" s="311">
        <f>IFERROR(P16*'Adjusted Schedule 1'!$E$104,0)</f>
        <v>6299.2353609789443</v>
      </c>
      <c r="S16" s="68">
        <f t="shared" ref="S16:S72" si="3">SUM(N16,Q16)</f>
        <v>47519.894314718498</v>
      </c>
      <c r="T16" s="311">
        <f t="shared" ref="T16:T72" si="4">SUM(P16,R16)</f>
        <v>47646.973892565322</v>
      </c>
      <c r="V16" s="120">
        <f>'As-Filed Schedule 2B'!N16</f>
        <v>0</v>
      </c>
      <c r="W16" s="314">
        <f>SUMIFS(Adjustments!$G:$G,Adjustments!$H:$H,"2B",Adjustments!$I:$I,'Schedule 2B Adjustments'!$V$12,Adjustments!$J:$J,'Schedule 2B Adjustments'!$A16)</f>
        <v>0</v>
      </c>
      <c r="X16" s="327">
        <f t="shared" ref="X16:X72" si="5">SUM(V16:W16)</f>
        <v>0</v>
      </c>
      <c r="Y16" s="120">
        <f>'As-Filed Schedule 2B'!O16</f>
        <v>0</v>
      </c>
      <c r="Z16" s="314">
        <f>SUMIFS(Adjustments!$G:$G,Adjustments!$H:$H,"2B",Adjustments!$I:$I,'Schedule 2B Adjustments'!$Y$12,Adjustments!$J:$J,'Schedule 2B Adjustments'!$A16)</f>
        <v>0</v>
      </c>
      <c r="AA16" s="327">
        <f t="shared" ref="AA16:AA72" si="6">SUM(Y16:Z16)</f>
        <v>0</v>
      </c>
    </row>
    <row r="17" spans="1:27" x14ac:dyDescent="0.35">
      <c r="A17" s="24">
        <v>3</v>
      </c>
      <c r="B17" s="531" t="str">
        <f>IF('As-Filed Schedule 2B'!B17:D17=0,"",'As-Filed Schedule 2B'!B17:D17)</f>
        <v>Hospital Alternatives</v>
      </c>
      <c r="C17" s="531"/>
      <c r="D17" s="531"/>
      <c r="F17" s="117">
        <f>'As-Filed Schedule 2B'!F17</f>
        <v>0</v>
      </c>
      <c r="G17" s="314">
        <f>SUMIFS(Adjustments!$G:$G,Adjustments!$H:$H,"2B",Adjustments!$I:$I,'Schedule 2B Adjustments'!$F$12,Adjustments!$J:$J,'Schedule 2B Adjustments'!$A17)</f>
        <v>0</v>
      </c>
      <c r="H17" s="310">
        <f t="shared" si="0"/>
        <v>0</v>
      </c>
      <c r="I17" s="68">
        <f>IFERROR(F17*'As-Filed Schedule 1'!$E$103,0)</f>
        <v>0</v>
      </c>
      <c r="J17" s="311">
        <f>IFERROR(H17*'Adjusted Schedule 1'!$E$104,0)</f>
        <v>0</v>
      </c>
      <c r="K17" s="181">
        <f t="shared" si="1"/>
        <v>0</v>
      </c>
      <c r="L17" s="311">
        <f>SUM(H17,J17)</f>
        <v>0</v>
      </c>
      <c r="N17" s="180">
        <f>'As-Filed Schedule 2B'!J17</f>
        <v>-8.3728795055147062E-2</v>
      </c>
      <c r="O17" s="314">
        <f>SUMIFS(Adjustments!$G:$G,Adjustments!$H:$H,"2B",Adjustments!$I:$I,'Schedule 2B Adjustments'!$N$12,Adjustments!$J:$J,'Schedule 2B Adjustments'!$A17)</f>
        <v>0</v>
      </c>
      <c r="P17" s="310">
        <f t="shared" si="2"/>
        <v>-8.3728795055147062E-2</v>
      </c>
      <c r="Q17" s="68">
        <f>IFERROR(N17*'As-Filed Schedule 1'!$E$103,0)</f>
        <v>-1.2498559412615169E-2</v>
      </c>
      <c r="R17" s="311">
        <f>IFERROR(P17*'Adjusted Schedule 1'!$E$104,0)</f>
        <v>-1.2755894403768391E-2</v>
      </c>
      <c r="S17" s="68">
        <f t="shared" si="3"/>
        <v>-9.6227354467762233E-2</v>
      </c>
      <c r="T17" s="311">
        <f t="shared" si="4"/>
        <v>-9.6484689458915446E-2</v>
      </c>
      <c r="V17" s="120">
        <f>'As-Filed Schedule 2B'!N17</f>
        <v>0</v>
      </c>
      <c r="W17" s="314">
        <f>SUMIFS(Adjustments!$G:$G,Adjustments!$H:$H,"2B",Adjustments!$I:$I,'Schedule 2B Adjustments'!$V$12,Adjustments!$J:$J,'Schedule 2B Adjustments'!$A17)</f>
        <v>0</v>
      </c>
      <c r="X17" s="327">
        <f t="shared" si="5"/>
        <v>0</v>
      </c>
      <c r="Y17" s="120">
        <f>'As-Filed Schedule 2B'!O17</f>
        <v>0</v>
      </c>
      <c r="Z17" s="314">
        <f>SUMIFS(Adjustments!$G:$G,Adjustments!$H:$H,"2B",Adjustments!$I:$I,'Schedule 2B Adjustments'!$Y$12,Adjustments!$J:$J,'Schedule 2B Adjustments'!$A17)</f>
        <v>0</v>
      </c>
      <c r="AA17" s="327">
        <f t="shared" si="6"/>
        <v>0</v>
      </c>
    </row>
    <row r="18" spans="1:27" x14ac:dyDescent="0.35">
      <c r="A18" s="24">
        <v>4</v>
      </c>
      <c r="B18" s="531" t="str">
        <f>IF('As-Filed Schedule 2B'!B18:D18=0,"",'As-Filed Schedule 2B'!B18:D18)</f>
        <v>Mental Health Navigators</v>
      </c>
      <c r="C18" s="531"/>
      <c r="D18" s="531"/>
      <c r="F18" s="117">
        <f>'As-Filed Schedule 2B'!F18</f>
        <v>0</v>
      </c>
      <c r="G18" s="314">
        <f>SUMIFS(Adjustments!$G:$G,Adjustments!$H:$H,"2B",Adjustments!$I:$I,'Schedule 2B Adjustments'!$F$12,Adjustments!$J:$J,'Schedule 2B Adjustments'!$A18)</f>
        <v>0</v>
      </c>
      <c r="H18" s="310">
        <f t="shared" si="0"/>
        <v>0</v>
      </c>
      <c r="I18" s="68">
        <f>IFERROR(F18*'As-Filed Schedule 1'!$E$103,0)</f>
        <v>0</v>
      </c>
      <c r="J18" s="311">
        <f>IFERROR(H18*'Adjusted Schedule 1'!$E$104,0)</f>
        <v>0</v>
      </c>
      <c r="K18" s="181">
        <f t="shared" si="1"/>
        <v>0</v>
      </c>
      <c r="L18" s="311">
        <f t="shared" ref="L18:L72" si="7">SUM(H18,J18)</f>
        <v>0</v>
      </c>
      <c r="N18" s="180">
        <f>'As-Filed Schedule 2B'!J18</f>
        <v>-8.3728795055147062E-2</v>
      </c>
      <c r="O18" s="314">
        <f>SUMIFS(Adjustments!$G:$G,Adjustments!$H:$H,"2B",Adjustments!$I:$I,'Schedule 2B Adjustments'!$N$12,Adjustments!$J:$J,'Schedule 2B Adjustments'!$A18)</f>
        <v>0</v>
      </c>
      <c r="P18" s="310">
        <f t="shared" si="2"/>
        <v>-8.3728795055147062E-2</v>
      </c>
      <c r="Q18" s="68">
        <f>IFERROR(N18*'As-Filed Schedule 1'!$E$103,0)</f>
        <v>-1.2498559412615169E-2</v>
      </c>
      <c r="R18" s="311">
        <f>IFERROR(P18*'Adjusted Schedule 1'!$E$104,0)</f>
        <v>-1.2755894403768391E-2</v>
      </c>
      <c r="S18" s="68">
        <f t="shared" si="3"/>
        <v>-9.6227354467762233E-2</v>
      </c>
      <c r="T18" s="311">
        <f t="shared" si="4"/>
        <v>-9.6484689458915446E-2</v>
      </c>
      <c r="V18" s="120">
        <f>'As-Filed Schedule 2B'!N18</f>
        <v>0</v>
      </c>
      <c r="W18" s="314">
        <f>SUMIFS(Adjustments!$G:$G,Adjustments!$H:$H,"2B",Adjustments!$I:$I,'Schedule 2B Adjustments'!$V$12,Adjustments!$J:$J,'Schedule 2B Adjustments'!$A18)</f>
        <v>0</v>
      </c>
      <c r="X18" s="327">
        <f t="shared" si="5"/>
        <v>0</v>
      </c>
      <c r="Y18" s="120">
        <f>'As-Filed Schedule 2B'!O18</f>
        <v>0</v>
      </c>
      <c r="Z18" s="314">
        <f>SUMIFS(Adjustments!$G:$G,Adjustments!$H:$H,"2B",Adjustments!$I:$I,'Schedule 2B Adjustments'!$Y$12,Adjustments!$J:$J,'Schedule 2B Adjustments'!$A18)</f>
        <v>0</v>
      </c>
      <c r="AA18" s="327">
        <f t="shared" si="6"/>
        <v>0</v>
      </c>
    </row>
    <row r="19" spans="1:27" x14ac:dyDescent="0.35">
      <c r="A19" s="24">
        <v>5</v>
      </c>
      <c r="B19" s="531" t="str">
        <f>IF('As-Filed Schedule 2B'!B19:D19=0,"",'As-Filed Schedule 2B'!B19:D19)</f>
        <v>Mental Health First Aid</v>
      </c>
      <c r="C19" s="531"/>
      <c r="D19" s="531"/>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8783.7576350490781</v>
      </c>
      <c r="O19" s="314">
        <f>SUMIFS(Adjustments!$G:$G,Adjustments!$H:$H,"2B",Adjustments!$I:$I,'Schedule 2B Adjustments'!$N$12,Adjustments!$J:$J,'Schedule 2B Adjustments'!$A19)</f>
        <v>0</v>
      </c>
      <c r="P19" s="310">
        <f t="shared" si="2"/>
        <v>8783.7576350490781</v>
      </c>
      <c r="Q19" s="68">
        <f>IFERROR(N19*'As-Filed Schedule 1'!$E$103,0)</f>
        <v>1311.189496939073</v>
      </c>
      <c r="R19" s="311">
        <f>IFERROR(P19*'Adjusted Schedule 1'!$E$104,0)</f>
        <v>1338.1858031897318</v>
      </c>
      <c r="S19" s="68">
        <f t="shared" si="3"/>
        <v>10094.94713198815</v>
      </c>
      <c r="T19" s="311">
        <f t="shared" si="4"/>
        <v>10121.94343823881</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31" t="str">
        <f>IF('As-Filed Schedule 2B'!B20:D20=0,"",'As-Filed Schedule 2B'!B20:D20)</f>
        <v>School Based Mental Health</v>
      </c>
      <c r="C20" s="531"/>
      <c r="D20" s="531"/>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1436.9326485376703</v>
      </c>
      <c r="O20" s="314">
        <f>SUMIFS(Adjustments!$G:$G,Adjustments!$H:$H,"2B",Adjustments!$I:$I,'Schedule 2B Adjustments'!$N$12,Adjustments!$J:$J,'Schedule 2B Adjustments'!$A20)</f>
        <v>0</v>
      </c>
      <c r="P20" s="310">
        <f t="shared" si="2"/>
        <v>1436.9326485376703</v>
      </c>
      <c r="Q20" s="68">
        <f>IFERROR(N20*'As-Filed Schedule 1'!$E$103,0)</f>
        <v>214.49715199944842</v>
      </c>
      <c r="R20" s="311">
        <f>IFERROR(P20*'Adjusted Schedule 1'!$E$104,0)</f>
        <v>218.91347078387221</v>
      </c>
      <c r="S20" s="68">
        <f t="shared" si="3"/>
        <v>1651.4298005371188</v>
      </c>
      <c r="T20" s="311">
        <f>SUM(P20,R20)</f>
        <v>1655.8461193215426</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31" t="str">
        <f>IF('As-Filed Schedule 2B'!B21:D21=0,"",'As-Filed Schedule 2B'!B21:D21)</f>
        <v/>
      </c>
      <c r="C21" s="531"/>
      <c r="D21" s="531"/>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31" t="str">
        <f>IF('As-Filed Schedule 2B'!B22:D22=0,"",'As-Filed Schedule 2B'!B22:D22)</f>
        <v/>
      </c>
      <c r="C22" s="531"/>
      <c r="D22" s="531"/>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31" t="str">
        <f>IF('As-Filed Schedule 2B'!B23:D23=0,"",'As-Filed Schedule 2B'!B23:D23)</f>
        <v/>
      </c>
      <c r="C23" s="531"/>
      <c r="D23" s="531"/>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31" t="str">
        <f>IF('As-Filed Schedule 2B'!B24:D24=0,"",'As-Filed Schedule 2B'!B24:D24)</f>
        <v/>
      </c>
      <c r="C24" s="531"/>
      <c r="D24" s="531"/>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31" t="str">
        <f>IF('As-Filed Schedule 2B'!B25:D25=0,"",'As-Filed Schedule 2B'!B25:D25)</f>
        <v/>
      </c>
      <c r="C25" s="531"/>
      <c r="D25" s="531"/>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31" t="str">
        <f>IF('As-Filed Schedule 2B'!B26:D26=0,"",'As-Filed Schedule 2B'!B26:D26)</f>
        <v/>
      </c>
      <c r="C26" s="531"/>
      <c r="D26" s="531"/>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31" t="str">
        <f>IF('As-Filed Schedule 2B'!B27:D27=0,"",'As-Filed Schedule 2B'!B27:D27)</f>
        <v/>
      </c>
      <c r="C27" s="531"/>
      <c r="D27" s="531"/>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31" t="str">
        <f>IF('As-Filed Schedule 2B'!B28:D28=0,"",'As-Filed Schedule 2B'!B28:D28)</f>
        <v/>
      </c>
      <c r="C28" s="531"/>
      <c r="D28" s="531"/>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31" t="str">
        <f>IF('As-Filed Schedule 2B'!B29:D29=0,"",'As-Filed Schedule 2B'!B29:D29)</f>
        <v/>
      </c>
      <c r="C29" s="531"/>
      <c r="D29" s="531"/>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31" t="str">
        <f>IF('As-Filed Schedule 2B'!B30:D30=0,"",'As-Filed Schedule 2B'!B30:D30)</f>
        <v/>
      </c>
      <c r="C30" s="531"/>
      <c r="D30" s="531"/>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31" t="str">
        <f>IF('As-Filed Schedule 2B'!B31:D31=0,"",'As-Filed Schedule 2B'!B31:D31)</f>
        <v/>
      </c>
      <c r="C31" s="531"/>
      <c r="D31" s="531"/>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31" t="str">
        <f>IF('As-Filed Schedule 2B'!B32:D32=0,"",'As-Filed Schedule 2B'!B32:D32)</f>
        <v/>
      </c>
      <c r="C32" s="531"/>
      <c r="D32" s="531"/>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31" t="str">
        <f>IF('As-Filed Schedule 2B'!B33:D33=0,"",'As-Filed Schedule 2B'!B33:D33)</f>
        <v/>
      </c>
      <c r="C33" s="531"/>
      <c r="D33" s="531"/>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31" t="str">
        <f>IF('As-Filed Schedule 2B'!B34:D34=0,"",'As-Filed Schedule 2B'!B34:D34)</f>
        <v/>
      </c>
      <c r="C34" s="531"/>
      <c r="D34" s="531"/>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31" t="str">
        <f>IF('As-Filed Schedule 2B'!B35:D35=0,"",'As-Filed Schedule 2B'!B35:D35)</f>
        <v/>
      </c>
      <c r="C35" s="531"/>
      <c r="D35" s="531"/>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31" t="str">
        <f>IF('As-Filed Schedule 2B'!B36:D36=0,"",'As-Filed Schedule 2B'!B36:D36)</f>
        <v/>
      </c>
      <c r="C36" s="531"/>
      <c r="D36" s="531"/>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31" t="str">
        <f>IF('As-Filed Schedule 2B'!B37:D37=0,"",'As-Filed Schedule 2B'!B37:D37)</f>
        <v/>
      </c>
      <c r="C37" s="531"/>
      <c r="D37" s="531"/>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31" t="str">
        <f>IF('As-Filed Schedule 2B'!B38:D38=0,"",'As-Filed Schedule 2B'!B38:D38)</f>
        <v/>
      </c>
      <c r="C38" s="531"/>
      <c r="D38" s="531"/>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31" t="str">
        <f>IF('As-Filed Schedule 2B'!B39:D39=0,"",'As-Filed Schedule 2B'!B39:D39)</f>
        <v/>
      </c>
      <c r="C39" s="531"/>
      <c r="D39" s="531"/>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31" t="str">
        <f>IF('As-Filed Schedule 2B'!B40:D40=0,"",'As-Filed Schedule 2B'!B40:D40)</f>
        <v/>
      </c>
      <c r="C40" s="531"/>
      <c r="D40" s="531"/>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31" t="str">
        <f>IF('As-Filed Schedule 2B'!B41:D41=0,"",'As-Filed Schedule 2B'!B41:D41)</f>
        <v/>
      </c>
      <c r="C41" s="531"/>
      <c r="D41" s="531"/>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31" t="str">
        <f>IF('As-Filed Schedule 2B'!B42:D42=0,"",'As-Filed Schedule 2B'!B42:D42)</f>
        <v/>
      </c>
      <c r="C42" s="531"/>
      <c r="D42" s="531"/>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31" t="str">
        <f>IF('As-Filed Schedule 2B'!B43:D43=0,"",'As-Filed Schedule 2B'!B43:D43)</f>
        <v/>
      </c>
      <c r="C43" s="531"/>
      <c r="D43" s="531"/>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31" t="str">
        <f>IF('As-Filed Schedule 2B'!B44:D44=0,"",'As-Filed Schedule 2B'!B44:D44)</f>
        <v/>
      </c>
      <c r="C44" s="531"/>
      <c r="D44" s="531"/>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31" t="str">
        <f>IF('As-Filed Schedule 2B'!B45:D45=0,"",'As-Filed Schedule 2B'!B45:D45)</f>
        <v/>
      </c>
      <c r="C45" s="531"/>
      <c r="D45" s="531"/>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31" t="str">
        <f>IF('As-Filed Schedule 2B'!B46:D46=0,"",'As-Filed Schedule 2B'!B46:D46)</f>
        <v/>
      </c>
      <c r="C46" s="531"/>
      <c r="D46" s="531"/>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31" t="str">
        <f>IF('As-Filed Schedule 2B'!B47:D47=0,"",'As-Filed Schedule 2B'!B47:D47)</f>
        <v/>
      </c>
      <c r="C47" s="531"/>
      <c r="D47" s="531"/>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31" t="str">
        <f>IF('As-Filed Schedule 2B'!B48:D48=0,"",'As-Filed Schedule 2B'!B48:D48)</f>
        <v/>
      </c>
      <c r="C48" s="531"/>
      <c r="D48" s="531"/>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31" t="str">
        <f>IF('As-Filed Schedule 2B'!B49:D49=0,"",'As-Filed Schedule 2B'!B49:D49)</f>
        <v/>
      </c>
      <c r="C49" s="531"/>
      <c r="D49" s="531"/>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31" t="str">
        <f>IF('As-Filed Schedule 2B'!B50:D50=0,"",'As-Filed Schedule 2B'!B50:D50)</f>
        <v/>
      </c>
      <c r="C50" s="531"/>
      <c r="D50" s="531"/>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31" t="str">
        <f>IF('As-Filed Schedule 2B'!B51:D51=0,"",'As-Filed Schedule 2B'!B51:D51)</f>
        <v/>
      </c>
      <c r="C51" s="531"/>
      <c r="D51" s="531"/>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31" t="str">
        <f>IF('As-Filed Schedule 2B'!B52:D52=0,"",'As-Filed Schedule 2B'!B52:D52)</f>
        <v/>
      </c>
      <c r="C52" s="531"/>
      <c r="D52" s="531"/>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31" t="str">
        <f>IF('As-Filed Schedule 2B'!B53:D53=0,"",'As-Filed Schedule 2B'!B53:D53)</f>
        <v/>
      </c>
      <c r="C53" s="531"/>
      <c r="D53" s="531"/>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31" t="str">
        <f>IF('As-Filed Schedule 2B'!B54:D54=0,"",'As-Filed Schedule 2B'!B54:D54)</f>
        <v/>
      </c>
      <c r="C54" s="531"/>
      <c r="D54" s="531"/>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31" t="str">
        <f>IF('As-Filed Schedule 2B'!B55:D55=0,"",'As-Filed Schedule 2B'!B55:D55)</f>
        <v/>
      </c>
      <c r="C55" s="531"/>
      <c r="D55" s="531"/>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31" t="str">
        <f>IF('As-Filed Schedule 2B'!B56:D56=0,"",'As-Filed Schedule 2B'!B56:D56)</f>
        <v/>
      </c>
      <c r="C56" s="531"/>
      <c r="D56" s="531"/>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31" t="str">
        <f>IF('As-Filed Schedule 2B'!B57:D57=0,"",'As-Filed Schedule 2B'!B57:D57)</f>
        <v/>
      </c>
      <c r="C57" s="531"/>
      <c r="D57" s="531"/>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31" t="str">
        <f>IF('As-Filed Schedule 2B'!B58:D58=0,"",'As-Filed Schedule 2B'!B58:D58)</f>
        <v/>
      </c>
      <c r="C58" s="531"/>
      <c r="D58" s="531"/>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31" t="str">
        <f>IF('As-Filed Schedule 2B'!B59:D59=0,"",'As-Filed Schedule 2B'!B59:D59)</f>
        <v/>
      </c>
      <c r="C59" s="531"/>
      <c r="D59" s="531"/>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31" t="str">
        <f>IF('As-Filed Schedule 2B'!B60:D60=0,"",'As-Filed Schedule 2B'!B60:D60)</f>
        <v/>
      </c>
      <c r="C60" s="531"/>
      <c r="D60" s="531"/>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31" t="str">
        <f>IF('As-Filed Schedule 2B'!B61:D61=0,"",'As-Filed Schedule 2B'!B61:D61)</f>
        <v/>
      </c>
      <c r="C61" s="531"/>
      <c r="D61" s="531"/>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31" t="str">
        <f>IF('As-Filed Schedule 2B'!B62:D62=0,"",'As-Filed Schedule 2B'!B62:D62)</f>
        <v/>
      </c>
      <c r="C62" s="531"/>
      <c r="D62" s="531"/>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31" t="str">
        <f>IF('As-Filed Schedule 2B'!B63:D63=0,"",'As-Filed Schedule 2B'!B63:D63)</f>
        <v/>
      </c>
      <c r="C63" s="531"/>
      <c r="D63" s="531"/>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31" t="str">
        <f>IF('As-Filed Schedule 2B'!B64:D64=0,"",'As-Filed Schedule 2B'!B64:D64)</f>
        <v/>
      </c>
      <c r="C64" s="531"/>
      <c r="D64" s="531"/>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31" t="str">
        <f>IF('As-Filed Schedule 2B'!B65:D65=0,"",'As-Filed Schedule 2B'!B65:D65)</f>
        <v/>
      </c>
      <c r="C65" s="531"/>
      <c r="D65" s="531"/>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31" t="str">
        <f>IF('As-Filed Schedule 2B'!B66:D66=0,"",'As-Filed Schedule 2B'!B66:D66)</f>
        <v/>
      </c>
      <c r="C66" s="531"/>
      <c r="D66" s="531"/>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31" t="str">
        <f>IF('As-Filed Schedule 2B'!B67:D67=0,"",'As-Filed Schedule 2B'!B67:D67)</f>
        <v/>
      </c>
      <c r="C67" s="531"/>
      <c r="D67" s="531"/>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31" t="str">
        <f>IF('As-Filed Schedule 2B'!B68:D68=0,"",'As-Filed Schedule 2B'!B68:D68)</f>
        <v/>
      </c>
      <c r="C68" s="531"/>
      <c r="D68" s="531"/>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31" t="str">
        <f>IF('As-Filed Schedule 2B'!B69:D69=0,"",'As-Filed Schedule 2B'!B69:D69)</f>
        <v/>
      </c>
      <c r="C69" s="531"/>
      <c r="D69" s="531"/>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31" t="str">
        <f>IF('As-Filed Schedule 2B'!B70:D70=0,"",'As-Filed Schedule 2B'!B70:D70)</f>
        <v/>
      </c>
      <c r="C70" s="531"/>
      <c r="D70" s="531"/>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31" t="str">
        <f>IF('As-Filed Schedule 2B'!B71:D71=0,"",'As-Filed Schedule 2B'!B71:D71)</f>
        <v/>
      </c>
      <c r="C71" s="531"/>
      <c r="D71" s="531"/>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31" t="str">
        <f>IF('As-Filed Schedule 2B'!B72:D72=0,"",'As-Filed Schedule 2B'!B72:D72)</f>
        <v/>
      </c>
      <c r="C72" s="531"/>
      <c r="D72" s="531"/>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0</v>
      </c>
      <c r="G73" s="321">
        <f t="shared" ref="G73:H73" si="8">SUM(G15:G72)</f>
        <v>0</v>
      </c>
      <c r="H73" s="312">
        <f t="shared" si="8"/>
        <v>0</v>
      </c>
      <c r="I73" s="18">
        <f t="shared" ref="I73:K73" si="9">SUM(I15:I72)</f>
        <v>0</v>
      </c>
      <c r="J73" s="312">
        <f t="shared" ref="J73" si="10">SUM(J15:J72)</f>
        <v>0</v>
      </c>
      <c r="K73" s="18">
        <f t="shared" si="9"/>
        <v>0</v>
      </c>
      <c r="L73" s="312">
        <f t="shared" ref="L73" si="11">SUM(L15:L72)</f>
        <v>0</v>
      </c>
      <c r="N73" s="18">
        <f>SUM(N15:N72)</f>
        <v>65705.993995837169</v>
      </c>
      <c r="O73" s="321">
        <f t="shared" ref="O73:P73" si="12">SUM(O15:O72)</f>
        <v>0</v>
      </c>
      <c r="P73" s="312">
        <f t="shared" si="12"/>
        <v>65705.993995837169</v>
      </c>
      <c r="Q73" s="18">
        <f t="shared" ref="Q73:S73" si="13">SUM(Q15:Q72)</f>
        <v>9808.2179396110059</v>
      </c>
      <c r="R73" s="311">
        <f>IFERROR(P73*'Adjusted Schedule 1'!$E$104,0)</f>
        <v>10010.161027081638</v>
      </c>
      <c r="S73" s="18">
        <f t="shared" si="13"/>
        <v>75514.211935448198</v>
      </c>
      <c r="T73" s="312">
        <f>SUM(T15:T72)</f>
        <v>75716.155022918829</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459</v>
      </c>
      <c r="F75" s="75">
        <f>K73+S73</f>
        <v>75514.211935448198</v>
      </c>
      <c r="G75"/>
      <c r="H75" s="335">
        <f>L73+T73</f>
        <v>75716.155022918829</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customProperties>
    <customPr name="OrphanNamesChecked" r:id="rId4"/>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773</v>
      </c>
    </row>
    <row r="2" spans="1:27" ht="21" x14ac:dyDescent="0.5">
      <c r="A2" s="2" t="s">
        <v>771</v>
      </c>
    </row>
    <row r="3" spans="1:27" ht="25" customHeight="1" x14ac:dyDescent="0.5">
      <c r="A3" s="512" t="s">
        <v>753</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626</v>
      </c>
      <c r="C8" s="1"/>
      <c r="D8" s="119" t="str">
        <f>'As-Filed Schedule 2C'!D8</f>
        <v>Yes</v>
      </c>
      <c r="E8" s="41" t="s">
        <v>258</v>
      </c>
    </row>
    <row r="10" spans="1:27" x14ac:dyDescent="0.35">
      <c r="A10" s="1" t="s">
        <v>253</v>
      </c>
      <c r="B10" s="1" t="s">
        <v>255</v>
      </c>
      <c r="C10" s="1"/>
    </row>
    <row r="11" spans="1:27" x14ac:dyDescent="0.35">
      <c r="B11" s="334" t="s">
        <v>597</v>
      </c>
    </row>
    <row r="12" spans="1:27" x14ac:dyDescent="0.35">
      <c r="B12" s="526">
        <v>1</v>
      </c>
      <c r="C12" s="526"/>
      <c r="D12" s="526"/>
      <c r="F12" s="23">
        <v>2</v>
      </c>
      <c r="G12" s="256" t="s">
        <v>555</v>
      </c>
      <c r="H12" s="257" t="s">
        <v>625</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35" t="s">
        <v>611</v>
      </c>
      <c r="C13" s="536"/>
      <c r="D13" s="537"/>
      <c r="F13" s="529" t="s">
        <v>260</v>
      </c>
      <c r="G13" s="534"/>
      <c r="H13" s="534"/>
      <c r="I13" s="534"/>
      <c r="J13" s="534"/>
      <c r="K13" s="534"/>
      <c r="L13" s="530"/>
      <c r="N13" s="529" t="s">
        <v>261</v>
      </c>
      <c r="O13" s="534"/>
      <c r="P13" s="534"/>
      <c r="Q13" s="534"/>
      <c r="R13" s="534"/>
      <c r="S13" s="534"/>
      <c r="T13" s="530"/>
      <c r="V13" s="532" t="s">
        <v>249</v>
      </c>
      <c r="W13" s="582" t="s">
        <v>619</v>
      </c>
      <c r="X13" s="584" t="s">
        <v>620</v>
      </c>
      <c r="Y13" s="528" t="s">
        <v>311</v>
      </c>
      <c r="Z13" s="586" t="s">
        <v>621</v>
      </c>
      <c r="AA13" s="587" t="s">
        <v>622</v>
      </c>
    </row>
    <row r="14" spans="1:27" ht="55.5" customHeight="1" x14ac:dyDescent="0.35">
      <c r="B14" s="538"/>
      <c r="C14" s="539"/>
      <c r="D14" s="540"/>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33"/>
      <c r="W14" s="583"/>
      <c r="X14" s="585"/>
      <c r="Y14" s="528"/>
      <c r="Z14" s="586"/>
      <c r="AA14" s="587"/>
    </row>
    <row r="15" spans="1:27" x14ac:dyDescent="0.35">
      <c r="A15" s="24">
        <v>1</v>
      </c>
      <c r="B15" s="531" t="str">
        <f>IF('As-Filed Schedule 2C'!B15:D15=0,"",'As-Filed Schedule 2C'!B15:D15)</f>
        <v>Case Management</v>
      </c>
      <c r="C15" s="531"/>
      <c r="D15" s="531"/>
      <c r="F15" s="117">
        <f>'As-Filed Schedule 2C'!F15</f>
        <v>21591.740948535549</v>
      </c>
      <c r="G15" s="314">
        <f>SUMIFS(Adjustments!$G:$G,Adjustments!$H:$H,"2C",Adjustments!$I:$I,'Schedule 2C Adjustments'!$F$12,Adjustments!$J:$J,'Schedule 2C Adjustments'!$A15)</f>
        <v>0</v>
      </c>
      <c r="H15" s="310">
        <f>SUM(F15:G15)</f>
        <v>21591.740948535549</v>
      </c>
      <c r="I15" s="68">
        <f>IFERROR(F15*'As-Filed Schedule 1'!$E$103,0)</f>
        <v>3223.0925679668899</v>
      </c>
      <c r="J15" s="311">
        <f>IFERROR(H15*'Adjusted Schedule 1'!$E$104,0)</f>
        <v>3289.4533756473834</v>
      </c>
      <c r="K15" s="68">
        <f>SUM(F15,I15)</f>
        <v>24814.83351650244</v>
      </c>
      <c r="L15" s="311">
        <f>SUM(H15,J15)</f>
        <v>24881.194324182932</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0</v>
      </c>
      <c r="W15" s="314">
        <f>SUMIFS(Adjustments!$G:$G,Adjustments!$H:$H,"2C",Adjustments!$I:$I,'Schedule 2C Adjustments'!$V$12,Adjustments!$J:$J,'Schedule 2C Adjustments'!$A15)</f>
        <v>0</v>
      </c>
      <c r="X15" s="310">
        <f>SUM(V15:W15)</f>
        <v>0</v>
      </c>
      <c r="Y15" s="120">
        <f>'As-Filed Schedule 2C'!O15</f>
        <v>0</v>
      </c>
      <c r="Z15" s="314">
        <f>SUMIFS(Adjustments!$G:$G,Adjustments!$H:$H,"2C",Adjustments!$I:$I,'Schedule 2C Adjustments'!$Y$12,Adjustments!$J:$J,'Schedule 2C Adjustments'!$A15)</f>
        <v>0</v>
      </c>
      <c r="AA15" s="310">
        <f>SUM(Y15:Z15)</f>
        <v>0</v>
      </c>
    </row>
    <row r="16" spans="1:27" x14ac:dyDescent="0.35">
      <c r="A16" s="24">
        <v>2</v>
      </c>
      <c r="B16" s="531" t="str">
        <f>IF('As-Filed Schedule 2C'!B16:D16=0,"",'As-Filed Schedule 2C'!B16:D16)</f>
        <v>CCBHC</v>
      </c>
      <c r="C16" s="531"/>
      <c r="D16" s="531"/>
      <c r="F16" s="117">
        <f>'As-Filed Schedule 2C'!F16</f>
        <v>75428.895660622118</v>
      </c>
      <c r="G16" s="314">
        <f>SUMIFS(Adjustments!$G:$G,Adjustments!$H:$H,"2C",Adjustments!$I:$I,'Schedule 2C Adjustments'!$F$12,Adjustments!$J:$J,'Schedule 2C Adjustments'!$A16)</f>
        <v>0</v>
      </c>
      <c r="H16" s="310">
        <f t="shared" ref="H16:H72" si="0">SUM(F16:G16)</f>
        <v>75428.895660622118</v>
      </c>
      <c r="I16" s="68">
        <f>IFERROR(F16*'As-Filed Schedule 1'!$E$103,0)</f>
        <v>11259.597528201646</v>
      </c>
      <c r="J16" s="311">
        <f>IFERROR(H16*'Adjusted Schedule 1'!$E$104,0)</f>
        <v>11491.42331985121</v>
      </c>
      <c r="K16" s="68">
        <f t="shared" ref="K16:K72" si="1">SUM(F16,I16)</f>
        <v>86688.493188823762</v>
      </c>
      <c r="L16" s="311">
        <f t="shared" ref="L16:L72" si="2">SUM(H16,J16)</f>
        <v>86920.318980473327</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0</v>
      </c>
      <c r="W16" s="314">
        <f>SUMIFS(Adjustments!$G:$G,Adjustments!$H:$H,"2C",Adjustments!$I:$I,'Schedule 2C Adjustments'!$V$12,Adjustments!$J:$J,'Schedule 2C Adjustments'!$A16)</f>
        <v>0</v>
      </c>
      <c r="X16" s="310">
        <f t="shared" ref="X16:X72" si="6">SUM(V16:W16)</f>
        <v>0</v>
      </c>
      <c r="Y16" s="120">
        <f>'As-Filed Schedule 2C'!O16</f>
        <v>0</v>
      </c>
      <c r="Z16" s="314">
        <f>SUMIFS(Adjustments!$G:$G,Adjustments!$H:$H,"2C",Adjustments!$I:$I,'Schedule 2C Adjustments'!$Y$12,Adjustments!$J:$J,'Schedule 2C Adjustments'!$A16)</f>
        <v>0</v>
      </c>
      <c r="AA16" s="310">
        <f t="shared" ref="AA16:AA72" si="7">SUM(Y16:Z16)</f>
        <v>0</v>
      </c>
    </row>
    <row r="17" spans="1:27" x14ac:dyDescent="0.35">
      <c r="A17" s="24">
        <v>3</v>
      </c>
      <c r="B17" s="531" t="str">
        <f>IF('As-Filed Schedule 2C'!B17:D17=0,"",'As-Filed Schedule 2C'!B17:D17)</f>
        <v>Day Treatment</v>
      </c>
      <c r="C17" s="531"/>
      <c r="D17" s="531"/>
      <c r="F17" s="117">
        <f>'As-Filed Schedule 2C'!F17</f>
        <v>37134.379971218877</v>
      </c>
      <c r="G17" s="314">
        <f>SUMIFS(Adjustments!$G:$G,Adjustments!$H:$H,"2C",Adjustments!$I:$I,'Schedule 2C Adjustments'!$F$12,Adjustments!$J:$J,'Schedule 2C Adjustments'!$A17)</f>
        <v>0</v>
      </c>
      <c r="H17" s="310">
        <f t="shared" si="0"/>
        <v>37134.379971218877</v>
      </c>
      <c r="I17" s="68">
        <f>IFERROR(F17*'As-Filed Schedule 1'!$E$103,0)</f>
        <v>5543.2095256502162</v>
      </c>
      <c r="J17" s="311">
        <f>IFERROR(H17*'Adjusted Schedule 1'!$E$104,0)</f>
        <v>5657.3396207397254</v>
      </c>
      <c r="K17" s="68">
        <f t="shared" si="1"/>
        <v>42677.589496869092</v>
      </c>
      <c r="L17" s="311">
        <f t="shared" si="2"/>
        <v>42791.719591958601</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0</v>
      </c>
      <c r="W17" s="314">
        <f>SUMIFS(Adjustments!$G:$G,Adjustments!$H:$H,"2C",Adjustments!$I:$I,'Schedule 2C Adjustments'!$V$12,Adjustments!$J:$J,'Schedule 2C Adjustments'!$A17)</f>
        <v>0</v>
      </c>
      <c r="X17" s="310">
        <f t="shared" si="6"/>
        <v>0</v>
      </c>
      <c r="Y17" s="120">
        <f>'As-Filed Schedule 2C'!O17</f>
        <v>0</v>
      </c>
      <c r="Z17" s="314">
        <f>SUMIFS(Adjustments!$G:$G,Adjustments!$H:$H,"2C",Adjustments!$I:$I,'Schedule 2C Adjustments'!$Y$12,Adjustments!$J:$J,'Schedule 2C Adjustments'!$A17)</f>
        <v>0</v>
      </c>
      <c r="AA17" s="310">
        <f t="shared" si="7"/>
        <v>0</v>
      </c>
    </row>
    <row r="18" spans="1:27" x14ac:dyDescent="0.35">
      <c r="A18" s="24">
        <v>4</v>
      </c>
      <c r="B18" s="531" t="str">
        <f>IF('As-Filed Schedule 2C'!B18:D18=0,"",'As-Filed Schedule 2C'!B18:D18)</f>
        <v>Early Childhood Mental Health</v>
      </c>
      <c r="C18" s="531"/>
      <c r="D18" s="531"/>
      <c r="F18" s="117">
        <f>'As-Filed Schedule 2C'!F18</f>
        <v>0</v>
      </c>
      <c r="G18" s="314">
        <f>SUMIFS(Adjustments!$G:$G,Adjustments!$H:$H,"2C",Adjustments!$I:$I,'Schedule 2C Adjustments'!$F$12,Adjustments!$J:$J,'Schedule 2C Adjustments'!$A18)</f>
        <v>0</v>
      </c>
      <c r="H18" s="310">
        <f t="shared" si="0"/>
        <v>0</v>
      </c>
      <c r="I18" s="68">
        <f>IFERROR(F18*'As-Filed Schedule 1'!$E$103,0)</f>
        <v>0</v>
      </c>
      <c r="J18" s="311">
        <f>IFERROR(H18*'Adjusted Schedule 1'!$E$104,0)</f>
        <v>0</v>
      </c>
      <c r="K18" s="68">
        <f t="shared" si="1"/>
        <v>0</v>
      </c>
      <c r="L18" s="311">
        <f>SUM(H18,J18)</f>
        <v>0</v>
      </c>
      <c r="N18" s="117">
        <f>'As-Filed Schedule 2C'!J18</f>
        <v>161963.94501083752</v>
      </c>
      <c r="O18" s="314">
        <f>SUMIFS(Adjustments!$G:$G,Adjustments!$H:$H,"2C",Adjustments!$I:$I,'Schedule 2C Adjustments'!$N$12,Adjustments!$J:$J,'Schedule 2C Adjustments'!$A18)</f>
        <v>0</v>
      </c>
      <c r="P18" s="310">
        <f t="shared" si="3"/>
        <v>161963.94501083752</v>
      </c>
      <c r="Q18" s="68">
        <f>IFERROR(N18*'As-Filed Schedule 1'!$E$103,0)</f>
        <v>24177.058658090031</v>
      </c>
      <c r="R18" s="311">
        <f>IFERROR(P18*'Adjusted Schedule 1'!$E$104,0)</f>
        <v>24674.844280456306</v>
      </c>
      <c r="S18" s="68">
        <f>SUM(N18,Q18)</f>
        <v>186141.00366892756</v>
      </c>
      <c r="T18" s="311">
        <f t="shared" si="5"/>
        <v>186638.78929129383</v>
      </c>
      <c r="V18" s="120">
        <f>'As-Filed Schedule 2C'!N18</f>
        <v>0</v>
      </c>
      <c r="W18" s="314">
        <f>SUMIFS(Adjustments!$G:$G,Adjustments!$H:$H,"2C",Adjustments!$I:$I,'Schedule 2C Adjustments'!$V$12,Adjustments!$J:$J,'Schedule 2C Adjustments'!$A18)</f>
        <v>0</v>
      </c>
      <c r="X18" s="310">
        <f t="shared" si="6"/>
        <v>0</v>
      </c>
      <c r="Y18" s="120">
        <f>'As-Filed Schedule 2C'!O18</f>
        <v>0</v>
      </c>
      <c r="Z18" s="314">
        <f>SUMIFS(Adjustments!$G:$G,Adjustments!$H:$H,"2C",Adjustments!$I:$I,'Schedule 2C Adjustments'!$Y$12,Adjustments!$J:$J,'Schedule 2C Adjustments'!$A18)</f>
        <v>0</v>
      </c>
      <c r="AA18" s="310">
        <f t="shared" si="7"/>
        <v>0</v>
      </c>
    </row>
    <row r="19" spans="1:27" x14ac:dyDescent="0.35">
      <c r="A19" s="24">
        <v>5</v>
      </c>
      <c r="B19" s="531" t="str">
        <f>IF('As-Filed Schedule 2C'!B19:D19=0,"",'As-Filed Schedule 2C'!B19:D19)</f>
        <v>Harm Reduction</v>
      </c>
      <c r="C19" s="531"/>
      <c r="D19" s="531"/>
      <c r="F19" s="117">
        <f>'As-Filed Schedule 2C'!F19</f>
        <v>179506.60329490353</v>
      </c>
      <c r="G19" s="314">
        <f>SUMIFS(Adjustments!$G:$G,Adjustments!$H:$H,"2C",Adjustments!$I:$I,'Schedule 2C Adjustments'!$F$12,Adjustments!$J:$J,'Schedule 2C Adjustments'!$A19)</f>
        <v>0</v>
      </c>
      <c r="H19" s="310">
        <f t="shared" si="0"/>
        <v>179506.60329490353</v>
      </c>
      <c r="I19" s="68">
        <f>IFERROR(F19*'As-Filed Schedule 1'!$E$103,0)</f>
        <v>26795.727142142532</v>
      </c>
      <c r="J19" s="311">
        <f>IFERROR(H19*'Adjusted Schedule 1'!$E$104,0)</f>
        <v>27347.428980684628</v>
      </c>
      <c r="K19" s="68">
        <f t="shared" si="1"/>
        <v>206302.33043704607</v>
      </c>
      <c r="L19" s="311">
        <f t="shared" si="2"/>
        <v>206854.03227558816</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0</v>
      </c>
      <c r="W19" s="314">
        <f>SUMIFS(Adjustments!$G:$G,Adjustments!$H:$H,"2C",Adjustments!$I:$I,'Schedule 2C Adjustments'!$V$12,Adjustments!$J:$J,'Schedule 2C Adjustments'!$A19)</f>
        <v>0</v>
      </c>
      <c r="X19" s="310">
        <f t="shared" si="6"/>
        <v>0</v>
      </c>
      <c r="Y19" s="120">
        <f>'As-Filed Schedule 2C'!O19</f>
        <v>0</v>
      </c>
      <c r="Z19" s="314">
        <f>SUMIFS(Adjustments!$G:$G,Adjustments!$H:$H,"2C",Adjustments!$I:$I,'Schedule 2C Adjustments'!$Y$12,Adjustments!$J:$J,'Schedule 2C Adjustments'!$A19)</f>
        <v>0</v>
      </c>
      <c r="AA19" s="310">
        <f t="shared" si="7"/>
        <v>0</v>
      </c>
    </row>
    <row r="20" spans="1:27" x14ac:dyDescent="0.35">
      <c r="A20" s="24">
        <v>6</v>
      </c>
      <c r="B20" s="531" t="str">
        <f>IF('As-Filed Schedule 2C'!B20:D20=0,"",'As-Filed Schedule 2C'!B20:D20)</f>
        <v>IPS</v>
      </c>
      <c r="C20" s="531"/>
      <c r="D20" s="531"/>
      <c r="F20" s="117">
        <f>'As-Filed Schedule 2C'!F20</f>
        <v>34863.98996450338</v>
      </c>
      <c r="G20" s="314">
        <f>SUMIFS(Adjustments!$G:$G,Adjustments!$H:$H,"2C",Adjustments!$I:$I,'Schedule 2C Adjustments'!$F$12,Adjustments!$J:$J,'Schedule 2C Adjustments'!$A20)</f>
        <v>0</v>
      </c>
      <c r="H20" s="310">
        <f t="shared" si="0"/>
        <v>34863.98996450338</v>
      </c>
      <c r="I20" s="68">
        <f>IFERROR(F20*'As-Filed Schedule 1'!$E$103,0)</f>
        <v>5204.2985886177239</v>
      </c>
      <c r="J20" s="311">
        <f>IFERROR(H20*'Adjusted Schedule 1'!$E$104,0)</f>
        <v>5311.4507880871224</v>
      </c>
      <c r="K20" s="68">
        <f>SUM(F20,I20)</f>
        <v>40068.288553121107</v>
      </c>
      <c r="L20" s="311">
        <f t="shared" si="2"/>
        <v>40175.440752590504</v>
      </c>
      <c r="N20" s="117">
        <f>'As-Filed Schedule 2C'!J20</f>
        <v>0</v>
      </c>
      <c r="O20" s="314">
        <f>SUMIFS(Adjustments!$G:$G,Adjustments!$H:$H,"2C",Adjustments!$I:$I,'Schedule 2C Adjustments'!$N$12,Adjustments!$J:$J,'Schedule 2C Adjustments'!$A20)</f>
        <v>0</v>
      </c>
      <c r="P20" s="310">
        <f t="shared" si="3"/>
        <v>0</v>
      </c>
      <c r="Q20" s="68">
        <f>IFERROR(N20*'As-Filed Schedule 1'!$E$103,0)</f>
        <v>0</v>
      </c>
      <c r="R20" s="311">
        <f>IFERROR(P20*'Adjusted Schedule 1'!$E$104,0)</f>
        <v>0</v>
      </c>
      <c r="S20" s="68">
        <f t="shared" si="4"/>
        <v>0</v>
      </c>
      <c r="T20" s="311">
        <f t="shared" si="5"/>
        <v>0</v>
      </c>
      <c r="V20" s="120">
        <f>'As-Filed Schedule 2C'!N20</f>
        <v>0</v>
      </c>
      <c r="W20" s="314">
        <f>SUMIFS(Adjustments!$G:$G,Adjustments!$H:$H,"2C",Adjustments!$I:$I,'Schedule 2C Adjustments'!$V$12,Adjustments!$J:$J,'Schedule 2C Adjustments'!$A20)</f>
        <v>0</v>
      </c>
      <c r="X20" s="310">
        <f t="shared" si="6"/>
        <v>0</v>
      </c>
      <c r="Y20" s="120">
        <f>'As-Filed Schedule 2C'!O20</f>
        <v>0</v>
      </c>
      <c r="Z20" s="314">
        <f>SUMIFS(Adjustments!$G:$G,Adjustments!$H:$H,"2C",Adjustments!$I:$I,'Schedule 2C Adjustments'!$Y$12,Adjustments!$J:$J,'Schedule 2C Adjustments'!$A20)</f>
        <v>0</v>
      </c>
      <c r="AA20" s="310">
        <f t="shared" si="7"/>
        <v>0</v>
      </c>
    </row>
    <row r="21" spans="1:27" x14ac:dyDescent="0.35">
      <c r="A21" s="24">
        <v>7</v>
      </c>
      <c r="B21" s="531" t="str">
        <f>IF('As-Filed Schedule 2C'!B21:D21=0,"",'As-Filed Schedule 2C'!B21:D21)</f>
        <v>JBBS</v>
      </c>
      <c r="C21" s="531"/>
      <c r="D21" s="531"/>
      <c r="F21" s="117">
        <f>'As-Filed Schedule 2C'!F21</f>
        <v>66252.303451373227</v>
      </c>
      <c r="G21" s="314">
        <f>SUMIFS(Adjustments!$G:$G,Adjustments!$H:$H,"2C",Adjustments!$I:$I,'Schedule 2C Adjustments'!$F$12,Adjustments!$J:$J,'Schedule 2C Adjustments'!$A21)</f>
        <v>0</v>
      </c>
      <c r="H21" s="310">
        <f t="shared" si="0"/>
        <v>66252.303451373227</v>
      </c>
      <c r="I21" s="68">
        <f>IFERROR(F21*'As-Filed Schedule 1'!$E$103,0)</f>
        <v>9889.7679151384618</v>
      </c>
      <c r="J21" s="311">
        <f>IFERROR(H21*'Adjusted Schedule 1'!$E$104,0)</f>
        <v>10093.390049092624</v>
      </c>
      <c r="K21" s="68">
        <f t="shared" si="1"/>
        <v>76142.071366511693</v>
      </c>
      <c r="L21" s="311">
        <f t="shared" si="2"/>
        <v>76345.693500465859</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0</v>
      </c>
      <c r="W21" s="314">
        <f>SUMIFS(Adjustments!$G:$G,Adjustments!$H:$H,"2C",Adjustments!$I:$I,'Schedule 2C Adjustments'!$V$12,Adjustments!$J:$J,'Schedule 2C Adjustments'!$A21)</f>
        <v>0</v>
      </c>
      <c r="X21" s="310">
        <f t="shared" si="6"/>
        <v>0</v>
      </c>
      <c r="Y21" s="120">
        <f>'As-Filed Schedule 2C'!O21</f>
        <v>0</v>
      </c>
      <c r="Z21" s="314">
        <f>SUMIFS(Adjustments!$G:$G,Adjustments!$H:$H,"2C",Adjustments!$I:$I,'Schedule 2C Adjustments'!$Y$12,Adjustments!$J:$J,'Schedule 2C Adjustments'!$A21)</f>
        <v>0</v>
      </c>
      <c r="AA21" s="310">
        <f t="shared" si="7"/>
        <v>0</v>
      </c>
    </row>
    <row r="22" spans="1:27" x14ac:dyDescent="0.35">
      <c r="A22" s="24">
        <v>8</v>
      </c>
      <c r="B22" s="531" t="str">
        <f>IF('As-Filed Schedule 2C'!B22:D22=0,"",'As-Filed Schedule 2C'!B22:D22)</f>
        <v>Mobile Recovery</v>
      </c>
      <c r="C22" s="531"/>
      <c r="D22" s="531"/>
      <c r="F22" s="117">
        <f>'As-Filed Schedule 2C'!F22</f>
        <v>45485.196939236521</v>
      </c>
      <c r="G22" s="314">
        <f>SUMIFS(Adjustments!$G:$G,Adjustments!$H:$H,"2C",Adjustments!$I:$I,'Schedule 2C Adjustments'!$F$12,Adjustments!$J:$J,'Schedule 2C Adjustments'!$A22)</f>
        <v>0</v>
      </c>
      <c r="H22" s="310">
        <f t="shared" si="0"/>
        <v>45485.196939236521</v>
      </c>
      <c r="I22" s="68">
        <f>IFERROR(F22*'As-Filed Schedule 1'!$E$103,0)</f>
        <v>6789.7720965065046</v>
      </c>
      <c r="J22" s="311">
        <f>IFERROR(H22*'Adjusted Schedule 1'!$E$104,0)</f>
        <v>6929.5678829411672</v>
      </c>
      <c r="K22" s="68">
        <f t="shared" si="1"/>
        <v>52274.969035743023</v>
      </c>
      <c r="L22" s="311">
        <f t="shared" si="2"/>
        <v>52414.764822177691</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0</v>
      </c>
      <c r="W22" s="314">
        <f>SUMIFS(Adjustments!$G:$G,Adjustments!$H:$H,"2C",Adjustments!$I:$I,'Schedule 2C Adjustments'!$V$12,Adjustments!$J:$J,'Schedule 2C Adjustments'!$A22)</f>
        <v>0</v>
      </c>
      <c r="X22" s="310">
        <f t="shared" si="6"/>
        <v>0</v>
      </c>
      <c r="Y22" s="120">
        <f>'As-Filed Schedule 2C'!O22</f>
        <v>0</v>
      </c>
      <c r="Z22" s="314">
        <f>SUMIFS(Adjustments!$G:$G,Adjustments!$H:$H,"2C",Adjustments!$I:$I,'Schedule 2C Adjustments'!$Y$12,Adjustments!$J:$J,'Schedule 2C Adjustments'!$A22)</f>
        <v>0</v>
      </c>
      <c r="AA22" s="310">
        <f t="shared" si="7"/>
        <v>0</v>
      </c>
    </row>
    <row r="23" spans="1:27" x14ac:dyDescent="0.35">
      <c r="A23" s="24">
        <v>9</v>
      </c>
      <c r="B23" s="531" t="str">
        <f>IF('As-Filed Schedule 2C'!B23:D23=0,"",'As-Filed Schedule 2C'!B23:D23)</f>
        <v>Offender Services</v>
      </c>
      <c r="C23" s="531"/>
      <c r="D23" s="531"/>
      <c r="F23" s="117">
        <f>'As-Filed Schedule 2C'!F23</f>
        <v>136230.16150312277</v>
      </c>
      <c r="G23" s="314">
        <f>SUMIFS(Adjustments!$G:$G,Adjustments!$H:$H,"2C",Adjustments!$I:$I,'Schedule 2C Adjustments'!$F$12,Adjustments!$J:$J,'Schedule 2C Adjustments'!$A23)</f>
        <v>0</v>
      </c>
      <c r="H23" s="310">
        <f t="shared" si="0"/>
        <v>136230.16150312277</v>
      </c>
      <c r="I23" s="68">
        <f>IFERROR(F23*'As-Filed Schedule 1'!$E$103,0)</f>
        <v>20335.665480620944</v>
      </c>
      <c r="J23" s="311">
        <f>IFERROR(H23*'Adjusted Schedule 1'!$E$104,0)</f>
        <v>20754.359997628126</v>
      </c>
      <c r="K23" s="68">
        <f t="shared" si="1"/>
        <v>156565.82698374373</v>
      </c>
      <c r="L23" s="311">
        <f t="shared" si="2"/>
        <v>156984.52150075091</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0</v>
      </c>
      <c r="W23" s="314">
        <f>SUMIFS(Adjustments!$G:$G,Adjustments!$H:$H,"2C",Adjustments!$I:$I,'Schedule 2C Adjustments'!$V$12,Adjustments!$J:$J,'Schedule 2C Adjustments'!$A23)</f>
        <v>0</v>
      </c>
      <c r="X23" s="310">
        <f t="shared" si="6"/>
        <v>0</v>
      </c>
      <c r="Y23" s="120">
        <f>'As-Filed Schedule 2C'!O23</f>
        <v>0</v>
      </c>
      <c r="Z23" s="314">
        <f>SUMIFS(Adjustments!$G:$G,Adjustments!$H:$H,"2C",Adjustments!$I:$I,'Schedule 2C Adjustments'!$Y$12,Adjustments!$J:$J,'Schedule 2C Adjustments'!$A23)</f>
        <v>0</v>
      </c>
      <c r="AA23" s="310">
        <f t="shared" si="7"/>
        <v>0</v>
      </c>
    </row>
    <row r="24" spans="1:27" x14ac:dyDescent="0.35">
      <c r="A24" s="24">
        <v>10</v>
      </c>
      <c r="B24" s="531" t="str">
        <f>IF('As-Filed Schedule 2C'!B24:D24=0,"",'As-Filed Schedule 2C'!B24:D24)</f>
        <v>Opioid Peer Recovery</v>
      </c>
      <c r="C24" s="531"/>
      <c r="D24" s="531"/>
      <c r="F24" s="117">
        <f>'As-Filed Schedule 2C'!F24</f>
        <v>234386.32803081794</v>
      </c>
      <c r="G24" s="314">
        <f>SUMIFS(Adjustments!$G:$G,Adjustments!$H:$H,"2C",Adjustments!$I:$I,'Schedule 2C Adjustments'!$F$12,Adjustments!$J:$J,'Schedule 2C Adjustments'!$A24)</f>
        <v>0</v>
      </c>
      <c r="H24" s="310">
        <f t="shared" si="0"/>
        <v>234386.32803081794</v>
      </c>
      <c r="I24" s="68">
        <f>IFERROR(F24*'As-Filed Schedule 1'!$E$103,0)</f>
        <v>34987.861039543306</v>
      </c>
      <c r="J24" s="311">
        <f>IFERROR(H24*'Adjusted Schedule 1'!$E$104,0)</f>
        <v>35708.232133030564</v>
      </c>
      <c r="K24" s="68">
        <f t="shared" si="1"/>
        <v>269374.18907036126</v>
      </c>
      <c r="L24" s="311">
        <f t="shared" si="2"/>
        <v>270094.56016384851</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0</v>
      </c>
      <c r="W24" s="314">
        <f>SUMIFS(Adjustments!$G:$G,Adjustments!$H:$H,"2C",Adjustments!$I:$I,'Schedule 2C Adjustments'!$V$12,Adjustments!$J:$J,'Schedule 2C Adjustments'!$A24)</f>
        <v>0</v>
      </c>
      <c r="X24" s="310">
        <f t="shared" si="6"/>
        <v>0</v>
      </c>
      <c r="Y24" s="120">
        <f>'As-Filed Schedule 2C'!O24</f>
        <v>0</v>
      </c>
      <c r="Z24" s="314">
        <f>SUMIFS(Adjustments!$G:$G,Adjustments!$H:$H,"2C",Adjustments!$I:$I,'Schedule 2C Adjustments'!$Y$12,Adjustments!$J:$J,'Schedule 2C Adjustments'!$A24)</f>
        <v>0</v>
      </c>
      <c r="AA24" s="310">
        <f t="shared" si="7"/>
        <v>0</v>
      </c>
    </row>
    <row r="25" spans="1:27" x14ac:dyDescent="0.35">
      <c r="A25" s="24">
        <v>11</v>
      </c>
      <c r="B25" s="531" t="str">
        <f>IF('As-Filed Schedule 2C'!B25:D25=0,"",'As-Filed Schedule 2C'!B25:D25)</f>
        <v>Outpatient Services</v>
      </c>
      <c r="C25" s="531"/>
      <c r="D25" s="531"/>
      <c r="F25" s="117">
        <f>'As-Filed Schedule 2C'!F25</f>
        <v>13465830.639033508</v>
      </c>
      <c r="G25" s="314">
        <f>SUMIFS(Adjustments!$G:$G,Adjustments!$H:$H,"2C",Adjustments!$I:$I,'Schedule 2C Adjustments'!$F$12,Adjustments!$J:$J,'Schedule 2C Adjustments'!$A25)</f>
        <v>-13465831</v>
      </c>
      <c r="H25" s="310">
        <f t="shared" si="0"/>
        <v>-0.36096649244427681</v>
      </c>
      <c r="I25" s="68">
        <f>IFERROR(F25*'As-Filed Schedule 1'!$E$103,0)</f>
        <v>2010102.7868766382</v>
      </c>
      <c r="J25" s="311">
        <f>IFERROR(H25*'Adjusted Schedule 1'!$E$104,0)</f>
        <v>-5.499243668662835E-2</v>
      </c>
      <c r="K25" s="68">
        <f t="shared" si="1"/>
        <v>15475933.425910145</v>
      </c>
      <c r="L25" s="311">
        <f t="shared" si="2"/>
        <v>-0.41595892913090515</v>
      </c>
      <c r="N25" s="117">
        <f>'As-Filed Schedule 2C'!J25</f>
        <v>427.84367663241954</v>
      </c>
      <c r="O25" s="314">
        <f>SUMIFS(Adjustments!$G:$G,Adjustments!$H:$H,"2C",Adjustments!$I:$I,'Schedule 2C Adjustments'!$N$12,Adjustments!$J:$J,'Schedule 2C Adjustments'!$A25)</f>
        <v>-428</v>
      </c>
      <c r="P25" s="310">
        <f t="shared" si="3"/>
        <v>-0.1563233675804554</v>
      </c>
      <c r="Q25" s="68">
        <f>IFERROR(N25*'As-Filed Schedule 1'!$E$103,0)</f>
        <v>63.86607627853693</v>
      </c>
      <c r="R25" s="311">
        <f>IFERROR(P25*'Adjusted Schedule 1'!$E$104,0)</f>
        <v>-2.3815514941835775E-2</v>
      </c>
      <c r="S25" s="68">
        <f t="shared" si="4"/>
        <v>491.70975291095647</v>
      </c>
      <c r="T25" s="311">
        <f t="shared" si="5"/>
        <v>-0.18013888252229118</v>
      </c>
      <c r="V25" s="120">
        <f>'As-Filed Schedule 2C'!N25</f>
        <v>0</v>
      </c>
      <c r="W25" s="314">
        <f>SUMIFS(Adjustments!$G:$G,Adjustments!$H:$H,"2C",Adjustments!$I:$I,'Schedule 2C Adjustments'!$V$12,Adjustments!$J:$J,'Schedule 2C Adjustments'!$A25)</f>
        <v>0</v>
      </c>
      <c r="X25" s="310">
        <f t="shared" si="6"/>
        <v>0</v>
      </c>
      <c r="Y25" s="120">
        <f>'As-Filed Schedule 2C'!O25</f>
        <v>0</v>
      </c>
      <c r="Z25" s="314">
        <f>SUMIFS(Adjustments!$G:$G,Adjustments!$H:$H,"2C",Adjustments!$I:$I,'Schedule 2C Adjustments'!$Y$12,Adjustments!$J:$J,'Schedule 2C Adjustments'!$A25)</f>
        <v>0</v>
      </c>
      <c r="AA25" s="310">
        <f t="shared" si="7"/>
        <v>0</v>
      </c>
    </row>
    <row r="26" spans="1:27" x14ac:dyDescent="0.35">
      <c r="A26" s="24">
        <v>12</v>
      </c>
      <c r="B26" s="531" t="str">
        <f>IF('As-Filed Schedule 2C'!B26:D26=0,"",'As-Filed Schedule 2C'!B26:D26)</f>
        <v>Psych Consult</v>
      </c>
      <c r="C26" s="531"/>
      <c r="D26" s="531"/>
      <c r="F26" s="117">
        <f>'As-Filed Schedule 2C'!F26</f>
        <v>0</v>
      </c>
      <c r="G26" s="314">
        <f>SUMIFS(Adjustments!$G:$G,Adjustments!$H:$H,"2C",Adjustments!$I:$I,'Schedule 2C Adjustments'!$F$12,Adjustments!$J:$J,'Schedule 2C Adjustments'!$A26)</f>
        <v>0</v>
      </c>
      <c r="H26" s="310">
        <f t="shared" si="0"/>
        <v>0</v>
      </c>
      <c r="I26" s="68">
        <f>IFERROR(F26*'As-Filed Schedule 1'!$E$103,0)</f>
        <v>0</v>
      </c>
      <c r="J26" s="311">
        <f>IFERROR(H26*'Adjusted Schedule 1'!$E$104,0)</f>
        <v>0</v>
      </c>
      <c r="K26" s="68">
        <f t="shared" si="1"/>
        <v>0</v>
      </c>
      <c r="L26" s="311">
        <f t="shared" si="2"/>
        <v>0</v>
      </c>
      <c r="N26" s="117">
        <f>'As-Filed Schedule 2C'!J26</f>
        <v>2294.2108489085567</v>
      </c>
      <c r="O26" s="314">
        <f>SUMIFS(Adjustments!$G:$G,Adjustments!$H:$H,"2C",Adjustments!$I:$I,'Schedule 2C Adjustments'!$N$12,Adjustments!$J:$J,'Schedule 2C Adjustments'!$A26)</f>
        <v>0</v>
      </c>
      <c r="P26" s="310">
        <f t="shared" si="3"/>
        <v>2294.2108489085567</v>
      </c>
      <c r="Q26" s="68">
        <f>IFERROR(N26*'As-Filed Schedule 1'!$E$103,0)</f>
        <v>342.46677718536188</v>
      </c>
      <c r="R26" s="311">
        <f>IFERROR(P26*'Adjusted Schedule 1'!$E$104,0)</f>
        <v>349.51788461045578</v>
      </c>
      <c r="S26" s="68">
        <f t="shared" si="4"/>
        <v>2636.6776260939187</v>
      </c>
      <c r="T26" s="311">
        <f t="shared" si="5"/>
        <v>2643.7287335190126</v>
      </c>
      <c r="V26" s="120">
        <f>'As-Filed Schedule 2C'!N26</f>
        <v>0</v>
      </c>
      <c r="W26" s="314">
        <f>SUMIFS(Adjustments!$G:$G,Adjustments!$H:$H,"2C",Adjustments!$I:$I,'Schedule 2C Adjustments'!$V$12,Adjustments!$J:$J,'Schedule 2C Adjustments'!$A26)</f>
        <v>0</v>
      </c>
      <c r="X26" s="310">
        <f t="shared" si="6"/>
        <v>0</v>
      </c>
      <c r="Y26" s="120">
        <f>'As-Filed Schedule 2C'!O26</f>
        <v>0</v>
      </c>
      <c r="Z26" s="314">
        <f>SUMIFS(Adjustments!$G:$G,Adjustments!$H:$H,"2C",Adjustments!$I:$I,'Schedule 2C Adjustments'!$Y$12,Adjustments!$J:$J,'Schedule 2C Adjustments'!$A26)</f>
        <v>0</v>
      </c>
      <c r="AA26" s="310">
        <f t="shared" si="7"/>
        <v>0</v>
      </c>
    </row>
    <row r="27" spans="1:27" x14ac:dyDescent="0.35">
      <c r="A27" s="24">
        <v>13</v>
      </c>
      <c r="B27" s="531" t="str">
        <f>IF('As-Filed Schedule 2C'!B27:D27=0,"",'As-Filed Schedule 2C'!B27:D27)</f>
        <v>Peer Bridger</v>
      </c>
      <c r="C27" s="531"/>
      <c r="D27" s="531"/>
      <c r="F27" s="117">
        <f>'As-Filed Schedule 2C'!F27</f>
        <v>103153.65571985385</v>
      </c>
      <c r="G27" s="314">
        <f>SUMIFS(Adjustments!$G:$G,Adjustments!$H:$H,"2C",Adjustments!$I:$I,'Schedule 2C Adjustments'!$F$12,Adjustments!$J:$J,'Schedule 2C Adjustments'!$A27)</f>
        <v>0</v>
      </c>
      <c r="H27" s="310">
        <f t="shared" si="0"/>
        <v>103153.65571985385</v>
      </c>
      <c r="I27" s="68">
        <f>IFERROR(F27*'As-Filed Schedule 1'!$E$103,0)</f>
        <v>15398.192387623385</v>
      </c>
      <c r="J27" s="311">
        <f>IFERROR(H27*'Adjusted Schedule 1'!$E$104,0)</f>
        <v>15715.228421219801</v>
      </c>
      <c r="K27" s="68">
        <f t="shared" si="1"/>
        <v>118551.84810747724</v>
      </c>
      <c r="L27" s="311">
        <f t="shared" si="2"/>
        <v>118868.88414107365</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0</v>
      </c>
      <c r="W27" s="314">
        <f>SUMIFS(Adjustments!$G:$G,Adjustments!$H:$H,"2C",Adjustments!$I:$I,'Schedule 2C Adjustments'!$V$12,Adjustments!$J:$J,'Schedule 2C Adjustments'!$A27)</f>
        <v>0</v>
      </c>
      <c r="X27" s="310">
        <f t="shared" si="6"/>
        <v>0</v>
      </c>
      <c r="Y27" s="120">
        <f>'As-Filed Schedule 2C'!O27</f>
        <v>0</v>
      </c>
      <c r="Z27" s="314">
        <f>SUMIFS(Adjustments!$G:$G,Adjustments!$H:$H,"2C",Adjustments!$I:$I,'Schedule 2C Adjustments'!$Y$12,Adjustments!$J:$J,'Schedule 2C Adjustments'!$A27)</f>
        <v>0</v>
      </c>
      <c r="AA27" s="310">
        <f t="shared" si="7"/>
        <v>0</v>
      </c>
    </row>
    <row r="28" spans="1:27" x14ac:dyDescent="0.35">
      <c r="A28" s="24">
        <v>14</v>
      </c>
      <c r="B28" s="531" t="str">
        <f>IF('As-Filed Schedule 2C'!B28:D28=0,"",'As-Filed Schedule 2C'!B28:D28)</f>
        <v>School Contracts</v>
      </c>
      <c r="C28" s="531"/>
      <c r="D28" s="531"/>
      <c r="F28" s="117">
        <f>'As-Filed Schedule 2C'!F28</f>
        <v>43498.396361372877</v>
      </c>
      <c r="G28" s="314">
        <f>SUMIFS(Adjustments!$G:$G,Adjustments!$H:$H,"2C",Adjustments!$I:$I,'Schedule 2C Adjustments'!$F$12,Adjustments!$J:$J,'Schedule 2C Adjustments'!$A28)</f>
        <v>0</v>
      </c>
      <c r="H28" s="310">
        <f t="shared" si="0"/>
        <v>43498.396361372877</v>
      </c>
      <c r="I28" s="68">
        <f>IFERROR(F28*'As-Filed Schedule 1'!$E$103,0)</f>
        <v>6493.1937802045504</v>
      </c>
      <c r="J28" s="311">
        <f>IFERROR(H28*'Adjusted Schedule 1'!$E$104,0)</f>
        <v>6626.883264634138</v>
      </c>
      <c r="K28" s="68">
        <f t="shared" si="1"/>
        <v>49991.590141577428</v>
      </c>
      <c r="L28" s="311">
        <f t="shared" si="2"/>
        <v>50125.279626007017</v>
      </c>
      <c r="N28" s="117">
        <f>'As-Filed Schedule 2C'!J28</f>
        <v>47884.665349628907</v>
      </c>
      <c r="O28" s="314">
        <f>SUMIFS(Adjustments!$G:$G,Adjustments!$H:$H,"2C",Adjustments!$I:$I,'Schedule 2C Adjustments'!$N$12,Adjustments!$J:$J,'Schedule 2C Adjustments'!$A28)</f>
        <v>0</v>
      </c>
      <c r="P28" s="310">
        <f t="shared" si="3"/>
        <v>47884.665349628907</v>
      </c>
      <c r="Q28" s="68">
        <f>IFERROR(N28*'As-Filed Schedule 1'!$E$103,0)</f>
        <v>7147.9511251934691</v>
      </c>
      <c r="R28" s="311">
        <f>IFERROR(P28*'Adjusted Schedule 1'!$E$104,0)</f>
        <v>7295.1215213039795</v>
      </c>
      <c r="S28" s="68">
        <f t="shared" si="4"/>
        <v>55032.616474822375</v>
      </c>
      <c r="T28" s="311">
        <f t="shared" si="5"/>
        <v>55179.78687093289</v>
      </c>
      <c r="V28" s="120">
        <f>'As-Filed Schedule 2C'!N28</f>
        <v>0</v>
      </c>
      <c r="W28" s="314">
        <f>SUMIFS(Adjustments!$G:$G,Adjustments!$H:$H,"2C",Adjustments!$I:$I,'Schedule 2C Adjustments'!$V$12,Adjustments!$J:$J,'Schedule 2C Adjustments'!$A28)</f>
        <v>0</v>
      </c>
      <c r="X28" s="310">
        <f t="shared" si="6"/>
        <v>0</v>
      </c>
      <c r="Y28" s="120">
        <f>'As-Filed Schedule 2C'!O28</f>
        <v>0</v>
      </c>
      <c r="Z28" s="314">
        <f>SUMIFS(Adjustments!$G:$G,Adjustments!$H:$H,"2C",Adjustments!$I:$I,'Schedule 2C Adjustments'!$Y$12,Adjustments!$J:$J,'Schedule 2C Adjustments'!$A28)</f>
        <v>0</v>
      </c>
      <c r="AA28" s="310">
        <f t="shared" si="7"/>
        <v>0</v>
      </c>
    </row>
    <row r="29" spans="1:27" x14ac:dyDescent="0.35">
      <c r="A29" s="24">
        <v>15</v>
      </c>
      <c r="B29" s="588" t="s">
        <v>986</v>
      </c>
      <c r="C29" s="588"/>
      <c r="D29" s="588"/>
      <c r="F29" s="117">
        <f>'As-Filed Schedule 2C'!F29</f>
        <v>0</v>
      </c>
      <c r="G29" s="314">
        <f>SUMIFS(Adjustments!$G:$G,Adjustments!$H:$H,"2C",Adjustments!$I:$I,'Schedule 2C Adjustments'!$F$12,Adjustments!$J:$J,'Schedule 2C Adjustments'!$A29)</f>
        <v>17947.21</v>
      </c>
      <c r="H29" s="310">
        <f t="shared" si="0"/>
        <v>17947.21</v>
      </c>
      <c r="I29" s="68">
        <f>IFERROR(F29*'As-Filed Schedule 1'!$E$103,0)</f>
        <v>0</v>
      </c>
      <c r="J29" s="311">
        <f>IFERROR(H29*'Adjusted Schedule 1'!$E$104,0)</f>
        <v>2734.2172480981249</v>
      </c>
      <c r="K29" s="68">
        <f t="shared" si="1"/>
        <v>0</v>
      </c>
      <c r="L29" s="311">
        <f t="shared" si="2"/>
        <v>20681.427248098124</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0</v>
      </c>
      <c r="W29" s="314">
        <f>SUMIFS(Adjustments!$G:$G,Adjustments!$H:$H,"2C",Adjustments!$I:$I,'Schedule 2C Adjustments'!$V$12,Adjustments!$J:$J,'Schedule 2C Adjustments'!$A29)</f>
        <v>0</v>
      </c>
      <c r="X29" s="310">
        <f t="shared" si="6"/>
        <v>0</v>
      </c>
      <c r="Y29" s="120">
        <f>'As-Filed Schedule 2C'!O29</f>
        <v>0</v>
      </c>
      <c r="Z29" s="314">
        <f>SUMIFS(Adjustments!$G:$G,Adjustments!$H:$H,"2C",Adjustments!$I:$I,'Schedule 2C Adjustments'!$Y$12,Adjustments!$J:$J,'Schedule 2C Adjustments'!$A29)</f>
        <v>0</v>
      </c>
      <c r="AA29" s="310">
        <f t="shared" si="7"/>
        <v>0</v>
      </c>
    </row>
    <row r="30" spans="1:27" x14ac:dyDescent="0.35">
      <c r="A30" s="24">
        <v>16</v>
      </c>
      <c r="B30" s="588" t="s">
        <v>987</v>
      </c>
      <c r="C30" s="588"/>
      <c r="D30" s="588"/>
      <c r="F30" s="117">
        <f>'As-Filed Schedule 2C'!F30</f>
        <v>0</v>
      </c>
      <c r="G30" s="314">
        <f>SUMIFS(Adjustments!$G:$G,Adjustments!$H:$H,"2C",Adjustments!$I:$I,'Schedule 2C Adjustments'!$F$12,Adjustments!$J:$J,'Schedule 2C Adjustments'!$A30)</f>
        <v>-39991.449999999997</v>
      </c>
      <c r="H30" s="310">
        <f t="shared" si="0"/>
        <v>-39991.449999999997</v>
      </c>
      <c r="I30" s="68">
        <f>IFERROR(F30*'As-Filed Schedule 1'!$E$103,0)</f>
        <v>0</v>
      </c>
      <c r="J30" s="311">
        <f>IFERROR(H30*'Adjusted Schedule 1'!$E$104,0)</f>
        <v>-6092.6078407983059</v>
      </c>
      <c r="K30" s="68">
        <f t="shared" si="1"/>
        <v>0</v>
      </c>
      <c r="L30" s="311">
        <f t="shared" si="2"/>
        <v>-46084.057840798305</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0</v>
      </c>
      <c r="W30" s="314">
        <f>SUMIFS(Adjustments!$G:$G,Adjustments!$H:$H,"2C",Adjustments!$I:$I,'Schedule 2C Adjustments'!$V$12,Adjustments!$J:$J,'Schedule 2C Adjustments'!$A30)</f>
        <v>0</v>
      </c>
      <c r="X30" s="310">
        <f t="shared" si="6"/>
        <v>0</v>
      </c>
      <c r="Y30" s="120">
        <f>'As-Filed Schedule 2C'!O30</f>
        <v>0</v>
      </c>
      <c r="Z30" s="314">
        <f>SUMIFS(Adjustments!$G:$G,Adjustments!$H:$H,"2C",Adjustments!$I:$I,'Schedule 2C Adjustments'!$Y$12,Adjustments!$J:$J,'Schedule 2C Adjustments'!$A30)</f>
        <v>0</v>
      </c>
      <c r="AA30" s="310">
        <f t="shared" si="7"/>
        <v>0</v>
      </c>
    </row>
    <row r="31" spans="1:27" x14ac:dyDescent="0.35">
      <c r="A31" s="24">
        <v>17</v>
      </c>
      <c r="B31" s="588" t="s">
        <v>988</v>
      </c>
      <c r="C31" s="588"/>
      <c r="D31" s="588"/>
      <c r="F31" s="117">
        <f>'As-Filed Schedule 2C'!F31</f>
        <v>0</v>
      </c>
      <c r="G31" s="314">
        <f>SUMIFS(Adjustments!$G:$G,Adjustments!$H:$H,"2C",Adjustments!$I:$I,'Schedule 2C Adjustments'!$F$12,Adjustments!$J:$J,'Schedule 2C Adjustments'!$A31)</f>
        <v>2676.06</v>
      </c>
      <c r="H31" s="310">
        <f t="shared" si="0"/>
        <v>2676.06</v>
      </c>
      <c r="I31" s="68">
        <f>IFERROR(F31*'As-Filed Schedule 1'!$E$103,0)</f>
        <v>0</v>
      </c>
      <c r="J31" s="311">
        <f>IFERROR(H31*'Adjusted Schedule 1'!$E$104,0)</f>
        <v>407.69174757221145</v>
      </c>
      <c r="K31" s="68">
        <f t="shared" si="1"/>
        <v>0</v>
      </c>
      <c r="L31" s="311">
        <f t="shared" si="2"/>
        <v>3083.7517475722116</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0</v>
      </c>
      <c r="W31" s="314">
        <f>SUMIFS(Adjustments!$G:$G,Adjustments!$H:$H,"2C",Adjustments!$I:$I,'Schedule 2C Adjustments'!$V$12,Adjustments!$J:$J,'Schedule 2C Adjustments'!$A31)</f>
        <v>0</v>
      </c>
      <c r="X31" s="310">
        <f t="shared" si="6"/>
        <v>0</v>
      </c>
      <c r="Y31" s="120">
        <f>'As-Filed Schedule 2C'!O31</f>
        <v>0</v>
      </c>
      <c r="Z31" s="314">
        <f>SUMIFS(Adjustments!$G:$G,Adjustments!$H:$H,"2C",Adjustments!$I:$I,'Schedule 2C Adjustments'!$Y$12,Adjustments!$J:$J,'Schedule 2C Adjustments'!$A31)</f>
        <v>0</v>
      </c>
      <c r="AA31" s="310">
        <f t="shared" si="7"/>
        <v>0</v>
      </c>
    </row>
    <row r="32" spans="1:27" x14ac:dyDescent="0.35">
      <c r="A32" s="24">
        <v>18</v>
      </c>
      <c r="B32" s="588" t="s">
        <v>989</v>
      </c>
      <c r="C32" s="588"/>
      <c r="D32" s="588"/>
      <c r="F32" s="117">
        <f>'As-Filed Schedule 2C'!F32</f>
        <v>0</v>
      </c>
      <c r="G32" s="314">
        <f>SUMIFS(Adjustments!$G:$G,Adjustments!$H:$H,"2C",Adjustments!$I:$I,'Schedule 2C Adjustments'!$F$12,Adjustments!$J:$J,'Schedule 2C Adjustments'!$A32)</f>
        <v>-2.5099999999999998</v>
      </c>
      <c r="H32" s="310">
        <f t="shared" si="0"/>
        <v>-2.5099999999999998</v>
      </c>
      <c r="I32" s="68">
        <f>IFERROR(F32*'As-Filed Schedule 1'!$E$103,0)</f>
        <v>0</v>
      </c>
      <c r="J32" s="311">
        <f>IFERROR(H32*'Adjusted Schedule 1'!$E$104,0)</f>
        <v>-0.38239287848787046</v>
      </c>
      <c r="K32" s="68">
        <f t="shared" si="1"/>
        <v>0</v>
      </c>
      <c r="L32" s="311">
        <f t="shared" si="2"/>
        <v>-2.8923928784878701</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0</v>
      </c>
      <c r="W32" s="314">
        <f>SUMIFS(Adjustments!$G:$G,Adjustments!$H:$H,"2C",Adjustments!$I:$I,'Schedule 2C Adjustments'!$V$12,Adjustments!$J:$J,'Schedule 2C Adjustments'!$A32)</f>
        <v>0</v>
      </c>
      <c r="X32" s="310">
        <f t="shared" si="6"/>
        <v>0</v>
      </c>
      <c r="Y32" s="120">
        <f>'As-Filed Schedule 2C'!O32</f>
        <v>0</v>
      </c>
      <c r="Z32" s="314">
        <f>SUMIFS(Adjustments!$G:$G,Adjustments!$H:$H,"2C",Adjustments!$I:$I,'Schedule 2C Adjustments'!$Y$12,Adjustments!$J:$J,'Schedule 2C Adjustments'!$A32)</f>
        <v>0</v>
      </c>
      <c r="AA32" s="310">
        <f t="shared" si="7"/>
        <v>0</v>
      </c>
    </row>
    <row r="33" spans="1:27" x14ac:dyDescent="0.35">
      <c r="A33" s="24">
        <v>19</v>
      </c>
      <c r="B33" s="588" t="s">
        <v>990</v>
      </c>
      <c r="C33" s="588"/>
      <c r="D33" s="588"/>
      <c r="F33" s="117">
        <f>'As-Filed Schedule 2C'!F33</f>
        <v>0</v>
      </c>
      <c r="G33" s="314">
        <f>SUMIFS(Adjustments!$G:$G,Adjustments!$H:$H,"2C",Adjustments!$I:$I,'Schedule 2C Adjustments'!$F$12,Adjustments!$J:$J,'Schedule 2C Adjustments'!$A33)</f>
        <v>1358.8</v>
      </c>
      <c r="H33" s="310">
        <f t="shared" si="0"/>
        <v>1358.8</v>
      </c>
      <c r="I33" s="68">
        <f>IFERROR(F33*'As-Filed Schedule 1'!$E$103,0)</f>
        <v>0</v>
      </c>
      <c r="J33" s="311">
        <f>IFERROR(H33*'Adjusted Schedule 1'!$E$104,0)</f>
        <v>207.01013676865276</v>
      </c>
      <c r="K33" s="68">
        <f t="shared" si="1"/>
        <v>0</v>
      </c>
      <c r="L33" s="311">
        <f t="shared" si="2"/>
        <v>1565.8101367686527</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0</v>
      </c>
      <c r="W33" s="314">
        <f>SUMIFS(Adjustments!$G:$G,Adjustments!$H:$H,"2C",Adjustments!$I:$I,'Schedule 2C Adjustments'!$V$12,Adjustments!$J:$J,'Schedule 2C Adjustments'!$A33)</f>
        <v>0</v>
      </c>
      <c r="X33" s="310">
        <f t="shared" si="6"/>
        <v>0</v>
      </c>
      <c r="Y33" s="120">
        <f>'As-Filed Schedule 2C'!O33</f>
        <v>0</v>
      </c>
      <c r="Z33" s="314">
        <f>SUMIFS(Adjustments!$G:$G,Adjustments!$H:$H,"2C",Adjustments!$I:$I,'Schedule 2C Adjustments'!$Y$12,Adjustments!$J:$J,'Schedule 2C Adjustments'!$A33)</f>
        <v>0</v>
      </c>
      <c r="AA33" s="310">
        <f t="shared" si="7"/>
        <v>0</v>
      </c>
    </row>
    <row r="34" spans="1:27" x14ac:dyDescent="0.35">
      <c r="A34" s="24">
        <v>20</v>
      </c>
      <c r="B34" s="588" t="s">
        <v>991</v>
      </c>
      <c r="C34" s="588"/>
      <c r="D34" s="588"/>
      <c r="F34" s="117">
        <f>'As-Filed Schedule 2C'!F34</f>
        <v>0</v>
      </c>
      <c r="G34" s="314">
        <f>SUMIFS(Adjustments!$G:$G,Adjustments!$H:$H,"2C",Adjustments!$I:$I,'Schedule 2C Adjustments'!$F$12,Adjustments!$J:$J,'Schedule 2C Adjustments'!$A34)</f>
        <v>76383.8</v>
      </c>
      <c r="H34" s="310">
        <f t="shared" si="0"/>
        <v>76383.8</v>
      </c>
      <c r="I34" s="68">
        <f>IFERROR(F34*'As-Filed Schedule 1'!$E$103,0)</f>
        <v>0</v>
      </c>
      <c r="J34" s="311">
        <f>IFERROR(H34*'Adjusted Schedule 1'!$E$104,0)</f>
        <v>11636.900857307492</v>
      </c>
      <c r="K34" s="68">
        <f t="shared" si="1"/>
        <v>0</v>
      </c>
      <c r="L34" s="311">
        <f t="shared" si="2"/>
        <v>88020.7008573075</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0</v>
      </c>
      <c r="W34" s="314">
        <f>SUMIFS(Adjustments!$G:$G,Adjustments!$H:$H,"2C",Adjustments!$I:$I,'Schedule 2C Adjustments'!$V$12,Adjustments!$J:$J,'Schedule 2C Adjustments'!$A34)</f>
        <v>0</v>
      </c>
      <c r="X34" s="310">
        <f t="shared" si="6"/>
        <v>0</v>
      </c>
      <c r="Y34" s="120">
        <f>'As-Filed Schedule 2C'!O34</f>
        <v>0</v>
      </c>
      <c r="Z34" s="314">
        <f>SUMIFS(Adjustments!$G:$G,Adjustments!$H:$H,"2C",Adjustments!$I:$I,'Schedule 2C Adjustments'!$Y$12,Adjustments!$J:$J,'Schedule 2C Adjustments'!$A34)</f>
        <v>0</v>
      </c>
      <c r="AA34" s="310">
        <f t="shared" si="7"/>
        <v>0</v>
      </c>
    </row>
    <row r="35" spans="1:27" x14ac:dyDescent="0.35">
      <c r="A35" s="24">
        <v>21</v>
      </c>
      <c r="B35" s="588" t="s">
        <v>992</v>
      </c>
      <c r="C35" s="588"/>
      <c r="D35" s="588"/>
      <c r="F35" s="117">
        <f>'As-Filed Schedule 2C'!F35</f>
        <v>0</v>
      </c>
      <c r="G35" s="314">
        <f>SUMIFS(Adjustments!$G:$G,Adjustments!$H:$H,"2C",Adjustments!$I:$I,'Schedule 2C Adjustments'!$F$12,Adjustments!$J:$J,'Schedule 2C Adjustments'!$A35)</f>
        <v>66.900000000000006</v>
      </c>
      <c r="H35" s="310">
        <f t="shared" si="0"/>
        <v>66.900000000000006</v>
      </c>
      <c r="I35" s="68">
        <f>IFERROR(F35*'As-Filed Schedule 1'!$E$103,0)</f>
        <v>0</v>
      </c>
      <c r="J35" s="311">
        <f>IFERROR(H35*'Adjusted Schedule 1'!$E$104,0)</f>
        <v>10.192065167664756</v>
      </c>
      <c r="K35" s="68">
        <f t="shared" si="1"/>
        <v>0</v>
      </c>
      <c r="L35" s="311">
        <f t="shared" si="2"/>
        <v>77.092065167664757</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0</v>
      </c>
      <c r="W35" s="314">
        <f>SUMIFS(Adjustments!$G:$G,Adjustments!$H:$H,"2C",Adjustments!$I:$I,'Schedule 2C Adjustments'!$V$12,Adjustments!$J:$J,'Schedule 2C Adjustments'!$A35)</f>
        <v>0</v>
      </c>
      <c r="X35" s="310">
        <f t="shared" si="6"/>
        <v>0</v>
      </c>
      <c r="Y35" s="120">
        <f>'As-Filed Schedule 2C'!O35</f>
        <v>0</v>
      </c>
      <c r="Z35" s="314">
        <f>SUMIFS(Adjustments!$G:$G,Adjustments!$H:$H,"2C",Adjustments!$I:$I,'Schedule 2C Adjustments'!$Y$12,Adjustments!$J:$J,'Schedule 2C Adjustments'!$A35)</f>
        <v>0</v>
      </c>
      <c r="AA35" s="310">
        <f t="shared" si="7"/>
        <v>0</v>
      </c>
    </row>
    <row r="36" spans="1:27" x14ac:dyDescent="0.35">
      <c r="A36" s="24">
        <v>22</v>
      </c>
      <c r="B36" s="588" t="s">
        <v>993</v>
      </c>
      <c r="C36" s="588"/>
      <c r="D36" s="588"/>
      <c r="F36" s="117">
        <f>'As-Filed Schedule 2C'!F36</f>
        <v>0</v>
      </c>
      <c r="G36" s="314">
        <f>SUMIFS(Adjustments!$G:$G,Adjustments!$H:$H,"2C",Adjustments!$I:$I,'Schedule 2C Adjustments'!$F$12,Adjustments!$J:$J,'Schedule 2C Adjustments'!$A36)</f>
        <v>232345.72</v>
      </c>
      <c r="H36" s="310">
        <f t="shared" si="0"/>
        <v>232345.72</v>
      </c>
      <c r="I36" s="68">
        <f>IFERROR(F36*'As-Filed Schedule 1'!$E$103,0)</f>
        <v>0</v>
      </c>
      <c r="J36" s="311">
        <f>IFERROR(H36*'Adjusted Schedule 1'!$E$104,0)</f>
        <v>35397.35006977561</v>
      </c>
      <c r="K36" s="68">
        <f t="shared" si="1"/>
        <v>0</v>
      </c>
      <c r="L36" s="311">
        <f t="shared" si="2"/>
        <v>267743.07006977563</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0</v>
      </c>
      <c r="W36" s="314">
        <f>SUMIFS(Adjustments!$G:$G,Adjustments!$H:$H,"2C",Adjustments!$I:$I,'Schedule 2C Adjustments'!$V$12,Adjustments!$J:$J,'Schedule 2C Adjustments'!$A36)</f>
        <v>0</v>
      </c>
      <c r="X36" s="310">
        <f t="shared" si="6"/>
        <v>0</v>
      </c>
      <c r="Y36" s="120">
        <f>'As-Filed Schedule 2C'!O36</f>
        <v>0</v>
      </c>
      <c r="Z36" s="314">
        <f>SUMIFS(Adjustments!$G:$G,Adjustments!$H:$H,"2C",Adjustments!$I:$I,'Schedule 2C Adjustments'!$Y$12,Adjustments!$J:$J,'Schedule 2C Adjustments'!$A36)</f>
        <v>0</v>
      </c>
      <c r="AA36" s="310">
        <f t="shared" si="7"/>
        <v>0</v>
      </c>
    </row>
    <row r="37" spans="1:27" x14ac:dyDescent="0.35">
      <c r="A37" s="24">
        <v>23</v>
      </c>
      <c r="B37" s="588" t="s">
        <v>975</v>
      </c>
      <c r="C37" s="588"/>
      <c r="D37" s="588"/>
      <c r="F37" s="117">
        <f>'As-Filed Schedule 2C'!F37</f>
        <v>0</v>
      </c>
      <c r="G37" s="314">
        <f>SUMIFS(Adjustments!$G:$G,Adjustments!$H:$H,"2C",Adjustments!$I:$I,'Schedule 2C Adjustments'!$F$12,Adjustments!$J:$J,'Schedule 2C Adjustments'!$A37)</f>
        <v>7055885.25</v>
      </c>
      <c r="H37" s="310">
        <f t="shared" si="0"/>
        <v>7055885.25</v>
      </c>
      <c r="I37" s="68">
        <f>IFERROR(F37*'As-Filed Schedule 1'!$E$103,0)</f>
        <v>0</v>
      </c>
      <c r="J37" s="311">
        <f>IFERROR(H37*'Adjusted Schedule 1'!$E$104,0)</f>
        <v>1074948.3151504414</v>
      </c>
      <c r="K37" s="68">
        <f t="shared" si="1"/>
        <v>0</v>
      </c>
      <c r="L37" s="311">
        <f t="shared" si="2"/>
        <v>8130833.5651504416</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0</v>
      </c>
      <c r="W37" s="314">
        <f>SUMIFS(Adjustments!$G:$G,Adjustments!$H:$H,"2C",Adjustments!$I:$I,'Schedule 2C Adjustments'!$V$12,Adjustments!$J:$J,'Schedule 2C Adjustments'!$A37)</f>
        <v>0</v>
      </c>
      <c r="X37" s="310">
        <f t="shared" si="6"/>
        <v>0</v>
      </c>
      <c r="Y37" s="120">
        <f>'As-Filed Schedule 2C'!O37</f>
        <v>0</v>
      </c>
      <c r="Z37" s="314">
        <f>SUMIFS(Adjustments!$G:$G,Adjustments!$H:$H,"2C",Adjustments!$I:$I,'Schedule 2C Adjustments'!$Y$12,Adjustments!$J:$J,'Schedule 2C Adjustments'!$A37)</f>
        <v>0</v>
      </c>
      <c r="AA37" s="310">
        <f t="shared" si="7"/>
        <v>0</v>
      </c>
    </row>
    <row r="38" spans="1:27" x14ac:dyDescent="0.35">
      <c r="A38" s="24">
        <v>24</v>
      </c>
      <c r="B38" s="588" t="s">
        <v>994</v>
      </c>
      <c r="C38" s="588"/>
      <c r="D38" s="588"/>
      <c r="F38" s="117">
        <f>'As-Filed Schedule 2C'!F38</f>
        <v>0</v>
      </c>
      <c r="G38" s="314">
        <f>SUMIFS(Adjustments!$G:$G,Adjustments!$H:$H,"2C",Adjustments!$I:$I,'Schedule 2C Adjustments'!$F$12,Adjustments!$J:$J,'Schedule 2C Adjustments'!$A38)</f>
        <v>74841.77</v>
      </c>
      <c r="H38" s="310">
        <f t="shared" si="0"/>
        <v>74841.77</v>
      </c>
      <c r="I38" s="68">
        <f>IFERROR(F38*'As-Filed Schedule 1'!$E$103,0)</f>
        <v>0</v>
      </c>
      <c r="J38" s="311">
        <f>IFERROR(H38*'Adjusted Schedule 1'!$E$104,0)</f>
        <v>11401.976040409225</v>
      </c>
      <c r="K38" s="68">
        <f t="shared" si="1"/>
        <v>0</v>
      </c>
      <c r="L38" s="311">
        <f t="shared" si="2"/>
        <v>86243.746040409227</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88" t="s">
        <v>995</v>
      </c>
      <c r="C39" s="588"/>
      <c r="D39" s="588"/>
      <c r="F39" s="117">
        <f>'As-Filed Schedule 2C'!F39</f>
        <v>0</v>
      </c>
      <c r="G39" s="314">
        <f>SUMIFS(Adjustments!$G:$G,Adjustments!$H:$H,"2C",Adjustments!$I:$I,'Schedule 2C Adjustments'!$F$12,Adjustments!$J:$J,'Schedule 2C Adjustments'!$A39)</f>
        <v>5491104.3200000003</v>
      </c>
      <c r="H39" s="310">
        <f t="shared" si="0"/>
        <v>5491104.3200000003</v>
      </c>
      <c r="I39" s="68">
        <f>IFERROR(F39*'As-Filed Schedule 1'!$E$103,0)</f>
        <v>0</v>
      </c>
      <c r="J39" s="311">
        <f>IFERROR(H39*'Adjusted Schedule 1'!$E$104,0)</f>
        <v>836557.44502070954</v>
      </c>
      <c r="K39" s="68">
        <f t="shared" si="1"/>
        <v>0</v>
      </c>
      <c r="L39" s="311">
        <f t="shared" si="2"/>
        <v>6327661.7650207095</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0</v>
      </c>
      <c r="W39" s="314">
        <f>SUMIFS(Adjustments!$G:$G,Adjustments!$H:$H,"2C",Adjustments!$I:$I,'Schedule 2C Adjustments'!$V$12,Adjustments!$J:$J,'Schedule 2C Adjustments'!$A39)</f>
        <v>0</v>
      </c>
      <c r="X39" s="310">
        <f t="shared" si="6"/>
        <v>0</v>
      </c>
      <c r="Y39" s="120">
        <f>'As-Filed Schedule 2C'!O39</f>
        <v>0</v>
      </c>
      <c r="Z39" s="314">
        <f>SUMIFS(Adjustments!$G:$G,Adjustments!$H:$H,"2C",Adjustments!$I:$I,'Schedule 2C Adjustments'!$Y$12,Adjustments!$J:$J,'Schedule 2C Adjustments'!$A39)</f>
        <v>0</v>
      </c>
      <c r="AA39" s="310">
        <f t="shared" si="7"/>
        <v>0</v>
      </c>
    </row>
    <row r="40" spans="1:27" x14ac:dyDescent="0.35">
      <c r="A40" s="24">
        <v>26</v>
      </c>
      <c r="B40" s="588" t="s">
        <v>996</v>
      </c>
      <c r="C40" s="588"/>
      <c r="D40" s="588"/>
      <c r="F40" s="117">
        <f>'As-Filed Schedule 2C'!F40</f>
        <v>0</v>
      </c>
      <c r="G40" s="314">
        <f>SUMIFS(Adjustments!$G:$G,Adjustments!$H:$H,"2C",Adjustments!$I:$I,'Schedule 2C Adjustments'!$F$12,Adjustments!$J:$J,'Schedule 2C Adjustments'!$A40)</f>
        <v>4709.51</v>
      </c>
      <c r="H40" s="310">
        <f t="shared" si="0"/>
        <v>4709.51</v>
      </c>
      <c r="I40" s="68">
        <f>IFERROR(F40*'As-Filed Schedule 1'!$E$103,0)</f>
        <v>0</v>
      </c>
      <c r="J40" s="311">
        <f>IFERROR(H40*'Adjusted Schedule 1'!$E$104,0)</f>
        <v>717.48330086351041</v>
      </c>
      <c r="K40" s="68">
        <f t="shared" si="1"/>
        <v>0</v>
      </c>
      <c r="L40" s="311">
        <f t="shared" si="2"/>
        <v>5426.9933008635107</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0</v>
      </c>
      <c r="W40" s="314">
        <f>SUMIFS(Adjustments!$G:$G,Adjustments!$H:$H,"2C",Adjustments!$I:$I,'Schedule 2C Adjustments'!$V$12,Adjustments!$J:$J,'Schedule 2C Adjustments'!$A40)</f>
        <v>0</v>
      </c>
      <c r="X40" s="310">
        <f t="shared" si="6"/>
        <v>0</v>
      </c>
      <c r="Y40" s="120">
        <f>'As-Filed Schedule 2C'!O40</f>
        <v>0</v>
      </c>
      <c r="Z40" s="314">
        <f>SUMIFS(Adjustments!$G:$G,Adjustments!$H:$H,"2C",Adjustments!$I:$I,'Schedule 2C Adjustments'!$Y$12,Adjustments!$J:$J,'Schedule 2C Adjustments'!$A40)</f>
        <v>0</v>
      </c>
      <c r="AA40" s="310">
        <f t="shared" si="7"/>
        <v>0</v>
      </c>
    </row>
    <row r="41" spans="1:27" x14ac:dyDescent="0.35">
      <c r="A41" s="24">
        <v>27</v>
      </c>
      <c r="B41" s="588" t="s">
        <v>997</v>
      </c>
      <c r="C41" s="588"/>
      <c r="D41" s="588"/>
      <c r="F41" s="117">
        <f>'As-Filed Schedule 2C'!F41</f>
        <v>0</v>
      </c>
      <c r="G41" s="314">
        <f>SUMIFS(Adjustments!$G:$G,Adjustments!$H:$H,"2C",Adjustments!$I:$I,'Schedule 2C Adjustments'!$F$12,Adjustments!$J:$J,'Schedule 2C Adjustments'!$A41)</f>
        <v>6279.66</v>
      </c>
      <c r="H41" s="310">
        <f t="shared" si="0"/>
        <v>6279.66</v>
      </c>
      <c r="I41" s="68">
        <f>IFERROR(F41*'As-Filed Schedule 1'!$E$103,0)</f>
        <v>0</v>
      </c>
      <c r="J41" s="311">
        <f>IFERROR(H41*'Adjusted Schedule 1'!$E$104,0)</f>
        <v>956.69213678292465</v>
      </c>
      <c r="K41" s="68">
        <f t="shared" si="1"/>
        <v>0</v>
      </c>
      <c r="L41" s="311">
        <f t="shared" si="2"/>
        <v>7236.3521367829244</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0</v>
      </c>
      <c r="Z41" s="314">
        <f>SUMIFS(Adjustments!$G:$G,Adjustments!$H:$H,"2C",Adjustments!$I:$I,'Schedule 2C Adjustments'!$Y$12,Adjustments!$J:$J,'Schedule 2C Adjustments'!$A41)</f>
        <v>0</v>
      </c>
      <c r="AA41" s="310">
        <f t="shared" si="7"/>
        <v>0</v>
      </c>
    </row>
    <row r="42" spans="1:27" x14ac:dyDescent="0.35">
      <c r="A42" s="24">
        <v>28</v>
      </c>
      <c r="B42" s="588" t="s">
        <v>998</v>
      </c>
      <c r="C42" s="588"/>
      <c r="D42" s="588"/>
      <c r="F42" s="117">
        <f>'As-Filed Schedule 2C'!F42</f>
        <v>0</v>
      </c>
      <c r="G42" s="314">
        <f>SUMIFS(Adjustments!$G:$G,Adjustments!$H:$H,"2C",Adjustments!$I:$I,'Schedule 2C Adjustments'!$F$12,Adjustments!$J:$J,'Schedule 2C Adjustments'!$A42)</f>
        <v>514951.67</v>
      </c>
      <c r="H42" s="310">
        <f t="shared" si="0"/>
        <v>514951.67</v>
      </c>
      <c r="I42" s="68">
        <f>IFERROR(F42*'As-Filed Schedule 1'!$E$103,0)</f>
        <v>0</v>
      </c>
      <c r="J42" s="311">
        <f>IFERROR(H42*'Adjusted Schedule 1'!$E$104,0)</f>
        <v>78451.73361491473</v>
      </c>
      <c r="K42" s="68">
        <f t="shared" si="1"/>
        <v>0</v>
      </c>
      <c r="L42" s="311">
        <f t="shared" si="2"/>
        <v>593403.40361491474</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0</v>
      </c>
      <c r="W42" s="314">
        <f>SUMIFS(Adjustments!$G:$G,Adjustments!$H:$H,"2C",Adjustments!$I:$I,'Schedule 2C Adjustments'!$V$12,Adjustments!$J:$J,'Schedule 2C Adjustments'!$A42)</f>
        <v>0</v>
      </c>
      <c r="X42" s="310">
        <f t="shared" si="6"/>
        <v>0</v>
      </c>
      <c r="Y42" s="120">
        <f>'As-Filed Schedule 2C'!O42</f>
        <v>0</v>
      </c>
      <c r="Z42" s="314">
        <f>SUMIFS(Adjustments!$G:$G,Adjustments!$H:$H,"2C",Adjustments!$I:$I,'Schedule 2C Adjustments'!$Y$12,Adjustments!$J:$J,'Schedule 2C Adjustments'!$A42)</f>
        <v>0</v>
      </c>
      <c r="AA42" s="310">
        <f t="shared" si="7"/>
        <v>0</v>
      </c>
    </row>
    <row r="43" spans="1:27" x14ac:dyDescent="0.35">
      <c r="A43" s="24">
        <v>29</v>
      </c>
      <c r="B43" s="588" t="s">
        <v>999</v>
      </c>
      <c r="C43" s="588"/>
      <c r="D43" s="588"/>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0</v>
      </c>
      <c r="O43" s="314">
        <f>SUMIFS(Adjustments!$G:$G,Adjustments!$H:$H,"2C",Adjustments!$I:$I,'Schedule 2C Adjustments'!$N$12,Adjustments!$J:$J,'Schedule 2C Adjustments'!$A43)</f>
        <v>-1198.06</v>
      </c>
      <c r="P43" s="310">
        <f t="shared" si="3"/>
        <v>-1198.06</v>
      </c>
      <c r="Q43" s="68">
        <f>IFERROR(N43*'As-Filed Schedule 1'!$E$103,0)</f>
        <v>0</v>
      </c>
      <c r="R43" s="311">
        <f>IFERROR(P43*'Adjusted Schedule 1'!$E$104,0)</f>
        <v>-182.52175776939367</v>
      </c>
      <c r="S43" s="68">
        <f t="shared" si="4"/>
        <v>0</v>
      </c>
      <c r="T43" s="311">
        <f t="shared" si="5"/>
        <v>-1380.5817577693936</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88" t="s">
        <v>1000</v>
      </c>
      <c r="C44" s="588"/>
      <c r="D44" s="588"/>
      <c r="F44" s="117">
        <f>'As-Filed Schedule 2C'!F44</f>
        <v>0</v>
      </c>
      <c r="G44" s="314">
        <f>SUMIFS(Adjustments!$G:$G,Adjustments!$H:$H,"2C",Adjustments!$I:$I,'Schedule 2C Adjustments'!$F$12,Adjustments!$J:$J,'Schedule 2C Adjustments'!$A44)</f>
        <v>0</v>
      </c>
      <c r="H44" s="310">
        <f t="shared" si="0"/>
        <v>0</v>
      </c>
      <c r="I44" s="68">
        <f>IFERROR(F44*'As-Filed Schedule 1'!$E$103,0)</f>
        <v>0</v>
      </c>
      <c r="J44" s="311">
        <f>IFERROR(H44*'Adjusted Schedule 1'!$E$104,0)</f>
        <v>0</v>
      </c>
      <c r="K44" s="68">
        <f t="shared" si="1"/>
        <v>0</v>
      </c>
      <c r="L44" s="311">
        <f t="shared" si="2"/>
        <v>0</v>
      </c>
      <c r="N44" s="117">
        <f>'As-Filed Schedule 2C'!J44</f>
        <v>0</v>
      </c>
      <c r="O44" s="314">
        <f>SUMIFS(Adjustments!$G:$G,Adjustments!$H:$H,"2C",Adjustments!$I:$I,'Schedule 2C Adjustments'!$N$12,Adjustments!$J:$J,'Schedule 2C Adjustments'!$A44)</f>
        <v>1625.99</v>
      </c>
      <c r="P44" s="310">
        <f t="shared" si="3"/>
        <v>1625.99</v>
      </c>
      <c r="Q44" s="68">
        <f>IFERROR(N44*'As-Filed Schedule 1'!$E$103,0)</f>
        <v>0</v>
      </c>
      <c r="R44" s="311">
        <f>IFERROR(P44*'Adjusted Schedule 1'!$E$104,0)</f>
        <v>247.71593485756674</v>
      </c>
      <c r="S44" s="68">
        <f t="shared" si="4"/>
        <v>0</v>
      </c>
      <c r="T44" s="311">
        <f t="shared" si="5"/>
        <v>1873.7059348575667</v>
      </c>
      <c r="V44" s="120">
        <f>'As-Filed Schedule 2C'!N44</f>
        <v>0</v>
      </c>
      <c r="W44" s="314">
        <f>SUMIFS(Adjustments!$G:$G,Adjustments!$H:$H,"2C",Adjustments!$I:$I,'Schedule 2C Adjustments'!$V$12,Adjustments!$J:$J,'Schedule 2C Adjustments'!$A44)</f>
        <v>0</v>
      </c>
      <c r="X44" s="310">
        <f t="shared" si="6"/>
        <v>0</v>
      </c>
      <c r="Y44" s="120">
        <f>'As-Filed Schedule 2C'!O44</f>
        <v>0</v>
      </c>
      <c r="Z44" s="314">
        <f>SUMIFS(Adjustments!$G:$G,Adjustments!$H:$H,"2C",Adjustments!$I:$I,'Schedule 2C Adjustments'!$Y$12,Adjustments!$J:$J,'Schedule 2C Adjustments'!$A44)</f>
        <v>0</v>
      </c>
      <c r="AA44" s="310">
        <f t="shared" si="7"/>
        <v>0</v>
      </c>
    </row>
    <row r="45" spans="1:27" x14ac:dyDescent="0.35">
      <c r="A45" s="24">
        <v>31</v>
      </c>
      <c r="B45" s="531" t="str">
        <f>IF('As-Filed Schedule 2C'!B45:D45=0,"",'As-Filed Schedule 2C'!B45:D45)</f>
        <v/>
      </c>
      <c r="C45" s="531"/>
      <c r="D45" s="531"/>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31" t="str">
        <f>IF('As-Filed Schedule 2C'!B46:D46=0,"",'As-Filed Schedule 2C'!B46:D46)</f>
        <v/>
      </c>
      <c r="C46" s="531"/>
      <c r="D46" s="531"/>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31" t="str">
        <f>IF('As-Filed Schedule 2C'!B47:D47=0,"",'As-Filed Schedule 2C'!B47:D47)</f>
        <v/>
      </c>
      <c r="C47" s="531"/>
      <c r="D47" s="531"/>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31" t="str">
        <f>IF('As-Filed Schedule 2C'!B48:D48=0,"",'As-Filed Schedule 2C'!B48:D48)</f>
        <v/>
      </c>
      <c r="C48" s="531"/>
      <c r="D48" s="531"/>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31" t="str">
        <f>IF('As-Filed Schedule 2C'!B49:D49=0,"",'As-Filed Schedule 2C'!B49:D49)</f>
        <v/>
      </c>
      <c r="C49" s="531"/>
      <c r="D49" s="531"/>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31" t="str">
        <f>IF('As-Filed Schedule 2C'!B50:D50=0,"",'As-Filed Schedule 2C'!B50:D50)</f>
        <v/>
      </c>
      <c r="C50" s="531"/>
      <c r="D50" s="531"/>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31" t="str">
        <f>IF('As-Filed Schedule 2C'!B51:D51=0,"",'As-Filed Schedule 2C'!B51:D51)</f>
        <v/>
      </c>
      <c r="C51" s="531"/>
      <c r="D51" s="531"/>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31" t="str">
        <f>IF('As-Filed Schedule 2C'!B52:D52=0,"",'As-Filed Schedule 2C'!B52:D52)</f>
        <v/>
      </c>
      <c r="C52" s="531"/>
      <c r="D52" s="531"/>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31" t="str">
        <f>IF('As-Filed Schedule 2C'!B53:D53=0,"",'As-Filed Schedule 2C'!B53:D53)</f>
        <v/>
      </c>
      <c r="C53" s="531"/>
      <c r="D53" s="531"/>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31" t="str">
        <f>IF('As-Filed Schedule 2C'!B54:D54=0,"",'As-Filed Schedule 2C'!B54:D54)</f>
        <v/>
      </c>
      <c r="C54" s="531"/>
      <c r="D54" s="531"/>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31" t="str">
        <f>IF('As-Filed Schedule 2C'!B55:D55=0,"",'As-Filed Schedule 2C'!B55:D55)</f>
        <v/>
      </c>
      <c r="C55" s="531"/>
      <c r="D55" s="531"/>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31" t="str">
        <f>IF('As-Filed Schedule 2C'!B56:D56=0,"",'As-Filed Schedule 2C'!B56:D56)</f>
        <v/>
      </c>
      <c r="C56" s="531"/>
      <c r="D56" s="531"/>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31" t="str">
        <f>IF('As-Filed Schedule 2C'!B57:D57=0,"",'As-Filed Schedule 2C'!B57:D57)</f>
        <v/>
      </c>
      <c r="C57" s="531"/>
      <c r="D57" s="531"/>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31" t="str">
        <f>IF('As-Filed Schedule 2C'!B58:D58=0,"",'As-Filed Schedule 2C'!B58:D58)</f>
        <v/>
      </c>
      <c r="C58" s="531"/>
      <c r="D58" s="531"/>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31" t="str">
        <f>IF('As-Filed Schedule 2C'!B59:D59=0,"",'As-Filed Schedule 2C'!B59:D59)</f>
        <v/>
      </c>
      <c r="C59" s="531"/>
      <c r="D59" s="531"/>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31" t="str">
        <f>IF('As-Filed Schedule 2C'!B60:D60=0,"",'As-Filed Schedule 2C'!B60:D60)</f>
        <v/>
      </c>
      <c r="C60" s="531"/>
      <c r="D60" s="531"/>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31" t="str">
        <f>IF('As-Filed Schedule 2C'!B61:D61=0,"",'As-Filed Schedule 2C'!B61:D61)</f>
        <v/>
      </c>
      <c r="C61" s="531"/>
      <c r="D61" s="531"/>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31" t="str">
        <f>IF('As-Filed Schedule 2C'!B62:D62=0,"",'As-Filed Schedule 2C'!B62:D62)</f>
        <v/>
      </c>
      <c r="C62" s="531"/>
      <c r="D62" s="531"/>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31" t="str">
        <f>IF('As-Filed Schedule 2C'!B63:D63=0,"",'As-Filed Schedule 2C'!B63:D63)</f>
        <v/>
      </c>
      <c r="C63" s="531"/>
      <c r="D63" s="531"/>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31" t="str">
        <f>IF('As-Filed Schedule 2C'!B64:D64=0,"",'As-Filed Schedule 2C'!B64:D64)</f>
        <v/>
      </c>
      <c r="C64" s="531"/>
      <c r="D64" s="531"/>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31" t="str">
        <f>IF('As-Filed Schedule 2C'!B65:D65=0,"",'As-Filed Schedule 2C'!B65:D65)</f>
        <v/>
      </c>
      <c r="C65" s="531"/>
      <c r="D65" s="531"/>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31" t="str">
        <f>IF('As-Filed Schedule 2C'!B66:D66=0,"",'As-Filed Schedule 2C'!B66:D66)</f>
        <v/>
      </c>
      <c r="C66" s="531"/>
      <c r="D66" s="531"/>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31" t="str">
        <f>IF('As-Filed Schedule 2C'!B67:D67=0,"",'As-Filed Schedule 2C'!B67:D67)</f>
        <v/>
      </c>
      <c r="C67" s="531"/>
      <c r="D67" s="531"/>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31" t="str">
        <f>IF('As-Filed Schedule 2C'!B68:D68=0,"",'As-Filed Schedule 2C'!B68:D68)</f>
        <v/>
      </c>
      <c r="C68" s="531"/>
      <c r="D68" s="531"/>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31" t="str">
        <f>IF('As-Filed Schedule 2C'!B69:D69=0,"",'As-Filed Schedule 2C'!B69:D69)</f>
        <v/>
      </c>
      <c r="C69" s="531"/>
      <c r="D69" s="531"/>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31" t="str">
        <f>IF('As-Filed Schedule 2C'!B70:D70=0,"",'As-Filed Schedule 2C'!B70:D70)</f>
        <v/>
      </c>
      <c r="C70" s="531"/>
      <c r="D70" s="531"/>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31" t="str">
        <f>IF('As-Filed Schedule 2C'!B71:D71=0,"",'As-Filed Schedule 2C'!B71:D71)</f>
        <v/>
      </c>
      <c r="C71" s="531"/>
      <c r="D71" s="531"/>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31" t="str">
        <f>IF('As-Filed Schedule 2C'!B72:D72=0,"",'As-Filed Schedule 2C'!B72:D72)</f>
        <v/>
      </c>
      <c r="C72" s="531"/>
      <c r="D72" s="531"/>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14443362.290879069</v>
      </c>
      <c r="G73" s="18">
        <f t="shared" ref="G73:L73" si="8">SUM(G15:G72)</f>
        <v>-27274.289999995206</v>
      </c>
      <c r="H73" s="18">
        <f t="shared" si="8"/>
        <v>14416088.000879068</v>
      </c>
      <c r="I73" s="18">
        <f t="shared" si="8"/>
        <v>2156023.1649288544</v>
      </c>
      <c r="J73" s="312">
        <f t="shared" si="8"/>
        <v>2196258.719996254</v>
      </c>
      <c r="K73" s="18">
        <f t="shared" si="8"/>
        <v>16599385.455807922</v>
      </c>
      <c r="L73" s="312">
        <f t="shared" si="8"/>
        <v>16612346.720875321</v>
      </c>
      <c r="N73" s="18">
        <f>SUM(N15:N72)</f>
        <v>212570.66488600738</v>
      </c>
      <c r="O73" s="18">
        <f t="shared" ref="O73:T73" si="9">SUM(O15:O72)</f>
        <v>-6.9999999999936335E-2</v>
      </c>
      <c r="P73" s="312">
        <f t="shared" si="9"/>
        <v>212570.59488600737</v>
      </c>
      <c r="Q73" s="18">
        <f t="shared" si="9"/>
        <v>31731.342636747395</v>
      </c>
      <c r="R73" s="312">
        <f t="shared" si="9"/>
        <v>32384.654047943972</v>
      </c>
      <c r="S73" s="18">
        <f t="shared" si="9"/>
        <v>244302.00752275478</v>
      </c>
      <c r="T73" s="18">
        <f t="shared" si="9"/>
        <v>244955.2489339514</v>
      </c>
      <c r="W73"/>
      <c r="X73"/>
      <c r="Y73" s="83" t="s">
        <v>312</v>
      </c>
      <c r="Z73"/>
      <c r="AA73"/>
    </row>
    <row r="74" spans="1:27" ht="15" thickBot="1" x14ac:dyDescent="0.4">
      <c r="G74"/>
      <c r="H74"/>
      <c r="J74" s="37" t="s">
        <v>256</v>
      </c>
      <c r="L74" s="325" t="s">
        <v>256</v>
      </c>
      <c r="O74"/>
      <c r="P74"/>
      <c r="R74" s="37" t="s">
        <v>257</v>
      </c>
      <c r="T74" s="325" t="s">
        <v>257</v>
      </c>
      <c r="W74"/>
      <c r="X74"/>
    </row>
    <row r="75" spans="1:27" s="72" customFormat="1" ht="16" thickBot="1" x14ac:dyDescent="0.4">
      <c r="A75" s="24">
        <v>60</v>
      </c>
      <c r="B75" s="73" t="s">
        <v>460</v>
      </c>
      <c r="F75" s="75">
        <f>K73+S73</f>
        <v>16843687.463330679</v>
      </c>
      <c r="G75"/>
      <c r="H75" s="335">
        <f>L73+T73</f>
        <v>16857301.969809271</v>
      </c>
      <c r="I75" s="74"/>
      <c r="J75"/>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customProperties>
    <customPr name="OrphanNamesChecked" r:id="rId4"/>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752</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627</v>
      </c>
      <c r="C8" s="1"/>
      <c r="F8" s="119" t="str">
        <f>'As-Filed Schedule 2D'!F8</f>
        <v>Yes</v>
      </c>
      <c r="G8" s="41" t="s">
        <v>258</v>
      </c>
    </row>
    <row r="10" spans="1:27" x14ac:dyDescent="0.35">
      <c r="A10" s="1" t="s">
        <v>253</v>
      </c>
      <c r="B10" s="1" t="s">
        <v>255</v>
      </c>
      <c r="C10" s="1"/>
    </row>
    <row r="11" spans="1:27" x14ac:dyDescent="0.35">
      <c r="B11" s="334" t="s">
        <v>597</v>
      </c>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2D'!B15:D15=0,"",'As-Filed Schedule 2D'!B15:D15)</f>
        <v>ACT</v>
      </c>
      <c r="C15" s="531"/>
      <c r="D15" s="531"/>
      <c r="F15" s="117">
        <f>'As-Filed Schedule 2D'!F15</f>
        <v>679368.66104506189</v>
      </c>
      <c r="G15" s="454">
        <f>SUMIFS(Adjustments!$G:$G,Adjustments!$H:$H,"2D",Adjustments!$I:$I,'Schedule 2D Adjustments'!$F$12,Adjustments!$J:$J,'Schedule 2D Adjustments'!$A15)</f>
        <v>0</v>
      </c>
      <c r="H15" s="310">
        <f>SUM(F15:G15)</f>
        <v>679368.66104506189</v>
      </c>
      <c r="I15" s="68">
        <f>IFERROR(F15*'As-Filed Schedule 1'!$E$103,0)</f>
        <v>101412.29869064677</v>
      </c>
      <c r="J15" s="311">
        <f>IFERROR(H15*'Adjusted Schedule 1'!$E$104,0)</f>
        <v>103500.29396472973</v>
      </c>
      <c r="K15" s="68">
        <f>SUM(F15,I15)</f>
        <v>780780.95973570866</v>
      </c>
      <c r="L15" s="311">
        <f>SUM(H15,J15)</f>
        <v>782868.95500979165</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0</v>
      </c>
      <c r="W15" s="314">
        <f>SUMIFS(Adjustments!$G:$G,Adjustments!$H:$H,"2D",Adjustments!$I:$I,'Schedule 2D Adjustments'!$V$12,Adjustments!$J:$J,'Schedule 2D Adjustments'!$A15)</f>
        <v>0</v>
      </c>
      <c r="X15" s="310">
        <f>SUM(V15:W15)</f>
        <v>0</v>
      </c>
      <c r="Y15" s="120">
        <f>'As-Filed Schedule 2D'!O15</f>
        <v>0</v>
      </c>
      <c r="Z15" s="314">
        <f>SUMIFS(Adjustments!$G:$G,Adjustments!$H:$H,"2D",Adjustments!$I:$I,'Schedule 2D Adjustments'!$Y$12,Adjustments!$J:$J,'Schedule 2D Adjustments'!$A15)</f>
        <v>0</v>
      </c>
      <c r="AA15" s="310">
        <f>SUM(Y15:Z15)</f>
        <v>0</v>
      </c>
    </row>
    <row r="16" spans="1:27" x14ac:dyDescent="0.35">
      <c r="A16" s="24">
        <v>2</v>
      </c>
      <c r="B16" s="531" t="str">
        <f>IF('As-Filed Schedule 2D'!B16:D16=0,"",'As-Filed Schedule 2D'!B16:D16)</f>
        <v>Ascent</v>
      </c>
      <c r="C16" s="531"/>
      <c r="D16" s="531"/>
      <c r="F16" s="117">
        <f>'As-Filed Schedule 2D'!F16</f>
        <v>284289.86208681669</v>
      </c>
      <c r="G16" s="454">
        <f>SUMIFS(Adjustments!$G:$G,Adjustments!$H:$H,"2D",Adjustments!$I:$I,'Schedule 2D Adjustments'!$F$12,Adjustments!$J:$J,'Schedule 2D Adjustments'!$A16)</f>
        <v>0</v>
      </c>
      <c r="H16" s="310">
        <f t="shared" ref="H16:H72" si="0">SUM(F16:G16)</f>
        <v>284289.86208681669</v>
      </c>
      <c r="I16" s="68">
        <f>IFERROR(F16*'As-Filed Schedule 1'!$E$103,0)</f>
        <v>42437.177429293777</v>
      </c>
      <c r="J16" s="311">
        <f>IFERROR(H16*'Adjusted Schedule 1'!$E$104,0)</f>
        <v>43310.923780198231</v>
      </c>
      <c r="K16" s="68">
        <f t="shared" ref="K16:K72" si="1">SUM(F16,I16)</f>
        <v>326727.03951611044</v>
      </c>
      <c r="L16" s="311">
        <f t="shared" ref="L16:L72" si="2">SUM(H16,J16)</f>
        <v>327600.7858670149</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0</v>
      </c>
      <c r="W16" s="314">
        <f>SUMIFS(Adjustments!$G:$G,Adjustments!$H:$H,"2D",Adjustments!$I:$I,'Schedule 2D Adjustments'!$V$12,Adjustments!$J:$J,'Schedule 2D Adjustments'!$A16)</f>
        <v>0</v>
      </c>
      <c r="X16" s="310">
        <f t="shared" ref="X16:X72" si="6">SUM(V16:W16)</f>
        <v>0</v>
      </c>
      <c r="Y16" s="120">
        <f>'As-Filed Schedule 2D'!O16</f>
        <v>0</v>
      </c>
      <c r="Z16" s="314">
        <f>SUMIFS(Adjustments!$G:$G,Adjustments!$H:$H,"2D",Adjustments!$I:$I,'Schedule 2D Adjustments'!$Y$12,Adjustments!$J:$J,'Schedule 2D Adjustments'!$A16)</f>
        <v>0</v>
      </c>
      <c r="AA16" s="310">
        <f t="shared" ref="AA16:AA72" si="7">SUM(Y16:Z16)</f>
        <v>0</v>
      </c>
    </row>
    <row r="17" spans="1:27" x14ac:dyDescent="0.35">
      <c r="A17" s="24">
        <v>3</v>
      </c>
      <c r="B17" s="531" t="str">
        <f>IF('As-Filed Schedule 2D'!B17:D17=0,"",'As-Filed Schedule 2D'!B17:D17)</f>
        <v/>
      </c>
      <c r="C17" s="531"/>
      <c r="D17" s="531"/>
      <c r="F17" s="117">
        <f>'As-Filed Schedule 2D'!F17</f>
        <v>0</v>
      </c>
      <c r="G17" s="314">
        <f>SUMIFS(Adjustments!$G:$G,Adjustments!$H:$H,"2D",Adjustments!$I:$I,'Schedule 2D Adjustments'!$F$12,Adjustments!$J:$J,'Schedule 2D Adjustments'!$A17)</f>
        <v>0</v>
      </c>
      <c r="H17" s="310">
        <f t="shared" si="0"/>
        <v>0</v>
      </c>
      <c r="I17" s="68">
        <f>IFERROR(F17*'As-Filed Schedule 1'!$E$103,0)</f>
        <v>0</v>
      </c>
      <c r="J17" s="311">
        <f>IFERROR(H17*'Adjusted Schedule 1'!$E$104,0)</f>
        <v>0</v>
      </c>
      <c r="K17" s="68">
        <f t="shared" si="1"/>
        <v>0</v>
      </c>
      <c r="L17" s="311">
        <f t="shared" si="2"/>
        <v>0</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0</v>
      </c>
      <c r="W17" s="314">
        <f>SUMIFS(Adjustments!$G:$G,Adjustments!$H:$H,"2D",Adjustments!$I:$I,'Schedule 2D Adjustments'!$V$12,Adjustments!$J:$J,'Schedule 2D Adjustments'!$A17)</f>
        <v>0</v>
      </c>
      <c r="X17" s="310">
        <f t="shared" si="6"/>
        <v>0</v>
      </c>
      <c r="Y17" s="120">
        <f>'As-Filed Schedule 2D'!O17</f>
        <v>0</v>
      </c>
      <c r="Z17" s="314">
        <f>SUMIFS(Adjustments!$G:$G,Adjustments!$H:$H,"2D",Adjustments!$I:$I,'Schedule 2D Adjustments'!$Y$12,Adjustments!$J:$J,'Schedule 2D Adjustments'!$A17)</f>
        <v>0</v>
      </c>
      <c r="AA17" s="310">
        <f t="shared" si="7"/>
        <v>0</v>
      </c>
    </row>
    <row r="18" spans="1:27" x14ac:dyDescent="0.35">
      <c r="A18" s="24">
        <v>4</v>
      </c>
      <c r="B18" s="531" t="str">
        <f>IF('As-Filed Schedule 2D'!B18:D18=0,"",'As-Filed Schedule 2D'!B18:D18)</f>
        <v/>
      </c>
      <c r="C18" s="531"/>
      <c r="D18" s="531"/>
      <c r="F18" s="117">
        <f>'As-Filed Schedule 2D'!F18</f>
        <v>0</v>
      </c>
      <c r="G18" s="314">
        <f>SUMIFS(Adjustments!$G:$G,Adjustments!$H:$H,"2D",Adjustments!$I:$I,'Schedule 2D Adjustments'!$F$12,Adjustments!$J:$J,'Schedule 2D Adjustments'!$A18)</f>
        <v>0</v>
      </c>
      <c r="H18" s="310">
        <f t="shared" si="0"/>
        <v>0</v>
      </c>
      <c r="I18" s="68">
        <f>IFERROR(F18*'As-Filed Schedule 1'!$E$103,0)</f>
        <v>0</v>
      </c>
      <c r="J18" s="311">
        <f>IFERROR(H18*'Adjusted Schedule 1'!$E$104,0)</f>
        <v>0</v>
      </c>
      <c r="K18" s="68">
        <f t="shared" si="1"/>
        <v>0</v>
      </c>
      <c r="L18" s="311">
        <f t="shared" si="2"/>
        <v>0</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0</v>
      </c>
      <c r="W18" s="314">
        <f>SUMIFS(Adjustments!$G:$G,Adjustments!$H:$H,"2D",Adjustments!$I:$I,'Schedule 2D Adjustments'!$V$12,Adjustments!$J:$J,'Schedule 2D Adjustments'!$A18)</f>
        <v>0</v>
      </c>
      <c r="X18" s="310">
        <f t="shared" si="6"/>
        <v>0</v>
      </c>
      <c r="Y18" s="120">
        <f>'As-Filed Schedule 2D'!O18</f>
        <v>0</v>
      </c>
      <c r="Z18" s="314">
        <f>SUMIFS(Adjustments!$G:$G,Adjustments!$H:$H,"2D",Adjustments!$I:$I,'Schedule 2D Adjustments'!$Y$12,Adjustments!$J:$J,'Schedule 2D Adjustments'!$A18)</f>
        <v>0</v>
      </c>
      <c r="AA18" s="310">
        <f t="shared" si="7"/>
        <v>0</v>
      </c>
    </row>
    <row r="19" spans="1:27" x14ac:dyDescent="0.35">
      <c r="A19" s="24">
        <v>5</v>
      </c>
      <c r="B19" s="531" t="str">
        <f>IF('As-Filed Schedule 2D'!B19:D19=0,"",'As-Filed Schedule 2D'!B19:D19)</f>
        <v/>
      </c>
      <c r="C19" s="531"/>
      <c r="D19" s="531"/>
      <c r="F19" s="117">
        <f>'As-Filed Schedule 2D'!F19</f>
        <v>0</v>
      </c>
      <c r="G19" s="314">
        <f>SUMIFS(Adjustments!$G:$G,Adjustments!$H:$H,"2D",Adjustments!$I:$I,'Schedule 2D Adjustments'!$F$12,Adjustments!$J:$J,'Schedule 2D Adjustments'!$A19)</f>
        <v>0</v>
      </c>
      <c r="H19" s="310">
        <f t="shared" si="0"/>
        <v>0</v>
      </c>
      <c r="I19" s="68">
        <f>IFERROR(F19*'As-Filed Schedule 1'!$E$103,0)</f>
        <v>0</v>
      </c>
      <c r="J19" s="311">
        <f>IFERROR(H19*'Adjusted Schedule 1'!$E$104,0)</f>
        <v>0</v>
      </c>
      <c r="K19" s="68">
        <f t="shared" si="1"/>
        <v>0</v>
      </c>
      <c r="L19" s="311">
        <f>SUM(H19,J19)</f>
        <v>0</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0</v>
      </c>
      <c r="W19" s="314">
        <f>SUMIFS(Adjustments!$G:$G,Adjustments!$H:$H,"2D",Adjustments!$I:$I,'Schedule 2D Adjustments'!$V$12,Adjustments!$J:$J,'Schedule 2D Adjustments'!$A19)</f>
        <v>0</v>
      </c>
      <c r="X19" s="310">
        <f t="shared" si="6"/>
        <v>0</v>
      </c>
      <c r="Y19" s="120">
        <f>'As-Filed Schedule 2D'!O19</f>
        <v>0</v>
      </c>
      <c r="Z19" s="314">
        <f>SUMIFS(Adjustments!$G:$G,Adjustments!$H:$H,"2D",Adjustments!$I:$I,'Schedule 2D Adjustments'!$Y$12,Adjustments!$J:$J,'Schedule 2D Adjustments'!$A19)</f>
        <v>0</v>
      </c>
      <c r="AA19" s="310">
        <f t="shared" si="7"/>
        <v>0</v>
      </c>
    </row>
    <row r="20" spans="1:27" x14ac:dyDescent="0.35">
      <c r="A20" s="24">
        <v>6</v>
      </c>
      <c r="B20" s="531" t="str">
        <f>IF('As-Filed Schedule 2D'!B20:D20=0,"",'As-Filed Schedule 2D'!B20:D20)</f>
        <v/>
      </c>
      <c r="C20" s="531"/>
      <c r="D20" s="531"/>
      <c r="F20" s="117">
        <f>'As-Filed Schedule 2D'!F20</f>
        <v>0</v>
      </c>
      <c r="G20" s="314">
        <f>SUMIFS(Adjustments!$G:$G,Adjustments!$H:$H,"2D",Adjustments!$I:$I,'Schedule 2D Adjustments'!$F$12,Adjustments!$J:$J,'Schedule 2D Adjustments'!$A20)</f>
        <v>0</v>
      </c>
      <c r="H20" s="310">
        <f t="shared" si="0"/>
        <v>0</v>
      </c>
      <c r="I20" s="68">
        <f>IFERROR(F20*'As-Filed Schedule 1'!$E$103,0)</f>
        <v>0</v>
      </c>
      <c r="J20" s="311">
        <f>IFERROR(H20*'Adjusted Schedule 1'!$E$104,0)</f>
        <v>0</v>
      </c>
      <c r="K20" s="68">
        <f>SUM(F20,I20)</f>
        <v>0</v>
      </c>
      <c r="L20" s="311">
        <f t="shared" si="2"/>
        <v>0</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0</v>
      </c>
      <c r="W20" s="314">
        <f>SUMIFS(Adjustments!$G:$G,Adjustments!$H:$H,"2D",Adjustments!$I:$I,'Schedule 2D Adjustments'!$V$12,Adjustments!$J:$J,'Schedule 2D Adjustments'!$A20)</f>
        <v>0</v>
      </c>
      <c r="X20" s="310">
        <f t="shared" si="6"/>
        <v>0</v>
      </c>
      <c r="Y20" s="120">
        <f>'As-Filed Schedule 2D'!O20</f>
        <v>0</v>
      </c>
      <c r="Z20" s="314">
        <f>SUMIFS(Adjustments!$G:$G,Adjustments!$H:$H,"2D",Adjustments!$I:$I,'Schedule 2D Adjustments'!$Y$12,Adjustments!$J:$J,'Schedule 2D Adjustments'!$A20)</f>
        <v>0</v>
      </c>
      <c r="AA20" s="310">
        <f t="shared" si="7"/>
        <v>0</v>
      </c>
    </row>
    <row r="21" spans="1:27" x14ac:dyDescent="0.35">
      <c r="A21" s="24">
        <v>7</v>
      </c>
      <c r="B21" s="531" t="str">
        <f>IF('As-Filed Schedule 2D'!B21:D21=0,"",'As-Filed Schedule 2D'!B21:D21)</f>
        <v/>
      </c>
      <c r="C21" s="531"/>
      <c r="D21" s="531"/>
      <c r="F21" s="117">
        <f>'As-Filed Schedule 2D'!F21</f>
        <v>0</v>
      </c>
      <c r="G21" s="314">
        <f>SUMIFS(Adjustments!$G:$G,Adjustments!$H:$H,"2D",Adjustments!$I:$I,'Schedule 2D Adjustments'!$F$12,Adjustments!$J:$J,'Schedule 2D Adjustments'!$A21)</f>
        <v>0</v>
      </c>
      <c r="H21" s="310">
        <f t="shared" si="0"/>
        <v>0</v>
      </c>
      <c r="I21" s="68">
        <f>IFERROR(F21*'As-Filed Schedule 1'!$E$103,0)</f>
        <v>0</v>
      </c>
      <c r="J21" s="311">
        <f>IFERROR(H21*'Adjusted Schedule 1'!$E$104,0)</f>
        <v>0</v>
      </c>
      <c r="K21" s="68">
        <f t="shared" si="1"/>
        <v>0</v>
      </c>
      <c r="L21" s="311">
        <f t="shared" si="2"/>
        <v>0</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0</v>
      </c>
      <c r="W21" s="314">
        <f>SUMIFS(Adjustments!$G:$G,Adjustments!$H:$H,"2D",Adjustments!$I:$I,'Schedule 2D Adjustments'!$V$12,Adjustments!$J:$J,'Schedule 2D Adjustments'!$A21)</f>
        <v>0</v>
      </c>
      <c r="X21" s="310">
        <f t="shared" si="6"/>
        <v>0</v>
      </c>
      <c r="Y21" s="120">
        <f>'As-Filed Schedule 2D'!O21</f>
        <v>0</v>
      </c>
      <c r="Z21" s="314">
        <f>SUMIFS(Adjustments!$G:$G,Adjustments!$H:$H,"2D",Adjustments!$I:$I,'Schedule 2D Adjustments'!$Y$12,Adjustments!$J:$J,'Schedule 2D Adjustments'!$A21)</f>
        <v>0</v>
      </c>
      <c r="AA21" s="310">
        <f t="shared" si="7"/>
        <v>0</v>
      </c>
    </row>
    <row r="22" spans="1:27" x14ac:dyDescent="0.35">
      <c r="A22" s="24">
        <v>8</v>
      </c>
      <c r="B22" s="531" t="str">
        <f>IF('As-Filed Schedule 2D'!B22:D22=0,"",'As-Filed Schedule 2D'!B22:D22)</f>
        <v/>
      </c>
      <c r="C22" s="531"/>
      <c r="D22" s="531"/>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0</v>
      </c>
      <c r="W22" s="314">
        <f>SUMIFS(Adjustments!$G:$G,Adjustments!$H:$H,"2D",Adjustments!$I:$I,'Schedule 2D Adjustments'!$V$12,Adjustments!$J:$J,'Schedule 2D Adjustments'!$A22)</f>
        <v>0</v>
      </c>
      <c r="X22" s="310">
        <f t="shared" si="6"/>
        <v>0</v>
      </c>
      <c r="Y22" s="120">
        <f>'As-Filed Schedule 2D'!O22</f>
        <v>0</v>
      </c>
      <c r="Z22" s="314">
        <f>SUMIFS(Adjustments!$G:$G,Adjustments!$H:$H,"2D",Adjustments!$I:$I,'Schedule 2D Adjustments'!$Y$12,Adjustments!$J:$J,'Schedule 2D Adjustments'!$A22)</f>
        <v>0</v>
      </c>
      <c r="AA22" s="310">
        <f t="shared" si="7"/>
        <v>0</v>
      </c>
    </row>
    <row r="23" spans="1:27" x14ac:dyDescent="0.35">
      <c r="A23" s="24">
        <v>9</v>
      </c>
      <c r="B23" s="531" t="str">
        <f>IF('As-Filed Schedule 2D'!B23:D23=0,"",'As-Filed Schedule 2D'!B23:D23)</f>
        <v/>
      </c>
      <c r="C23" s="531"/>
      <c r="D23" s="531"/>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31" t="str">
        <f>IF('As-Filed Schedule 2D'!B24:D24=0,"",'As-Filed Schedule 2D'!B24:D24)</f>
        <v/>
      </c>
      <c r="C24" s="531"/>
      <c r="D24" s="531"/>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31" t="str">
        <f>IF('As-Filed Schedule 2D'!B25:D25=0,"",'As-Filed Schedule 2D'!B25:D25)</f>
        <v/>
      </c>
      <c r="C25" s="531"/>
      <c r="D25" s="531"/>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31" t="str">
        <f>IF('As-Filed Schedule 2D'!B26:D26=0,"",'As-Filed Schedule 2D'!B26:D26)</f>
        <v/>
      </c>
      <c r="C26" s="531"/>
      <c r="D26" s="531"/>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31" t="str">
        <f>IF('As-Filed Schedule 2D'!B27:D27=0,"",'As-Filed Schedule 2D'!B27:D27)</f>
        <v/>
      </c>
      <c r="C27" s="531"/>
      <c r="D27" s="531"/>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31" t="str">
        <f>IF('As-Filed Schedule 2D'!B28:D28=0,"",'As-Filed Schedule 2D'!B28:D28)</f>
        <v/>
      </c>
      <c r="C28" s="531"/>
      <c r="D28" s="531"/>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31" t="str">
        <f>IF('As-Filed Schedule 2D'!B29:D29=0,"",'As-Filed Schedule 2D'!B29:D29)</f>
        <v/>
      </c>
      <c r="C29" s="531"/>
      <c r="D29" s="531"/>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31" t="str">
        <f>IF('As-Filed Schedule 2D'!B30:D30=0,"",'As-Filed Schedule 2D'!B30:D30)</f>
        <v/>
      </c>
      <c r="C30" s="531"/>
      <c r="D30" s="531"/>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31" t="str">
        <f>IF('As-Filed Schedule 2D'!B31:D31=0,"",'As-Filed Schedule 2D'!B31:D31)</f>
        <v/>
      </c>
      <c r="C31" s="531"/>
      <c r="D31" s="531"/>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31" t="str">
        <f>IF('As-Filed Schedule 2D'!B32:D32=0,"",'As-Filed Schedule 2D'!B32:D32)</f>
        <v/>
      </c>
      <c r="C32" s="531"/>
      <c r="D32" s="531"/>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31" t="str">
        <f>IF('As-Filed Schedule 2D'!B33:D33=0,"",'As-Filed Schedule 2D'!B33:D33)</f>
        <v/>
      </c>
      <c r="C33" s="531"/>
      <c r="D33" s="531"/>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31" t="str">
        <f>IF('As-Filed Schedule 2D'!B34:D34=0,"",'As-Filed Schedule 2D'!B34:D34)</f>
        <v/>
      </c>
      <c r="C34" s="531"/>
      <c r="D34" s="531"/>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31" t="str">
        <f>IF('As-Filed Schedule 2D'!B35:D35=0,"",'As-Filed Schedule 2D'!B35:D35)</f>
        <v/>
      </c>
      <c r="C35" s="531"/>
      <c r="D35" s="531"/>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31" t="str">
        <f>IF('As-Filed Schedule 2D'!B36:D36=0,"",'As-Filed Schedule 2D'!B36:D36)</f>
        <v/>
      </c>
      <c r="C36" s="531"/>
      <c r="D36" s="531"/>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31" t="str">
        <f>IF('As-Filed Schedule 2D'!B37:D37=0,"",'As-Filed Schedule 2D'!B37:D37)</f>
        <v/>
      </c>
      <c r="C37" s="531"/>
      <c r="D37" s="531"/>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31" t="str">
        <f>IF('As-Filed Schedule 2D'!B38:D38=0,"",'As-Filed Schedule 2D'!B38:D38)</f>
        <v/>
      </c>
      <c r="C38" s="531"/>
      <c r="D38" s="531"/>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31" t="str">
        <f>IF('As-Filed Schedule 2D'!B39:D39=0,"",'As-Filed Schedule 2D'!B39:D39)</f>
        <v/>
      </c>
      <c r="C39" s="531"/>
      <c r="D39" s="531"/>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31" t="str">
        <f>IF('As-Filed Schedule 2D'!B40:D40=0,"",'As-Filed Schedule 2D'!B40:D40)</f>
        <v/>
      </c>
      <c r="C40" s="531"/>
      <c r="D40" s="531"/>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31" t="str">
        <f>IF('As-Filed Schedule 2D'!B41:D41=0,"",'As-Filed Schedule 2D'!B41:D41)</f>
        <v/>
      </c>
      <c r="C41" s="531"/>
      <c r="D41" s="531"/>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31" t="str">
        <f>IF('As-Filed Schedule 2D'!B42:D42=0,"",'As-Filed Schedule 2D'!B42:D42)</f>
        <v/>
      </c>
      <c r="C42" s="531"/>
      <c r="D42" s="531"/>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31" t="str">
        <f>IF('As-Filed Schedule 2D'!B43:D43=0,"",'As-Filed Schedule 2D'!B43:D43)</f>
        <v/>
      </c>
      <c r="C43" s="531"/>
      <c r="D43" s="531"/>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31" t="str">
        <f>IF('As-Filed Schedule 2D'!B44:D44=0,"",'As-Filed Schedule 2D'!B44:D44)</f>
        <v/>
      </c>
      <c r="C44" s="531"/>
      <c r="D44" s="531"/>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31" t="str">
        <f>IF('As-Filed Schedule 2D'!B45:D45=0,"",'As-Filed Schedule 2D'!B45:D45)</f>
        <v/>
      </c>
      <c r="C45" s="531"/>
      <c r="D45" s="531"/>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31" t="str">
        <f>IF('As-Filed Schedule 2D'!B46:D46=0,"",'As-Filed Schedule 2D'!B46:D46)</f>
        <v/>
      </c>
      <c r="C46" s="531"/>
      <c r="D46" s="531"/>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31" t="str">
        <f>IF('As-Filed Schedule 2D'!B47:D47=0,"",'As-Filed Schedule 2D'!B47:D47)</f>
        <v/>
      </c>
      <c r="C47" s="531"/>
      <c r="D47" s="531"/>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31" t="str">
        <f>IF('As-Filed Schedule 2D'!B48:D48=0,"",'As-Filed Schedule 2D'!B48:D48)</f>
        <v/>
      </c>
      <c r="C48" s="531"/>
      <c r="D48" s="531"/>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31" t="str">
        <f>IF('As-Filed Schedule 2D'!B49:D49=0,"",'As-Filed Schedule 2D'!B49:D49)</f>
        <v/>
      </c>
      <c r="C49" s="531"/>
      <c r="D49" s="531"/>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31" t="str">
        <f>IF('As-Filed Schedule 2D'!B50:D50=0,"",'As-Filed Schedule 2D'!B50:D50)</f>
        <v/>
      </c>
      <c r="C50" s="531"/>
      <c r="D50" s="531"/>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31" t="str">
        <f>IF('As-Filed Schedule 2D'!B51:D51=0,"",'As-Filed Schedule 2D'!B51:D51)</f>
        <v/>
      </c>
      <c r="C51" s="531"/>
      <c r="D51" s="531"/>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31" t="str">
        <f>IF('As-Filed Schedule 2D'!B52:D52=0,"",'As-Filed Schedule 2D'!B52:D52)</f>
        <v/>
      </c>
      <c r="C52" s="531"/>
      <c r="D52" s="531"/>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31" t="str">
        <f>IF('As-Filed Schedule 2D'!B53:D53=0,"",'As-Filed Schedule 2D'!B53:D53)</f>
        <v/>
      </c>
      <c r="C53" s="531"/>
      <c r="D53" s="531"/>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31" t="str">
        <f>IF('As-Filed Schedule 2D'!B54:D54=0,"",'As-Filed Schedule 2D'!B54:D54)</f>
        <v/>
      </c>
      <c r="C54" s="531"/>
      <c r="D54" s="531"/>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31" t="str">
        <f>IF('As-Filed Schedule 2D'!B55:D55=0,"",'As-Filed Schedule 2D'!B55:D55)</f>
        <v/>
      </c>
      <c r="C55" s="531"/>
      <c r="D55" s="531"/>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31" t="str">
        <f>IF('As-Filed Schedule 2D'!B56:D56=0,"",'As-Filed Schedule 2D'!B56:D56)</f>
        <v/>
      </c>
      <c r="C56" s="531"/>
      <c r="D56" s="531"/>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31" t="str">
        <f>IF('As-Filed Schedule 2D'!B57:D57=0,"",'As-Filed Schedule 2D'!B57:D57)</f>
        <v/>
      </c>
      <c r="C57" s="531"/>
      <c r="D57" s="531"/>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31" t="str">
        <f>IF('As-Filed Schedule 2D'!B58:D58=0,"",'As-Filed Schedule 2D'!B58:D58)</f>
        <v/>
      </c>
      <c r="C58" s="531"/>
      <c r="D58" s="531"/>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31" t="str">
        <f>IF('As-Filed Schedule 2D'!B59:D59=0,"",'As-Filed Schedule 2D'!B59:D59)</f>
        <v/>
      </c>
      <c r="C59" s="531"/>
      <c r="D59" s="531"/>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31" t="str">
        <f>IF('As-Filed Schedule 2D'!B60:D60=0,"",'As-Filed Schedule 2D'!B60:D60)</f>
        <v/>
      </c>
      <c r="C60" s="531"/>
      <c r="D60" s="531"/>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31" t="str">
        <f>IF('As-Filed Schedule 2D'!B61:D61=0,"",'As-Filed Schedule 2D'!B61:D61)</f>
        <v/>
      </c>
      <c r="C61" s="531"/>
      <c r="D61" s="531"/>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31" t="str">
        <f>IF('As-Filed Schedule 2D'!B62:D62=0,"",'As-Filed Schedule 2D'!B62:D62)</f>
        <v/>
      </c>
      <c r="C62" s="531"/>
      <c r="D62" s="531"/>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31" t="str">
        <f>IF('As-Filed Schedule 2D'!B63:D63=0,"",'As-Filed Schedule 2D'!B63:D63)</f>
        <v/>
      </c>
      <c r="C63" s="531"/>
      <c r="D63" s="531"/>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31" t="str">
        <f>IF('As-Filed Schedule 2D'!B64:D64=0,"",'As-Filed Schedule 2D'!B64:D64)</f>
        <v/>
      </c>
      <c r="C64" s="531"/>
      <c r="D64" s="531"/>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31" t="str">
        <f>IF('As-Filed Schedule 2D'!B65:D65=0,"",'As-Filed Schedule 2D'!B65:D65)</f>
        <v/>
      </c>
      <c r="C65" s="531"/>
      <c r="D65" s="531"/>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31" t="str">
        <f>IF('As-Filed Schedule 2D'!B66:D66=0,"",'As-Filed Schedule 2D'!B66:D66)</f>
        <v/>
      </c>
      <c r="C66" s="531"/>
      <c r="D66" s="531"/>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31" t="str">
        <f>IF('As-Filed Schedule 2D'!B67:D67=0,"",'As-Filed Schedule 2D'!B67:D67)</f>
        <v/>
      </c>
      <c r="C67" s="531"/>
      <c r="D67" s="531"/>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31" t="str">
        <f>IF('As-Filed Schedule 2D'!B68:D68=0,"",'As-Filed Schedule 2D'!B68:D68)</f>
        <v/>
      </c>
      <c r="C68" s="531"/>
      <c r="D68" s="531"/>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31" t="str">
        <f>IF('As-Filed Schedule 2D'!B69:D69=0,"",'As-Filed Schedule 2D'!B69:D69)</f>
        <v/>
      </c>
      <c r="C69" s="531"/>
      <c r="D69" s="531"/>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31" t="str">
        <f>IF('As-Filed Schedule 2D'!B70:D70=0,"",'As-Filed Schedule 2D'!B70:D70)</f>
        <v/>
      </c>
      <c r="C70" s="531"/>
      <c r="D70" s="531"/>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31" t="str">
        <f>IF('As-Filed Schedule 2D'!B71:D71=0,"",'As-Filed Schedule 2D'!B71:D71)</f>
        <v/>
      </c>
      <c r="C71" s="531"/>
      <c r="D71" s="531"/>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31" t="str">
        <f>IF('As-Filed Schedule 2D'!B72:D72=0,"",'As-Filed Schedule 2D'!B72:D72)</f>
        <v/>
      </c>
      <c r="C72" s="531"/>
      <c r="D72" s="531"/>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963658.52313187858</v>
      </c>
      <c r="G73" s="18">
        <f t="shared" ref="G73:H73" si="8">SUM(G15:G72)</f>
        <v>0</v>
      </c>
      <c r="H73" s="18">
        <f t="shared" si="8"/>
        <v>963658.52313187858</v>
      </c>
      <c r="I73" s="18">
        <f t="shared" ref="I73:K73" si="9">SUM(I15:I72)</f>
        <v>143849.47611994055</v>
      </c>
      <c r="J73" s="311">
        <f>IFERROR(H73*'Adjusted Schedule 1'!$E$104,0)</f>
        <v>146811.21774492797</v>
      </c>
      <c r="K73" s="18">
        <f t="shared" si="9"/>
        <v>1107507.9992518192</v>
      </c>
      <c r="L73" s="312">
        <f t="shared" ref="L73" si="10">SUM(L15:L72)</f>
        <v>1110469.7408768064</v>
      </c>
      <c r="N73" s="18">
        <f>SUM(N15:N72)</f>
        <v>0</v>
      </c>
      <c r="O73" s="18">
        <f t="shared" ref="O73:P73" si="11">SUM(O15:O72)</f>
        <v>0</v>
      </c>
      <c r="P73" s="18">
        <f t="shared" si="11"/>
        <v>0</v>
      </c>
      <c r="Q73" s="18">
        <f t="shared" ref="Q73:S73" si="12">SUM(Q15:Q72)</f>
        <v>0</v>
      </c>
      <c r="R73" s="18">
        <f t="shared" si="12"/>
        <v>0</v>
      </c>
      <c r="S73" s="18">
        <f t="shared" si="12"/>
        <v>0</v>
      </c>
      <c r="T73" s="312">
        <f t="shared" ref="T73" si="13">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461</v>
      </c>
      <c r="F75" s="75">
        <f>K73+S73</f>
        <v>1107507.9992518192</v>
      </c>
      <c r="G75"/>
      <c r="H75" s="75">
        <f>L73+T73</f>
        <v>1110469.7408768064</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customProperties>
    <customPr name="OrphanNamesChecked" r:id="rId4"/>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838</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809</v>
      </c>
      <c r="C8" s="1"/>
      <c r="F8" s="119" t="str">
        <f>'As-Filed Schedule 2E'!F8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2E'!B15:D15=0,"",'As-Filed Schedule 2E'!B15:D15)</f>
        <v/>
      </c>
      <c r="C15" s="531"/>
      <c r="D15" s="531"/>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31" t="str">
        <f>IF('As-Filed Schedule 2E'!B16:D16=0,"",'As-Filed Schedule 2E'!B16:D16)</f>
        <v/>
      </c>
      <c r="C16" s="531"/>
      <c r="D16" s="531"/>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31" t="str">
        <f>IF('As-Filed Schedule 2E'!B17:D17=0,"",'As-Filed Schedule 2E'!B17:D17)</f>
        <v/>
      </c>
      <c r="C17" s="531"/>
      <c r="D17" s="531"/>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31" t="str">
        <f>IF('As-Filed Schedule 2E'!B18:D18=0,"",'As-Filed Schedule 2E'!B18:D18)</f>
        <v/>
      </c>
      <c r="C18" s="531"/>
      <c r="D18" s="531"/>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31" t="str">
        <f>IF('As-Filed Schedule 2E'!B19:D19=0,"",'As-Filed Schedule 2E'!B19:D19)</f>
        <v/>
      </c>
      <c r="C19" s="531"/>
      <c r="D19" s="531"/>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31" t="str">
        <f>IF('As-Filed Schedule 2E'!B20:D20=0,"",'As-Filed Schedule 2E'!B20:D20)</f>
        <v/>
      </c>
      <c r="C20" s="531"/>
      <c r="D20" s="531"/>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31" t="str">
        <f>IF('As-Filed Schedule 2E'!B21:D21=0,"",'As-Filed Schedule 2E'!B21:D21)</f>
        <v/>
      </c>
      <c r="C21" s="531"/>
      <c r="D21" s="531"/>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31" t="str">
        <f>IF('As-Filed Schedule 2E'!B22:D22=0,"",'As-Filed Schedule 2E'!B22:D22)</f>
        <v/>
      </c>
      <c r="C22" s="531"/>
      <c r="D22" s="531"/>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31" t="str">
        <f>IF('As-Filed Schedule 2E'!B23:D23=0,"",'As-Filed Schedule 2E'!B23:D23)</f>
        <v/>
      </c>
      <c r="C23" s="531"/>
      <c r="D23" s="531"/>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31" t="str">
        <f>IF('As-Filed Schedule 2E'!B24:D24=0,"",'As-Filed Schedule 2E'!B24:D24)</f>
        <v/>
      </c>
      <c r="C24" s="531"/>
      <c r="D24" s="531"/>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31" t="str">
        <f>IF('As-Filed Schedule 2E'!B25:D25=0,"",'As-Filed Schedule 2E'!B25:D25)</f>
        <v/>
      </c>
      <c r="C25" s="531"/>
      <c r="D25" s="531"/>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31" t="str">
        <f>IF('As-Filed Schedule 2E'!B26:D26=0,"",'As-Filed Schedule 2E'!B26:D26)</f>
        <v/>
      </c>
      <c r="C26" s="531"/>
      <c r="D26" s="531"/>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31" t="str">
        <f>IF('As-Filed Schedule 2E'!B27:D27=0,"",'As-Filed Schedule 2E'!B27:D27)</f>
        <v/>
      </c>
      <c r="C27" s="531"/>
      <c r="D27" s="531"/>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31" t="str">
        <f>IF('As-Filed Schedule 2E'!B28:D28=0,"",'As-Filed Schedule 2E'!B28:D28)</f>
        <v/>
      </c>
      <c r="C28" s="531"/>
      <c r="D28" s="531"/>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31" t="str">
        <f>IF('As-Filed Schedule 2E'!B29:D29=0,"",'As-Filed Schedule 2E'!B29:D29)</f>
        <v/>
      </c>
      <c r="C29" s="531"/>
      <c r="D29" s="531"/>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31" t="str">
        <f>IF('As-Filed Schedule 2E'!B30:D30=0,"",'As-Filed Schedule 2E'!B30:D30)</f>
        <v/>
      </c>
      <c r="C30" s="531"/>
      <c r="D30" s="531"/>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31" t="str">
        <f>IF('As-Filed Schedule 2E'!B31:D31=0,"",'As-Filed Schedule 2E'!B31:D31)</f>
        <v/>
      </c>
      <c r="C31" s="531"/>
      <c r="D31" s="531"/>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31" t="str">
        <f>IF('As-Filed Schedule 2E'!B32:D32=0,"",'As-Filed Schedule 2E'!B32:D32)</f>
        <v/>
      </c>
      <c r="C32" s="531"/>
      <c r="D32" s="531"/>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31" t="str">
        <f>IF('As-Filed Schedule 2E'!B33:D33=0,"",'As-Filed Schedule 2E'!B33:D33)</f>
        <v/>
      </c>
      <c r="C33" s="531"/>
      <c r="D33" s="531"/>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31" t="str">
        <f>IF('As-Filed Schedule 2E'!B34:D34=0,"",'As-Filed Schedule 2E'!B34:D34)</f>
        <v/>
      </c>
      <c r="C34" s="531"/>
      <c r="D34" s="531"/>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31" t="str">
        <f>IF('As-Filed Schedule 2E'!B35:D35=0,"",'As-Filed Schedule 2E'!B35:D35)</f>
        <v/>
      </c>
      <c r="C35" s="531"/>
      <c r="D35" s="531"/>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31" t="str">
        <f>IF('As-Filed Schedule 2E'!B36:D36=0,"",'As-Filed Schedule 2E'!B36:D36)</f>
        <v/>
      </c>
      <c r="C36" s="531"/>
      <c r="D36" s="531"/>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31" t="str">
        <f>IF('As-Filed Schedule 2E'!B37:D37=0,"",'As-Filed Schedule 2E'!B37:D37)</f>
        <v/>
      </c>
      <c r="C37" s="531"/>
      <c r="D37" s="531"/>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31" t="str">
        <f>IF('As-Filed Schedule 2E'!B38:D38=0,"",'As-Filed Schedule 2E'!B38:D38)</f>
        <v/>
      </c>
      <c r="C38" s="531"/>
      <c r="D38" s="531"/>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31" t="str">
        <f>IF('As-Filed Schedule 2E'!B39:D39=0,"",'As-Filed Schedule 2E'!B39:D39)</f>
        <v/>
      </c>
      <c r="C39" s="531"/>
      <c r="D39" s="531"/>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31" t="str">
        <f>IF('As-Filed Schedule 2E'!B40:D40=0,"",'As-Filed Schedule 2E'!B40:D40)</f>
        <v/>
      </c>
      <c r="C40" s="531"/>
      <c r="D40" s="531"/>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31" t="str">
        <f>IF('As-Filed Schedule 2E'!B41:D41=0,"",'As-Filed Schedule 2E'!B41:D41)</f>
        <v/>
      </c>
      <c r="C41" s="531"/>
      <c r="D41" s="531"/>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31" t="str">
        <f>IF('As-Filed Schedule 2E'!B42:D42=0,"",'As-Filed Schedule 2E'!B42:D42)</f>
        <v/>
      </c>
      <c r="C42" s="531"/>
      <c r="D42" s="531"/>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31" t="str">
        <f>IF('As-Filed Schedule 2E'!B43:D43=0,"",'As-Filed Schedule 2E'!B43:D43)</f>
        <v/>
      </c>
      <c r="C43" s="531"/>
      <c r="D43" s="531"/>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31" t="str">
        <f>IF('As-Filed Schedule 2E'!B44:D44=0,"",'As-Filed Schedule 2E'!B44:D44)</f>
        <v/>
      </c>
      <c r="C44" s="531"/>
      <c r="D44" s="531"/>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31" t="str">
        <f>IF('As-Filed Schedule 2E'!B45:D45=0,"",'As-Filed Schedule 2E'!B45:D45)</f>
        <v/>
      </c>
      <c r="C45" s="531"/>
      <c r="D45" s="531"/>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31" t="str">
        <f>IF('As-Filed Schedule 2E'!B46:D46=0,"",'As-Filed Schedule 2E'!B46:D46)</f>
        <v/>
      </c>
      <c r="C46" s="531"/>
      <c r="D46" s="531"/>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31" t="str">
        <f>IF('As-Filed Schedule 2E'!B47:D47=0,"",'As-Filed Schedule 2E'!B47:D47)</f>
        <v/>
      </c>
      <c r="C47" s="531"/>
      <c r="D47" s="531"/>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31" t="str">
        <f>IF('As-Filed Schedule 2E'!B48:D48=0,"",'As-Filed Schedule 2E'!B48:D48)</f>
        <v/>
      </c>
      <c r="C48" s="531"/>
      <c r="D48" s="531"/>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31" t="str">
        <f>IF('As-Filed Schedule 2E'!B49:D49=0,"",'As-Filed Schedule 2E'!B49:D49)</f>
        <v/>
      </c>
      <c r="C49" s="531"/>
      <c r="D49" s="531"/>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31" t="str">
        <f>IF('As-Filed Schedule 2E'!B50:D50=0,"",'As-Filed Schedule 2E'!B50:D50)</f>
        <v/>
      </c>
      <c r="C50" s="531"/>
      <c r="D50" s="531"/>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31" t="str">
        <f>IF('As-Filed Schedule 2E'!B51:D51=0,"",'As-Filed Schedule 2E'!B51:D51)</f>
        <v/>
      </c>
      <c r="C51" s="531"/>
      <c r="D51" s="531"/>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31" t="str">
        <f>IF('As-Filed Schedule 2E'!B52:D52=0,"",'As-Filed Schedule 2E'!B52:D52)</f>
        <v/>
      </c>
      <c r="C52" s="531"/>
      <c r="D52" s="531"/>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31" t="str">
        <f>IF('As-Filed Schedule 2E'!B53:D53=0,"",'As-Filed Schedule 2E'!B53:D53)</f>
        <v/>
      </c>
      <c r="C53" s="531"/>
      <c r="D53" s="531"/>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31" t="str">
        <f>IF('As-Filed Schedule 2E'!B54:D54=0,"",'As-Filed Schedule 2E'!B54:D54)</f>
        <v/>
      </c>
      <c r="C54" s="531"/>
      <c r="D54" s="531"/>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31" t="str">
        <f>IF('As-Filed Schedule 2E'!B55:D55=0,"",'As-Filed Schedule 2E'!B55:D55)</f>
        <v/>
      </c>
      <c r="C55" s="531"/>
      <c r="D55" s="531"/>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31" t="str">
        <f>IF('As-Filed Schedule 2E'!B56:D56=0,"",'As-Filed Schedule 2E'!B56:D56)</f>
        <v/>
      </c>
      <c r="C56" s="531"/>
      <c r="D56" s="531"/>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31" t="str">
        <f>IF('As-Filed Schedule 2E'!B57:D57=0,"",'As-Filed Schedule 2E'!B57:D57)</f>
        <v/>
      </c>
      <c r="C57" s="531"/>
      <c r="D57" s="531"/>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31" t="str">
        <f>IF('As-Filed Schedule 2E'!B58:D58=0,"",'As-Filed Schedule 2E'!B58:D58)</f>
        <v/>
      </c>
      <c r="C58" s="531"/>
      <c r="D58" s="531"/>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31" t="str">
        <f>IF('As-Filed Schedule 2E'!B59:D59=0,"",'As-Filed Schedule 2E'!B59:D59)</f>
        <v/>
      </c>
      <c r="C59" s="531"/>
      <c r="D59" s="531"/>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31" t="str">
        <f>IF('As-Filed Schedule 2E'!B60:D60=0,"",'As-Filed Schedule 2E'!B60:D60)</f>
        <v/>
      </c>
      <c r="C60" s="531"/>
      <c r="D60" s="531"/>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31" t="str">
        <f>IF('As-Filed Schedule 2E'!B61:D61=0,"",'As-Filed Schedule 2E'!B61:D61)</f>
        <v/>
      </c>
      <c r="C61" s="531"/>
      <c r="D61" s="531"/>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31" t="str">
        <f>IF('As-Filed Schedule 2E'!B62:D62=0,"",'As-Filed Schedule 2E'!B62:D62)</f>
        <v/>
      </c>
      <c r="C62" s="531"/>
      <c r="D62" s="531"/>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31" t="str">
        <f>IF('As-Filed Schedule 2E'!B63:D63=0,"",'As-Filed Schedule 2E'!B63:D63)</f>
        <v/>
      </c>
      <c r="C63" s="531"/>
      <c r="D63" s="531"/>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31" t="str">
        <f>IF('As-Filed Schedule 2E'!B64:D64=0,"",'As-Filed Schedule 2E'!B64:D64)</f>
        <v/>
      </c>
      <c r="C64" s="531"/>
      <c r="D64" s="531"/>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31" t="str">
        <f>IF('As-Filed Schedule 2E'!B65:D65=0,"",'As-Filed Schedule 2E'!B65:D65)</f>
        <v/>
      </c>
      <c r="C65" s="531"/>
      <c r="D65" s="531"/>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31" t="str">
        <f>IF('As-Filed Schedule 2E'!B66:D66=0,"",'As-Filed Schedule 2E'!B66:D66)</f>
        <v/>
      </c>
      <c r="C66" s="531"/>
      <c r="D66" s="531"/>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31" t="str">
        <f>IF('As-Filed Schedule 2E'!B67:D67=0,"",'As-Filed Schedule 2E'!B67:D67)</f>
        <v/>
      </c>
      <c r="C67" s="531"/>
      <c r="D67" s="531"/>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31" t="str">
        <f>IF('As-Filed Schedule 2E'!B68:D68=0,"",'As-Filed Schedule 2E'!B68:D68)</f>
        <v/>
      </c>
      <c r="C68" s="531"/>
      <c r="D68" s="531"/>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31" t="str">
        <f>IF('As-Filed Schedule 2E'!B69:D69=0,"",'As-Filed Schedule 2E'!B69:D69)</f>
        <v/>
      </c>
      <c r="C69" s="531"/>
      <c r="D69" s="531"/>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31" t="str">
        <f>IF('As-Filed Schedule 2E'!B70:D70=0,"",'As-Filed Schedule 2E'!B70:D70)</f>
        <v/>
      </c>
      <c r="C70" s="531"/>
      <c r="D70" s="531"/>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31" t="str">
        <f>IF('As-Filed Schedule 2E'!B71:D71=0,"",'As-Filed Schedule 2E'!B71:D71)</f>
        <v/>
      </c>
      <c r="C71" s="531"/>
      <c r="D71" s="531"/>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31" t="str">
        <f>IF('As-Filed Schedule 2E'!B72:D72=0,"",'As-Filed Schedule 2E'!B72:D72)</f>
        <v/>
      </c>
      <c r="C72" s="531"/>
      <c r="D72" s="531"/>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810</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customProperties>
    <customPr name="OrphanNamesChecked" r:id="rId4"/>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839</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812</v>
      </c>
      <c r="C8" s="1"/>
      <c r="F8" s="119" t="str">
        <f>'As-Filed Schedule 2F'!F8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2F'!B15:D15=0,"",'As-Filed Schedule 2F'!B15:D15)</f>
        <v/>
      </c>
      <c r="C15" s="531"/>
      <c r="D15" s="531"/>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31" t="str">
        <f>IF('As-Filed Schedule 2F'!B16:D16=0,"",'As-Filed Schedule 2F'!B16:D16)</f>
        <v/>
      </c>
      <c r="C16" s="531"/>
      <c r="D16" s="531"/>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31" t="str">
        <f>IF('As-Filed Schedule 2F'!B17:D17=0,"",'As-Filed Schedule 2F'!B17:D17)</f>
        <v/>
      </c>
      <c r="C17" s="531"/>
      <c r="D17" s="531"/>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31" t="str">
        <f>IF('As-Filed Schedule 2F'!B18:D18=0,"",'As-Filed Schedule 2F'!B18:D18)</f>
        <v/>
      </c>
      <c r="C18" s="531"/>
      <c r="D18" s="531"/>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31" t="str">
        <f>IF('As-Filed Schedule 2F'!B19:D19=0,"",'As-Filed Schedule 2F'!B19:D19)</f>
        <v/>
      </c>
      <c r="C19" s="531"/>
      <c r="D19" s="531"/>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31" t="str">
        <f>IF('As-Filed Schedule 2F'!B20:D20=0,"",'As-Filed Schedule 2F'!B20:D20)</f>
        <v/>
      </c>
      <c r="C20" s="531"/>
      <c r="D20" s="531"/>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31" t="str">
        <f>IF('As-Filed Schedule 2F'!B21:D21=0,"",'As-Filed Schedule 2F'!B21:D21)</f>
        <v/>
      </c>
      <c r="C21" s="531"/>
      <c r="D21" s="531"/>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31" t="str">
        <f>IF('As-Filed Schedule 2F'!B22:D22=0,"",'As-Filed Schedule 2F'!B22:D22)</f>
        <v/>
      </c>
      <c r="C22" s="531"/>
      <c r="D22" s="531"/>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31" t="str">
        <f>IF('As-Filed Schedule 2F'!B23:D23=0,"",'As-Filed Schedule 2F'!B23:D23)</f>
        <v/>
      </c>
      <c r="C23" s="531"/>
      <c r="D23" s="531"/>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31" t="str">
        <f>IF('As-Filed Schedule 2F'!B24:D24=0,"",'As-Filed Schedule 2F'!B24:D24)</f>
        <v/>
      </c>
      <c r="C24" s="531"/>
      <c r="D24" s="531"/>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31" t="str">
        <f>IF('As-Filed Schedule 2F'!B25:D25=0,"",'As-Filed Schedule 2F'!B25:D25)</f>
        <v/>
      </c>
      <c r="C25" s="531"/>
      <c r="D25" s="531"/>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31" t="str">
        <f>IF('As-Filed Schedule 2F'!B26:D26=0,"",'As-Filed Schedule 2F'!B26:D26)</f>
        <v/>
      </c>
      <c r="C26" s="531"/>
      <c r="D26" s="531"/>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31" t="str">
        <f>IF('As-Filed Schedule 2F'!B27:D27=0,"",'As-Filed Schedule 2F'!B27:D27)</f>
        <v/>
      </c>
      <c r="C27" s="531"/>
      <c r="D27" s="531"/>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31" t="str">
        <f>IF('As-Filed Schedule 2F'!B28:D28=0,"",'As-Filed Schedule 2F'!B28:D28)</f>
        <v/>
      </c>
      <c r="C28" s="531"/>
      <c r="D28" s="531"/>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31" t="str">
        <f>IF('As-Filed Schedule 2F'!B29:D29=0,"",'As-Filed Schedule 2F'!B29:D29)</f>
        <v/>
      </c>
      <c r="C29" s="531"/>
      <c r="D29" s="531"/>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31" t="str">
        <f>IF('As-Filed Schedule 2F'!B30:D30=0,"",'As-Filed Schedule 2F'!B30:D30)</f>
        <v/>
      </c>
      <c r="C30" s="531"/>
      <c r="D30" s="531"/>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31" t="str">
        <f>IF('As-Filed Schedule 2F'!B31:D31=0,"",'As-Filed Schedule 2F'!B31:D31)</f>
        <v/>
      </c>
      <c r="C31" s="531"/>
      <c r="D31" s="531"/>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31" t="str">
        <f>IF('As-Filed Schedule 2F'!B32:D32=0,"",'As-Filed Schedule 2F'!B32:D32)</f>
        <v/>
      </c>
      <c r="C32" s="531"/>
      <c r="D32" s="531"/>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31" t="str">
        <f>IF('As-Filed Schedule 2F'!B33:D33=0,"",'As-Filed Schedule 2F'!B33:D33)</f>
        <v/>
      </c>
      <c r="C33" s="531"/>
      <c r="D33" s="531"/>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31" t="str">
        <f>IF('As-Filed Schedule 2F'!B34:D34=0,"",'As-Filed Schedule 2F'!B34:D34)</f>
        <v/>
      </c>
      <c r="C34" s="531"/>
      <c r="D34" s="531"/>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31" t="str">
        <f>IF('As-Filed Schedule 2F'!B35:D35=0,"",'As-Filed Schedule 2F'!B35:D35)</f>
        <v/>
      </c>
      <c r="C35" s="531"/>
      <c r="D35" s="531"/>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31" t="str">
        <f>IF('As-Filed Schedule 2F'!B36:D36=0,"",'As-Filed Schedule 2F'!B36:D36)</f>
        <v/>
      </c>
      <c r="C36" s="531"/>
      <c r="D36" s="531"/>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31" t="str">
        <f>IF('As-Filed Schedule 2F'!B37:D37=0,"",'As-Filed Schedule 2F'!B37:D37)</f>
        <v/>
      </c>
      <c r="C37" s="531"/>
      <c r="D37" s="531"/>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31" t="str">
        <f>IF('As-Filed Schedule 2F'!B38:D38=0,"",'As-Filed Schedule 2F'!B38:D38)</f>
        <v/>
      </c>
      <c r="C38" s="531"/>
      <c r="D38" s="531"/>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31" t="str">
        <f>IF('As-Filed Schedule 2F'!B39:D39=0,"",'As-Filed Schedule 2F'!B39:D39)</f>
        <v/>
      </c>
      <c r="C39" s="531"/>
      <c r="D39" s="531"/>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31" t="str">
        <f>IF('As-Filed Schedule 2F'!B40:D40=0,"",'As-Filed Schedule 2F'!B40:D40)</f>
        <v/>
      </c>
      <c r="C40" s="531"/>
      <c r="D40" s="531"/>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31" t="str">
        <f>IF('As-Filed Schedule 2F'!B41:D41=0,"",'As-Filed Schedule 2F'!B41:D41)</f>
        <v/>
      </c>
      <c r="C41" s="531"/>
      <c r="D41" s="531"/>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31" t="str">
        <f>IF('As-Filed Schedule 2F'!B42:D42=0,"",'As-Filed Schedule 2F'!B42:D42)</f>
        <v/>
      </c>
      <c r="C42" s="531"/>
      <c r="D42" s="531"/>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31" t="str">
        <f>IF('As-Filed Schedule 2F'!B43:D43=0,"",'As-Filed Schedule 2F'!B43:D43)</f>
        <v/>
      </c>
      <c r="C43" s="531"/>
      <c r="D43" s="531"/>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31" t="str">
        <f>IF('As-Filed Schedule 2F'!B44:D44=0,"",'As-Filed Schedule 2F'!B44:D44)</f>
        <v/>
      </c>
      <c r="C44" s="531"/>
      <c r="D44" s="531"/>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31" t="str">
        <f>IF('As-Filed Schedule 2F'!B45:D45=0,"",'As-Filed Schedule 2F'!B45:D45)</f>
        <v/>
      </c>
      <c r="C45" s="531"/>
      <c r="D45" s="531"/>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31" t="str">
        <f>IF('As-Filed Schedule 2F'!B46:D46=0,"",'As-Filed Schedule 2F'!B46:D46)</f>
        <v/>
      </c>
      <c r="C46" s="531"/>
      <c r="D46" s="531"/>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31" t="str">
        <f>IF('As-Filed Schedule 2F'!B47:D47=0,"",'As-Filed Schedule 2F'!B47:D47)</f>
        <v/>
      </c>
      <c r="C47" s="531"/>
      <c r="D47" s="531"/>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31" t="str">
        <f>IF('As-Filed Schedule 2F'!B48:D48=0,"",'As-Filed Schedule 2F'!B48:D48)</f>
        <v/>
      </c>
      <c r="C48" s="531"/>
      <c r="D48" s="531"/>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31" t="str">
        <f>IF('As-Filed Schedule 2F'!B49:D49=0,"",'As-Filed Schedule 2F'!B49:D49)</f>
        <v/>
      </c>
      <c r="C49" s="531"/>
      <c r="D49" s="531"/>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31" t="str">
        <f>IF('As-Filed Schedule 2F'!B50:D50=0,"",'As-Filed Schedule 2F'!B50:D50)</f>
        <v/>
      </c>
      <c r="C50" s="531"/>
      <c r="D50" s="531"/>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31" t="str">
        <f>IF('As-Filed Schedule 2F'!B51:D51=0,"",'As-Filed Schedule 2F'!B51:D51)</f>
        <v/>
      </c>
      <c r="C51" s="531"/>
      <c r="D51" s="531"/>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31" t="str">
        <f>IF('As-Filed Schedule 2F'!B52:D52=0,"",'As-Filed Schedule 2F'!B52:D52)</f>
        <v/>
      </c>
      <c r="C52" s="531"/>
      <c r="D52" s="531"/>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31" t="str">
        <f>IF('As-Filed Schedule 2F'!B53:D53=0,"",'As-Filed Schedule 2F'!B53:D53)</f>
        <v/>
      </c>
      <c r="C53" s="531"/>
      <c r="D53" s="531"/>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31" t="str">
        <f>IF('As-Filed Schedule 2F'!B54:D54=0,"",'As-Filed Schedule 2F'!B54:D54)</f>
        <v/>
      </c>
      <c r="C54" s="531"/>
      <c r="D54" s="531"/>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31" t="str">
        <f>IF('As-Filed Schedule 2F'!B55:D55=0,"",'As-Filed Schedule 2F'!B55:D55)</f>
        <v/>
      </c>
      <c r="C55" s="531"/>
      <c r="D55" s="531"/>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31" t="str">
        <f>IF('As-Filed Schedule 2F'!B56:D56=0,"",'As-Filed Schedule 2F'!B56:D56)</f>
        <v/>
      </c>
      <c r="C56" s="531"/>
      <c r="D56" s="531"/>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31" t="str">
        <f>IF('As-Filed Schedule 2F'!B57:D57=0,"",'As-Filed Schedule 2F'!B57:D57)</f>
        <v/>
      </c>
      <c r="C57" s="531"/>
      <c r="D57" s="531"/>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31" t="str">
        <f>IF('As-Filed Schedule 2F'!B58:D58=0,"",'As-Filed Schedule 2F'!B58:D58)</f>
        <v/>
      </c>
      <c r="C58" s="531"/>
      <c r="D58" s="531"/>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31" t="str">
        <f>IF('As-Filed Schedule 2F'!B59:D59=0,"",'As-Filed Schedule 2F'!B59:D59)</f>
        <v/>
      </c>
      <c r="C59" s="531"/>
      <c r="D59" s="531"/>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31" t="str">
        <f>IF('As-Filed Schedule 2F'!B60:D60=0,"",'As-Filed Schedule 2F'!B60:D60)</f>
        <v/>
      </c>
      <c r="C60" s="531"/>
      <c r="D60" s="531"/>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31" t="str">
        <f>IF('As-Filed Schedule 2F'!B61:D61=0,"",'As-Filed Schedule 2F'!B61:D61)</f>
        <v/>
      </c>
      <c r="C61" s="531"/>
      <c r="D61" s="531"/>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31" t="str">
        <f>IF('As-Filed Schedule 2F'!B62:D62=0,"",'As-Filed Schedule 2F'!B62:D62)</f>
        <v/>
      </c>
      <c r="C62" s="531"/>
      <c r="D62" s="531"/>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31" t="str">
        <f>IF('As-Filed Schedule 2F'!B63:D63=0,"",'As-Filed Schedule 2F'!B63:D63)</f>
        <v/>
      </c>
      <c r="C63" s="531"/>
      <c r="D63" s="531"/>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31" t="str">
        <f>IF('As-Filed Schedule 2F'!B64:D64=0,"",'As-Filed Schedule 2F'!B64:D64)</f>
        <v/>
      </c>
      <c r="C64" s="531"/>
      <c r="D64" s="531"/>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31" t="str">
        <f>IF('As-Filed Schedule 2F'!B65:D65=0,"",'As-Filed Schedule 2F'!B65:D65)</f>
        <v/>
      </c>
      <c r="C65" s="531"/>
      <c r="D65" s="531"/>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31" t="str">
        <f>IF('As-Filed Schedule 2F'!B66:D66=0,"",'As-Filed Schedule 2F'!B66:D66)</f>
        <v/>
      </c>
      <c r="C66" s="531"/>
      <c r="D66" s="531"/>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31" t="str">
        <f>IF('As-Filed Schedule 2F'!B67:D67=0,"",'As-Filed Schedule 2F'!B67:D67)</f>
        <v/>
      </c>
      <c r="C67" s="531"/>
      <c r="D67" s="531"/>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31" t="str">
        <f>IF('As-Filed Schedule 2F'!B68:D68=0,"",'As-Filed Schedule 2F'!B68:D68)</f>
        <v/>
      </c>
      <c r="C68" s="531"/>
      <c r="D68" s="531"/>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31" t="str">
        <f>IF('As-Filed Schedule 2F'!B69:D69=0,"",'As-Filed Schedule 2F'!B69:D69)</f>
        <v/>
      </c>
      <c r="C69" s="531"/>
      <c r="D69" s="531"/>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31" t="str">
        <f>IF('As-Filed Schedule 2F'!B70:D70=0,"",'As-Filed Schedule 2F'!B70:D70)</f>
        <v/>
      </c>
      <c r="C70" s="531"/>
      <c r="D70" s="531"/>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31" t="str">
        <f>IF('As-Filed Schedule 2F'!B71:D71=0,"",'As-Filed Schedule 2F'!B71:D71)</f>
        <v/>
      </c>
      <c r="C71" s="531"/>
      <c r="D71" s="531"/>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31" t="str">
        <f>IF('As-Filed Schedule 2F'!B72:D72=0,"",'As-Filed Schedule 2F'!B72:D72)</f>
        <v/>
      </c>
      <c r="C72" s="531"/>
      <c r="D72" s="531"/>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customProperties>
    <customPr name="OrphanNamesChecke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840</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815</v>
      </c>
      <c r="C8" s="1"/>
      <c r="F8" s="119" t="str">
        <f>'As-Filed Schedule 2G'!F8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2G'!B15:D15=0,"",'As-Filed Schedule 2G'!B15:D15)</f>
        <v/>
      </c>
      <c r="C15" s="531"/>
      <c r="D15" s="531"/>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31" t="str">
        <f>IF('As-Filed Schedule 2G'!B16:D16=0,"",'As-Filed Schedule 2G'!B16:D16)</f>
        <v/>
      </c>
      <c r="C16" s="531"/>
      <c r="D16" s="531"/>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31" t="str">
        <f>IF('As-Filed Schedule 2G'!B17:D17=0,"",'As-Filed Schedule 2G'!B17:D17)</f>
        <v/>
      </c>
      <c r="C17" s="531"/>
      <c r="D17" s="531"/>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31" t="str">
        <f>IF('As-Filed Schedule 2G'!B18:D18=0,"",'As-Filed Schedule 2G'!B18:D18)</f>
        <v/>
      </c>
      <c r="C18" s="531"/>
      <c r="D18" s="531"/>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31" t="str">
        <f>IF('As-Filed Schedule 2G'!B19:D19=0,"",'As-Filed Schedule 2G'!B19:D19)</f>
        <v/>
      </c>
      <c r="C19" s="531"/>
      <c r="D19" s="531"/>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31" t="str">
        <f>IF('As-Filed Schedule 2G'!B20:D20=0,"",'As-Filed Schedule 2G'!B20:D20)</f>
        <v/>
      </c>
      <c r="C20" s="531"/>
      <c r="D20" s="531"/>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31" t="str">
        <f>IF('As-Filed Schedule 2G'!B21:D21=0,"",'As-Filed Schedule 2G'!B21:D21)</f>
        <v/>
      </c>
      <c r="C21" s="531"/>
      <c r="D21" s="531"/>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31" t="str">
        <f>IF('As-Filed Schedule 2G'!B22:D22=0,"",'As-Filed Schedule 2G'!B22:D22)</f>
        <v/>
      </c>
      <c r="C22" s="531"/>
      <c r="D22" s="531"/>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31" t="str">
        <f>IF('As-Filed Schedule 2G'!B23:D23=0,"",'As-Filed Schedule 2G'!B23:D23)</f>
        <v/>
      </c>
      <c r="C23" s="531"/>
      <c r="D23" s="531"/>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31" t="str">
        <f>IF('As-Filed Schedule 2G'!B24:D24=0,"",'As-Filed Schedule 2G'!B24:D24)</f>
        <v/>
      </c>
      <c r="C24" s="531"/>
      <c r="D24" s="531"/>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31" t="str">
        <f>IF('As-Filed Schedule 2G'!B25:D25=0,"",'As-Filed Schedule 2G'!B25:D25)</f>
        <v/>
      </c>
      <c r="C25" s="531"/>
      <c r="D25" s="531"/>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31" t="str">
        <f>IF('As-Filed Schedule 2G'!B26:D26=0,"",'As-Filed Schedule 2G'!B26:D26)</f>
        <v/>
      </c>
      <c r="C26" s="531"/>
      <c r="D26" s="531"/>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31" t="str">
        <f>IF('As-Filed Schedule 2G'!B27:D27=0,"",'As-Filed Schedule 2G'!B27:D27)</f>
        <v/>
      </c>
      <c r="C27" s="531"/>
      <c r="D27" s="531"/>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31" t="str">
        <f>IF('As-Filed Schedule 2G'!B28:D28=0,"",'As-Filed Schedule 2G'!B28:D28)</f>
        <v/>
      </c>
      <c r="C28" s="531"/>
      <c r="D28" s="531"/>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31" t="str">
        <f>IF('As-Filed Schedule 2G'!B29:D29=0,"",'As-Filed Schedule 2G'!B29:D29)</f>
        <v/>
      </c>
      <c r="C29" s="531"/>
      <c r="D29" s="531"/>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31" t="str">
        <f>IF('As-Filed Schedule 2G'!B30:D30=0,"",'As-Filed Schedule 2G'!B30:D30)</f>
        <v/>
      </c>
      <c r="C30" s="531"/>
      <c r="D30" s="531"/>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31" t="str">
        <f>IF('As-Filed Schedule 2G'!B31:D31=0,"",'As-Filed Schedule 2G'!B31:D31)</f>
        <v/>
      </c>
      <c r="C31" s="531"/>
      <c r="D31" s="531"/>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31" t="str">
        <f>IF('As-Filed Schedule 2G'!B32:D32=0,"",'As-Filed Schedule 2G'!B32:D32)</f>
        <v/>
      </c>
      <c r="C32" s="531"/>
      <c r="D32" s="531"/>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31" t="str">
        <f>IF('As-Filed Schedule 2G'!B33:D33=0,"",'As-Filed Schedule 2G'!B33:D33)</f>
        <v/>
      </c>
      <c r="C33" s="531"/>
      <c r="D33" s="531"/>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31" t="str">
        <f>IF('As-Filed Schedule 2G'!B34:D34=0,"",'As-Filed Schedule 2G'!B34:D34)</f>
        <v/>
      </c>
      <c r="C34" s="531"/>
      <c r="D34" s="531"/>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31" t="str">
        <f>IF('As-Filed Schedule 2G'!B35:D35=0,"",'As-Filed Schedule 2G'!B35:D35)</f>
        <v/>
      </c>
      <c r="C35" s="531"/>
      <c r="D35" s="531"/>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31" t="str">
        <f>IF('As-Filed Schedule 2G'!B36:D36=0,"",'As-Filed Schedule 2G'!B36:D36)</f>
        <v/>
      </c>
      <c r="C36" s="531"/>
      <c r="D36" s="531"/>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31" t="str">
        <f>IF('As-Filed Schedule 2G'!B37:D37=0,"",'As-Filed Schedule 2G'!B37:D37)</f>
        <v/>
      </c>
      <c r="C37" s="531"/>
      <c r="D37" s="531"/>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31" t="str">
        <f>IF('As-Filed Schedule 2G'!B38:D38=0,"",'As-Filed Schedule 2G'!B38:D38)</f>
        <v/>
      </c>
      <c r="C38" s="531"/>
      <c r="D38" s="531"/>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31" t="str">
        <f>IF('As-Filed Schedule 2G'!B39:D39=0,"",'As-Filed Schedule 2G'!B39:D39)</f>
        <v/>
      </c>
      <c r="C39" s="531"/>
      <c r="D39" s="531"/>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31" t="str">
        <f>IF('As-Filed Schedule 2G'!B40:D40=0,"",'As-Filed Schedule 2G'!B40:D40)</f>
        <v/>
      </c>
      <c r="C40" s="531"/>
      <c r="D40" s="531"/>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31" t="str">
        <f>IF('As-Filed Schedule 2G'!B41:D41=0,"",'As-Filed Schedule 2G'!B41:D41)</f>
        <v/>
      </c>
      <c r="C41" s="531"/>
      <c r="D41" s="531"/>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31" t="str">
        <f>IF('As-Filed Schedule 2G'!B42:D42=0,"",'As-Filed Schedule 2G'!B42:D42)</f>
        <v/>
      </c>
      <c r="C42" s="531"/>
      <c r="D42" s="531"/>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31" t="str">
        <f>IF('As-Filed Schedule 2G'!B43:D43=0,"",'As-Filed Schedule 2G'!B43:D43)</f>
        <v/>
      </c>
      <c r="C43" s="531"/>
      <c r="D43" s="531"/>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31" t="str">
        <f>IF('As-Filed Schedule 2G'!B44:D44=0,"",'As-Filed Schedule 2G'!B44:D44)</f>
        <v/>
      </c>
      <c r="C44" s="531"/>
      <c r="D44" s="531"/>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31" t="str">
        <f>IF('As-Filed Schedule 2G'!B45:D45=0,"",'As-Filed Schedule 2G'!B45:D45)</f>
        <v/>
      </c>
      <c r="C45" s="531"/>
      <c r="D45" s="531"/>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31" t="str">
        <f>IF('As-Filed Schedule 2G'!B46:D46=0,"",'As-Filed Schedule 2G'!B46:D46)</f>
        <v/>
      </c>
      <c r="C46" s="531"/>
      <c r="D46" s="531"/>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31" t="str">
        <f>IF('As-Filed Schedule 2G'!B47:D47=0,"",'As-Filed Schedule 2G'!B47:D47)</f>
        <v/>
      </c>
      <c r="C47" s="531"/>
      <c r="D47" s="531"/>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31" t="str">
        <f>IF('As-Filed Schedule 2G'!B48:D48=0,"",'As-Filed Schedule 2G'!B48:D48)</f>
        <v/>
      </c>
      <c r="C48" s="531"/>
      <c r="D48" s="531"/>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31" t="str">
        <f>IF('As-Filed Schedule 2G'!B49:D49=0,"",'As-Filed Schedule 2G'!B49:D49)</f>
        <v/>
      </c>
      <c r="C49" s="531"/>
      <c r="D49" s="531"/>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31" t="str">
        <f>IF('As-Filed Schedule 2G'!B50:D50=0,"",'As-Filed Schedule 2G'!B50:D50)</f>
        <v/>
      </c>
      <c r="C50" s="531"/>
      <c r="D50" s="531"/>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31" t="str">
        <f>IF('As-Filed Schedule 2G'!B51:D51=0,"",'As-Filed Schedule 2G'!B51:D51)</f>
        <v/>
      </c>
      <c r="C51" s="531"/>
      <c r="D51" s="531"/>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31" t="str">
        <f>IF('As-Filed Schedule 2G'!B52:D52=0,"",'As-Filed Schedule 2G'!B52:D52)</f>
        <v/>
      </c>
      <c r="C52" s="531"/>
      <c r="D52" s="531"/>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31" t="str">
        <f>IF('As-Filed Schedule 2G'!B53:D53=0,"",'As-Filed Schedule 2G'!B53:D53)</f>
        <v/>
      </c>
      <c r="C53" s="531"/>
      <c r="D53" s="531"/>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31" t="str">
        <f>IF('As-Filed Schedule 2G'!B54:D54=0,"",'As-Filed Schedule 2G'!B54:D54)</f>
        <v/>
      </c>
      <c r="C54" s="531"/>
      <c r="D54" s="531"/>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31" t="str">
        <f>IF('As-Filed Schedule 2G'!B55:D55=0,"",'As-Filed Schedule 2G'!B55:D55)</f>
        <v/>
      </c>
      <c r="C55" s="531"/>
      <c r="D55" s="531"/>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31" t="str">
        <f>IF('As-Filed Schedule 2G'!B56:D56=0,"",'As-Filed Schedule 2G'!B56:D56)</f>
        <v/>
      </c>
      <c r="C56" s="531"/>
      <c r="D56" s="531"/>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31" t="str">
        <f>IF('As-Filed Schedule 2G'!B57:D57=0,"",'As-Filed Schedule 2G'!B57:D57)</f>
        <v/>
      </c>
      <c r="C57" s="531"/>
      <c r="D57" s="531"/>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31" t="str">
        <f>IF('As-Filed Schedule 2G'!B58:D58=0,"",'As-Filed Schedule 2G'!B58:D58)</f>
        <v/>
      </c>
      <c r="C58" s="531"/>
      <c r="D58" s="531"/>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31" t="str">
        <f>IF('As-Filed Schedule 2G'!B59:D59=0,"",'As-Filed Schedule 2G'!B59:D59)</f>
        <v/>
      </c>
      <c r="C59" s="531"/>
      <c r="D59" s="531"/>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31" t="str">
        <f>IF('As-Filed Schedule 2G'!B60:D60=0,"",'As-Filed Schedule 2G'!B60:D60)</f>
        <v/>
      </c>
      <c r="C60" s="531"/>
      <c r="D60" s="531"/>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31" t="str">
        <f>IF('As-Filed Schedule 2G'!B61:D61=0,"",'As-Filed Schedule 2G'!B61:D61)</f>
        <v/>
      </c>
      <c r="C61" s="531"/>
      <c r="D61" s="531"/>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31" t="str">
        <f>IF('As-Filed Schedule 2G'!B62:D62=0,"",'As-Filed Schedule 2G'!B62:D62)</f>
        <v/>
      </c>
      <c r="C62" s="531"/>
      <c r="D62" s="531"/>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31" t="str">
        <f>IF('As-Filed Schedule 2G'!B63:D63=0,"",'As-Filed Schedule 2G'!B63:D63)</f>
        <v/>
      </c>
      <c r="C63" s="531"/>
      <c r="D63" s="531"/>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31" t="str">
        <f>IF('As-Filed Schedule 2G'!B64:D64=0,"",'As-Filed Schedule 2G'!B64:D64)</f>
        <v/>
      </c>
      <c r="C64" s="531"/>
      <c r="D64" s="531"/>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31" t="str">
        <f>IF('As-Filed Schedule 2G'!B65:D65=0,"",'As-Filed Schedule 2G'!B65:D65)</f>
        <v/>
      </c>
      <c r="C65" s="531"/>
      <c r="D65" s="531"/>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31" t="str">
        <f>IF('As-Filed Schedule 2G'!B66:D66=0,"",'As-Filed Schedule 2G'!B66:D66)</f>
        <v/>
      </c>
      <c r="C66" s="531"/>
      <c r="D66" s="531"/>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31" t="str">
        <f>IF('As-Filed Schedule 2G'!B67:D67=0,"",'As-Filed Schedule 2G'!B67:D67)</f>
        <v/>
      </c>
      <c r="C67" s="531"/>
      <c r="D67" s="531"/>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31" t="str">
        <f>IF('As-Filed Schedule 2G'!B68:D68=0,"",'As-Filed Schedule 2G'!B68:D68)</f>
        <v/>
      </c>
      <c r="C68" s="531"/>
      <c r="D68" s="531"/>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31" t="str">
        <f>IF('As-Filed Schedule 2G'!B69:D69=0,"",'As-Filed Schedule 2G'!B69:D69)</f>
        <v/>
      </c>
      <c r="C69" s="531"/>
      <c r="D69" s="531"/>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31" t="str">
        <f>IF('As-Filed Schedule 2G'!B70:D70=0,"",'As-Filed Schedule 2G'!B70:D70)</f>
        <v/>
      </c>
      <c r="C70" s="531"/>
      <c r="D70" s="531"/>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31" t="str">
        <f>IF('As-Filed Schedule 2G'!B71:D71=0,"",'As-Filed Schedule 2G'!B71:D71)</f>
        <v/>
      </c>
      <c r="C71" s="531"/>
      <c r="D71" s="531"/>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31" t="str">
        <f>IF('As-Filed Schedule 2G'!B72:D72=0,"",'As-Filed Schedule 2G'!B72:D72)</f>
        <v/>
      </c>
      <c r="C72" s="531"/>
      <c r="D72" s="531"/>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customProperties>
    <customPr name="OrphanNamesChecke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841</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818</v>
      </c>
      <c r="C8" s="1"/>
      <c r="F8" s="119" t="str">
        <f>'As-Filed Schedule 2H'!F8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2H'!B15:D15=0,"",'As-Filed Schedule 2H'!B15:D15)</f>
        <v/>
      </c>
      <c r="C15" s="531"/>
      <c r="D15" s="531"/>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31" t="str">
        <f>IF('As-Filed Schedule 2H'!B16:D16=0,"",'As-Filed Schedule 2H'!B16:D16)</f>
        <v/>
      </c>
      <c r="C16" s="531"/>
      <c r="D16" s="531"/>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31" t="str">
        <f>IF('As-Filed Schedule 2H'!B17:D17=0,"",'As-Filed Schedule 2H'!B17:D17)</f>
        <v/>
      </c>
      <c r="C17" s="531"/>
      <c r="D17" s="531"/>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31" t="str">
        <f>IF('As-Filed Schedule 2H'!B18:D18=0,"",'As-Filed Schedule 2H'!B18:D18)</f>
        <v/>
      </c>
      <c r="C18" s="531"/>
      <c r="D18" s="531"/>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31" t="str">
        <f>IF('As-Filed Schedule 2H'!B19:D19=0,"",'As-Filed Schedule 2H'!B19:D19)</f>
        <v/>
      </c>
      <c r="C19" s="531"/>
      <c r="D19" s="531"/>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31" t="str">
        <f>IF('As-Filed Schedule 2H'!B20:D20=0,"",'As-Filed Schedule 2H'!B20:D20)</f>
        <v/>
      </c>
      <c r="C20" s="531"/>
      <c r="D20" s="531"/>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31" t="str">
        <f>IF('As-Filed Schedule 2H'!B21:D21=0,"",'As-Filed Schedule 2H'!B21:D21)</f>
        <v/>
      </c>
      <c r="C21" s="531"/>
      <c r="D21" s="531"/>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31" t="str">
        <f>IF('As-Filed Schedule 2H'!B22:D22=0,"",'As-Filed Schedule 2H'!B22:D22)</f>
        <v/>
      </c>
      <c r="C22" s="531"/>
      <c r="D22" s="531"/>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31" t="str">
        <f>IF('As-Filed Schedule 2H'!B23:D23=0,"",'As-Filed Schedule 2H'!B23:D23)</f>
        <v/>
      </c>
      <c r="C23" s="531"/>
      <c r="D23" s="531"/>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31" t="str">
        <f>IF('As-Filed Schedule 2H'!B24:D24=0,"",'As-Filed Schedule 2H'!B24:D24)</f>
        <v/>
      </c>
      <c r="C24" s="531"/>
      <c r="D24" s="531"/>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31" t="str">
        <f>IF('As-Filed Schedule 2H'!B25:D25=0,"",'As-Filed Schedule 2H'!B25:D25)</f>
        <v/>
      </c>
      <c r="C25" s="531"/>
      <c r="D25" s="531"/>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31" t="str">
        <f>IF('As-Filed Schedule 2H'!B26:D26=0,"",'As-Filed Schedule 2H'!B26:D26)</f>
        <v/>
      </c>
      <c r="C26" s="531"/>
      <c r="D26" s="531"/>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31" t="str">
        <f>IF('As-Filed Schedule 2H'!B27:D27=0,"",'As-Filed Schedule 2H'!B27:D27)</f>
        <v/>
      </c>
      <c r="C27" s="531"/>
      <c r="D27" s="531"/>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31" t="str">
        <f>IF('As-Filed Schedule 2H'!B28:D28=0,"",'As-Filed Schedule 2H'!B28:D28)</f>
        <v/>
      </c>
      <c r="C28" s="531"/>
      <c r="D28" s="531"/>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31" t="str">
        <f>IF('As-Filed Schedule 2H'!B29:D29=0,"",'As-Filed Schedule 2H'!B29:D29)</f>
        <v/>
      </c>
      <c r="C29" s="531"/>
      <c r="D29" s="531"/>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31" t="str">
        <f>IF('As-Filed Schedule 2H'!B30:D30=0,"",'As-Filed Schedule 2H'!B30:D30)</f>
        <v/>
      </c>
      <c r="C30" s="531"/>
      <c r="D30" s="531"/>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31" t="str">
        <f>IF('As-Filed Schedule 2H'!B31:D31=0,"",'As-Filed Schedule 2H'!B31:D31)</f>
        <v/>
      </c>
      <c r="C31" s="531"/>
      <c r="D31" s="531"/>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31" t="str">
        <f>IF('As-Filed Schedule 2H'!B32:D32=0,"",'As-Filed Schedule 2H'!B32:D32)</f>
        <v/>
      </c>
      <c r="C32" s="531"/>
      <c r="D32" s="531"/>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31" t="str">
        <f>IF('As-Filed Schedule 2H'!B33:D33=0,"",'As-Filed Schedule 2H'!B33:D33)</f>
        <v/>
      </c>
      <c r="C33" s="531"/>
      <c r="D33" s="531"/>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31" t="str">
        <f>IF('As-Filed Schedule 2H'!B34:D34=0,"",'As-Filed Schedule 2H'!B34:D34)</f>
        <v/>
      </c>
      <c r="C34" s="531"/>
      <c r="D34" s="531"/>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31" t="str">
        <f>IF('As-Filed Schedule 2H'!B35:D35=0,"",'As-Filed Schedule 2H'!B35:D35)</f>
        <v/>
      </c>
      <c r="C35" s="531"/>
      <c r="D35" s="531"/>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31" t="str">
        <f>IF('As-Filed Schedule 2H'!B36:D36=0,"",'As-Filed Schedule 2H'!B36:D36)</f>
        <v/>
      </c>
      <c r="C36" s="531"/>
      <c r="D36" s="531"/>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31" t="str">
        <f>IF('As-Filed Schedule 2H'!B37:D37=0,"",'As-Filed Schedule 2H'!B37:D37)</f>
        <v/>
      </c>
      <c r="C37" s="531"/>
      <c r="D37" s="531"/>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31" t="str">
        <f>IF('As-Filed Schedule 2H'!B38:D38=0,"",'As-Filed Schedule 2H'!B38:D38)</f>
        <v/>
      </c>
      <c r="C38" s="531"/>
      <c r="D38" s="531"/>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31" t="str">
        <f>IF('As-Filed Schedule 2H'!B39:D39=0,"",'As-Filed Schedule 2H'!B39:D39)</f>
        <v/>
      </c>
      <c r="C39" s="531"/>
      <c r="D39" s="531"/>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31" t="str">
        <f>IF('As-Filed Schedule 2H'!B40:D40=0,"",'As-Filed Schedule 2H'!B40:D40)</f>
        <v/>
      </c>
      <c r="C40" s="531"/>
      <c r="D40" s="531"/>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31" t="str">
        <f>IF('As-Filed Schedule 2H'!B41:D41=0,"",'As-Filed Schedule 2H'!B41:D41)</f>
        <v/>
      </c>
      <c r="C41" s="531"/>
      <c r="D41" s="531"/>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31" t="str">
        <f>IF('As-Filed Schedule 2H'!B42:D42=0,"",'As-Filed Schedule 2H'!B42:D42)</f>
        <v/>
      </c>
      <c r="C42" s="531"/>
      <c r="D42" s="531"/>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31" t="str">
        <f>IF('As-Filed Schedule 2H'!B43:D43=0,"",'As-Filed Schedule 2H'!B43:D43)</f>
        <v/>
      </c>
      <c r="C43" s="531"/>
      <c r="D43" s="531"/>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31" t="str">
        <f>IF('As-Filed Schedule 2H'!B44:D44=0,"",'As-Filed Schedule 2H'!B44:D44)</f>
        <v/>
      </c>
      <c r="C44" s="531"/>
      <c r="D44" s="531"/>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31" t="str">
        <f>IF('As-Filed Schedule 2H'!B45:D45=0,"",'As-Filed Schedule 2H'!B45:D45)</f>
        <v/>
      </c>
      <c r="C45" s="531"/>
      <c r="D45" s="531"/>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31" t="str">
        <f>IF('As-Filed Schedule 2H'!B46:D46=0,"",'As-Filed Schedule 2H'!B46:D46)</f>
        <v/>
      </c>
      <c r="C46" s="531"/>
      <c r="D46" s="531"/>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31" t="str">
        <f>IF('As-Filed Schedule 2H'!B47:D47=0,"",'As-Filed Schedule 2H'!B47:D47)</f>
        <v/>
      </c>
      <c r="C47" s="531"/>
      <c r="D47" s="531"/>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31" t="str">
        <f>IF('As-Filed Schedule 2H'!B48:D48=0,"",'As-Filed Schedule 2H'!B48:D48)</f>
        <v/>
      </c>
      <c r="C48" s="531"/>
      <c r="D48" s="531"/>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31" t="str">
        <f>IF('As-Filed Schedule 2H'!B49:D49=0,"",'As-Filed Schedule 2H'!B49:D49)</f>
        <v/>
      </c>
      <c r="C49" s="531"/>
      <c r="D49" s="531"/>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31" t="str">
        <f>IF('As-Filed Schedule 2H'!B50:D50=0,"",'As-Filed Schedule 2H'!B50:D50)</f>
        <v/>
      </c>
      <c r="C50" s="531"/>
      <c r="D50" s="531"/>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31" t="str">
        <f>IF('As-Filed Schedule 2H'!B51:D51=0,"",'As-Filed Schedule 2H'!B51:D51)</f>
        <v/>
      </c>
      <c r="C51" s="531"/>
      <c r="D51" s="531"/>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31" t="str">
        <f>IF('As-Filed Schedule 2H'!B52:D52=0,"",'As-Filed Schedule 2H'!B52:D52)</f>
        <v/>
      </c>
      <c r="C52" s="531"/>
      <c r="D52" s="531"/>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31" t="str">
        <f>IF('As-Filed Schedule 2H'!B53:D53=0,"",'As-Filed Schedule 2H'!B53:D53)</f>
        <v/>
      </c>
      <c r="C53" s="531"/>
      <c r="D53" s="531"/>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31" t="str">
        <f>IF('As-Filed Schedule 2H'!B54:D54=0,"",'As-Filed Schedule 2H'!B54:D54)</f>
        <v/>
      </c>
      <c r="C54" s="531"/>
      <c r="D54" s="531"/>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31" t="str">
        <f>IF('As-Filed Schedule 2H'!B55:D55=0,"",'As-Filed Schedule 2H'!B55:D55)</f>
        <v/>
      </c>
      <c r="C55" s="531"/>
      <c r="D55" s="531"/>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31" t="str">
        <f>IF('As-Filed Schedule 2H'!B56:D56=0,"",'As-Filed Schedule 2H'!B56:D56)</f>
        <v/>
      </c>
      <c r="C56" s="531"/>
      <c r="D56" s="531"/>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31" t="str">
        <f>IF('As-Filed Schedule 2H'!B57:D57=0,"",'As-Filed Schedule 2H'!B57:D57)</f>
        <v/>
      </c>
      <c r="C57" s="531"/>
      <c r="D57" s="531"/>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31" t="str">
        <f>IF('As-Filed Schedule 2H'!B58:D58=0,"",'As-Filed Schedule 2H'!B58:D58)</f>
        <v/>
      </c>
      <c r="C58" s="531"/>
      <c r="D58" s="531"/>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31" t="str">
        <f>IF('As-Filed Schedule 2H'!B59:D59=0,"",'As-Filed Schedule 2H'!B59:D59)</f>
        <v/>
      </c>
      <c r="C59" s="531"/>
      <c r="D59" s="531"/>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31" t="str">
        <f>IF('As-Filed Schedule 2H'!B60:D60=0,"",'As-Filed Schedule 2H'!B60:D60)</f>
        <v/>
      </c>
      <c r="C60" s="531"/>
      <c r="D60" s="531"/>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31" t="str">
        <f>IF('As-Filed Schedule 2H'!B61:D61=0,"",'As-Filed Schedule 2H'!B61:D61)</f>
        <v/>
      </c>
      <c r="C61" s="531"/>
      <c r="D61" s="531"/>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31" t="str">
        <f>IF('As-Filed Schedule 2H'!B62:D62=0,"",'As-Filed Schedule 2H'!B62:D62)</f>
        <v/>
      </c>
      <c r="C62" s="531"/>
      <c r="D62" s="531"/>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31" t="str">
        <f>IF('As-Filed Schedule 2H'!B63:D63=0,"",'As-Filed Schedule 2H'!B63:D63)</f>
        <v/>
      </c>
      <c r="C63" s="531"/>
      <c r="D63" s="531"/>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31" t="str">
        <f>IF('As-Filed Schedule 2H'!B64:D64=0,"",'As-Filed Schedule 2H'!B64:D64)</f>
        <v/>
      </c>
      <c r="C64" s="531"/>
      <c r="D64" s="531"/>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31" t="str">
        <f>IF('As-Filed Schedule 2H'!B65:D65=0,"",'As-Filed Schedule 2H'!B65:D65)</f>
        <v/>
      </c>
      <c r="C65" s="531"/>
      <c r="D65" s="531"/>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31" t="str">
        <f>IF('As-Filed Schedule 2H'!B66:D66=0,"",'As-Filed Schedule 2H'!B66:D66)</f>
        <v/>
      </c>
      <c r="C66" s="531"/>
      <c r="D66" s="531"/>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31" t="str">
        <f>IF('As-Filed Schedule 2H'!B67:D67=0,"",'As-Filed Schedule 2H'!B67:D67)</f>
        <v/>
      </c>
      <c r="C67" s="531"/>
      <c r="D67" s="531"/>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31" t="str">
        <f>IF('As-Filed Schedule 2H'!B68:D68=0,"",'As-Filed Schedule 2H'!B68:D68)</f>
        <v/>
      </c>
      <c r="C68" s="531"/>
      <c r="D68" s="531"/>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31" t="str">
        <f>IF('As-Filed Schedule 2H'!B69:D69=0,"",'As-Filed Schedule 2H'!B69:D69)</f>
        <v/>
      </c>
      <c r="C69" s="531"/>
      <c r="D69" s="531"/>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31" t="str">
        <f>IF('As-Filed Schedule 2H'!B70:D70=0,"",'As-Filed Schedule 2H'!B70:D70)</f>
        <v/>
      </c>
      <c r="C70" s="531"/>
      <c r="D70" s="531"/>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31" t="str">
        <f>IF('As-Filed Schedule 2H'!B71:D71=0,"",'As-Filed Schedule 2H'!B71:D71)</f>
        <v/>
      </c>
      <c r="C71" s="531"/>
      <c r="D71" s="531"/>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31" t="str">
        <f>IF('As-Filed Schedule 2H'!B72:D72=0,"",'As-Filed Schedule 2H'!B72:D72)</f>
        <v/>
      </c>
      <c r="C72" s="531"/>
      <c r="D72" s="531"/>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842</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821</v>
      </c>
      <c r="C8" s="1"/>
      <c r="F8" s="119" t="str">
        <f>'As-Filed Schedule 2I'!F8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2I'!B15:D15=0,"",'As-Filed Schedule 2I'!B15:D15)</f>
        <v/>
      </c>
      <c r="C15" s="531"/>
      <c r="D15" s="531"/>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31" t="str">
        <f>IF('As-Filed Schedule 2I'!B16:D16=0,"",'As-Filed Schedule 2I'!B16:D16)</f>
        <v/>
      </c>
      <c r="C16" s="531"/>
      <c r="D16" s="531"/>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31" t="str">
        <f>IF('As-Filed Schedule 2I'!B17:D17=0,"",'As-Filed Schedule 2I'!B17:D17)</f>
        <v/>
      </c>
      <c r="C17" s="531"/>
      <c r="D17" s="531"/>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31" t="str">
        <f>IF('As-Filed Schedule 2I'!B18:D18=0,"",'As-Filed Schedule 2I'!B18:D18)</f>
        <v/>
      </c>
      <c r="C18" s="531"/>
      <c r="D18" s="531"/>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31" t="str">
        <f>IF('As-Filed Schedule 2I'!B19:D19=0,"",'As-Filed Schedule 2I'!B19:D19)</f>
        <v/>
      </c>
      <c r="C19" s="531"/>
      <c r="D19" s="531"/>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31" t="str">
        <f>IF('As-Filed Schedule 2I'!B20:D20=0,"",'As-Filed Schedule 2I'!B20:D20)</f>
        <v/>
      </c>
      <c r="C20" s="531"/>
      <c r="D20" s="531"/>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31" t="str">
        <f>IF('As-Filed Schedule 2I'!B21:D21=0,"",'As-Filed Schedule 2I'!B21:D21)</f>
        <v/>
      </c>
      <c r="C21" s="531"/>
      <c r="D21" s="531"/>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31" t="str">
        <f>IF('As-Filed Schedule 2I'!B22:D22=0,"",'As-Filed Schedule 2I'!B22:D22)</f>
        <v/>
      </c>
      <c r="C22" s="531"/>
      <c r="D22" s="531"/>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31" t="str">
        <f>IF('As-Filed Schedule 2I'!B23:D23=0,"",'As-Filed Schedule 2I'!B23:D23)</f>
        <v/>
      </c>
      <c r="C23" s="531"/>
      <c r="D23" s="531"/>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31" t="str">
        <f>IF('As-Filed Schedule 2I'!B24:D24=0,"",'As-Filed Schedule 2I'!B24:D24)</f>
        <v/>
      </c>
      <c r="C24" s="531"/>
      <c r="D24" s="531"/>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31" t="str">
        <f>IF('As-Filed Schedule 2I'!B25:D25=0,"",'As-Filed Schedule 2I'!B25:D25)</f>
        <v/>
      </c>
      <c r="C25" s="531"/>
      <c r="D25" s="531"/>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31" t="str">
        <f>IF('As-Filed Schedule 2I'!B26:D26=0,"",'As-Filed Schedule 2I'!B26:D26)</f>
        <v/>
      </c>
      <c r="C26" s="531"/>
      <c r="D26" s="531"/>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31" t="str">
        <f>IF('As-Filed Schedule 2I'!B27:D27=0,"",'As-Filed Schedule 2I'!B27:D27)</f>
        <v/>
      </c>
      <c r="C27" s="531"/>
      <c r="D27" s="531"/>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31" t="str">
        <f>IF('As-Filed Schedule 2I'!B28:D28=0,"",'As-Filed Schedule 2I'!B28:D28)</f>
        <v/>
      </c>
      <c r="C28" s="531"/>
      <c r="D28" s="531"/>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31" t="str">
        <f>IF('As-Filed Schedule 2I'!B29:D29=0,"",'As-Filed Schedule 2I'!B29:D29)</f>
        <v/>
      </c>
      <c r="C29" s="531"/>
      <c r="D29" s="531"/>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31" t="str">
        <f>IF('As-Filed Schedule 2I'!B30:D30=0,"",'As-Filed Schedule 2I'!B30:D30)</f>
        <v/>
      </c>
      <c r="C30" s="531"/>
      <c r="D30" s="531"/>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31" t="str">
        <f>IF('As-Filed Schedule 2I'!B31:D31=0,"",'As-Filed Schedule 2I'!B31:D31)</f>
        <v/>
      </c>
      <c r="C31" s="531"/>
      <c r="D31" s="531"/>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31" t="str">
        <f>IF('As-Filed Schedule 2I'!B32:D32=0,"",'As-Filed Schedule 2I'!B32:D32)</f>
        <v/>
      </c>
      <c r="C32" s="531"/>
      <c r="D32" s="531"/>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31" t="str">
        <f>IF('As-Filed Schedule 2I'!B33:D33=0,"",'As-Filed Schedule 2I'!B33:D33)</f>
        <v/>
      </c>
      <c r="C33" s="531"/>
      <c r="D33" s="531"/>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31" t="str">
        <f>IF('As-Filed Schedule 2I'!B34:D34=0,"",'As-Filed Schedule 2I'!B34:D34)</f>
        <v/>
      </c>
      <c r="C34" s="531"/>
      <c r="D34" s="531"/>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31" t="str">
        <f>IF('As-Filed Schedule 2I'!B35:D35=0,"",'As-Filed Schedule 2I'!B35:D35)</f>
        <v/>
      </c>
      <c r="C35" s="531"/>
      <c r="D35" s="531"/>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31" t="str">
        <f>IF('As-Filed Schedule 2I'!B36:D36=0,"",'As-Filed Schedule 2I'!B36:D36)</f>
        <v/>
      </c>
      <c r="C36" s="531"/>
      <c r="D36" s="531"/>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31" t="str">
        <f>IF('As-Filed Schedule 2I'!B37:D37=0,"",'As-Filed Schedule 2I'!B37:D37)</f>
        <v/>
      </c>
      <c r="C37" s="531"/>
      <c r="D37" s="531"/>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31" t="str">
        <f>IF('As-Filed Schedule 2I'!B38:D38=0,"",'As-Filed Schedule 2I'!B38:D38)</f>
        <v/>
      </c>
      <c r="C38" s="531"/>
      <c r="D38" s="531"/>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31" t="str">
        <f>IF('As-Filed Schedule 2I'!B39:D39=0,"",'As-Filed Schedule 2I'!B39:D39)</f>
        <v/>
      </c>
      <c r="C39" s="531"/>
      <c r="D39" s="531"/>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31" t="str">
        <f>IF('As-Filed Schedule 2I'!B40:D40=0,"",'As-Filed Schedule 2I'!B40:D40)</f>
        <v/>
      </c>
      <c r="C40" s="531"/>
      <c r="D40" s="531"/>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31" t="str">
        <f>IF('As-Filed Schedule 2I'!B41:D41=0,"",'As-Filed Schedule 2I'!B41:D41)</f>
        <v/>
      </c>
      <c r="C41" s="531"/>
      <c r="D41" s="531"/>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31" t="str">
        <f>IF('As-Filed Schedule 2I'!B42:D42=0,"",'As-Filed Schedule 2I'!B42:D42)</f>
        <v/>
      </c>
      <c r="C42" s="531"/>
      <c r="D42" s="531"/>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31" t="str">
        <f>IF('As-Filed Schedule 2I'!B43:D43=0,"",'As-Filed Schedule 2I'!B43:D43)</f>
        <v/>
      </c>
      <c r="C43" s="531"/>
      <c r="D43" s="531"/>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31" t="str">
        <f>IF('As-Filed Schedule 2I'!B44:D44=0,"",'As-Filed Schedule 2I'!B44:D44)</f>
        <v/>
      </c>
      <c r="C44" s="531"/>
      <c r="D44" s="531"/>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31" t="str">
        <f>IF('As-Filed Schedule 2I'!B45:D45=0,"",'As-Filed Schedule 2I'!B45:D45)</f>
        <v/>
      </c>
      <c r="C45" s="531"/>
      <c r="D45" s="531"/>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31" t="str">
        <f>IF('As-Filed Schedule 2I'!B46:D46=0,"",'As-Filed Schedule 2I'!B46:D46)</f>
        <v/>
      </c>
      <c r="C46" s="531"/>
      <c r="D46" s="531"/>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31" t="str">
        <f>IF('As-Filed Schedule 2I'!B47:D47=0,"",'As-Filed Schedule 2I'!B47:D47)</f>
        <v/>
      </c>
      <c r="C47" s="531"/>
      <c r="D47" s="531"/>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31" t="str">
        <f>IF('As-Filed Schedule 2I'!B48:D48=0,"",'As-Filed Schedule 2I'!B48:D48)</f>
        <v/>
      </c>
      <c r="C48" s="531"/>
      <c r="D48" s="531"/>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31" t="str">
        <f>IF('As-Filed Schedule 2I'!B49:D49=0,"",'As-Filed Schedule 2I'!B49:D49)</f>
        <v/>
      </c>
      <c r="C49" s="531"/>
      <c r="D49" s="531"/>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31" t="str">
        <f>IF('As-Filed Schedule 2I'!B50:D50=0,"",'As-Filed Schedule 2I'!B50:D50)</f>
        <v/>
      </c>
      <c r="C50" s="531"/>
      <c r="D50" s="531"/>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31" t="str">
        <f>IF('As-Filed Schedule 2I'!B51:D51=0,"",'As-Filed Schedule 2I'!B51:D51)</f>
        <v/>
      </c>
      <c r="C51" s="531"/>
      <c r="D51" s="531"/>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31" t="str">
        <f>IF('As-Filed Schedule 2I'!B52:D52=0,"",'As-Filed Schedule 2I'!B52:D52)</f>
        <v/>
      </c>
      <c r="C52" s="531"/>
      <c r="D52" s="531"/>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31" t="str">
        <f>IF('As-Filed Schedule 2I'!B53:D53=0,"",'As-Filed Schedule 2I'!B53:D53)</f>
        <v/>
      </c>
      <c r="C53" s="531"/>
      <c r="D53" s="531"/>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31" t="str">
        <f>IF('As-Filed Schedule 2I'!B54:D54=0,"",'As-Filed Schedule 2I'!B54:D54)</f>
        <v/>
      </c>
      <c r="C54" s="531"/>
      <c r="D54" s="531"/>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31" t="str">
        <f>IF('As-Filed Schedule 2I'!B55:D55=0,"",'As-Filed Schedule 2I'!B55:D55)</f>
        <v/>
      </c>
      <c r="C55" s="531"/>
      <c r="D55" s="531"/>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31" t="str">
        <f>IF('As-Filed Schedule 2I'!B56:D56=0,"",'As-Filed Schedule 2I'!B56:D56)</f>
        <v/>
      </c>
      <c r="C56" s="531"/>
      <c r="D56" s="531"/>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31" t="str">
        <f>IF('As-Filed Schedule 2I'!B57:D57=0,"",'As-Filed Schedule 2I'!B57:D57)</f>
        <v/>
      </c>
      <c r="C57" s="531"/>
      <c r="D57" s="531"/>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31" t="str">
        <f>IF('As-Filed Schedule 2I'!B58:D58=0,"",'As-Filed Schedule 2I'!B58:D58)</f>
        <v/>
      </c>
      <c r="C58" s="531"/>
      <c r="D58" s="531"/>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31" t="str">
        <f>IF('As-Filed Schedule 2I'!B59:D59=0,"",'As-Filed Schedule 2I'!B59:D59)</f>
        <v/>
      </c>
      <c r="C59" s="531"/>
      <c r="D59" s="531"/>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31" t="str">
        <f>IF('As-Filed Schedule 2I'!B60:D60=0,"",'As-Filed Schedule 2I'!B60:D60)</f>
        <v/>
      </c>
      <c r="C60" s="531"/>
      <c r="D60" s="531"/>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31" t="str">
        <f>IF('As-Filed Schedule 2I'!B61:D61=0,"",'As-Filed Schedule 2I'!B61:D61)</f>
        <v/>
      </c>
      <c r="C61" s="531"/>
      <c r="D61" s="531"/>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31" t="str">
        <f>IF('As-Filed Schedule 2I'!B62:D62=0,"",'As-Filed Schedule 2I'!B62:D62)</f>
        <v/>
      </c>
      <c r="C62" s="531"/>
      <c r="D62" s="531"/>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31" t="str">
        <f>IF('As-Filed Schedule 2I'!B63:D63=0,"",'As-Filed Schedule 2I'!B63:D63)</f>
        <v/>
      </c>
      <c r="C63" s="531"/>
      <c r="D63" s="531"/>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31" t="str">
        <f>IF('As-Filed Schedule 2I'!B64:D64=0,"",'As-Filed Schedule 2I'!B64:D64)</f>
        <v/>
      </c>
      <c r="C64" s="531"/>
      <c r="D64" s="531"/>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31" t="str">
        <f>IF('As-Filed Schedule 2I'!B65:D65=0,"",'As-Filed Schedule 2I'!B65:D65)</f>
        <v/>
      </c>
      <c r="C65" s="531"/>
      <c r="D65" s="531"/>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31" t="str">
        <f>IF('As-Filed Schedule 2I'!B66:D66=0,"",'As-Filed Schedule 2I'!B66:D66)</f>
        <v/>
      </c>
      <c r="C66" s="531"/>
      <c r="D66" s="531"/>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31" t="str">
        <f>IF('As-Filed Schedule 2I'!B67:D67=0,"",'As-Filed Schedule 2I'!B67:D67)</f>
        <v/>
      </c>
      <c r="C67" s="531"/>
      <c r="D67" s="531"/>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31" t="str">
        <f>IF('As-Filed Schedule 2I'!B68:D68=0,"",'As-Filed Schedule 2I'!B68:D68)</f>
        <v/>
      </c>
      <c r="C68" s="531"/>
      <c r="D68" s="531"/>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31" t="str">
        <f>IF('As-Filed Schedule 2I'!B69:D69=0,"",'As-Filed Schedule 2I'!B69:D69)</f>
        <v/>
      </c>
      <c r="C69" s="531"/>
      <c r="D69" s="531"/>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31" t="str">
        <f>IF('As-Filed Schedule 2I'!B70:D70=0,"",'As-Filed Schedule 2I'!B70:D70)</f>
        <v/>
      </c>
      <c r="C70" s="531"/>
      <c r="D70" s="531"/>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31" t="str">
        <f>IF('As-Filed Schedule 2I'!B71:D71=0,"",'As-Filed Schedule 2I'!B71:D71)</f>
        <v/>
      </c>
      <c r="C71" s="531"/>
      <c r="D71" s="531"/>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31" t="str">
        <f>IF('As-Filed Schedule 2I'!B72:D72=0,"",'As-Filed Schedule 2I'!B72:D72)</f>
        <v/>
      </c>
      <c r="C72" s="531"/>
      <c r="D72" s="531"/>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843</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824</v>
      </c>
      <c r="C8" s="1"/>
      <c r="F8" s="119" t="str">
        <f>'As-Filed Schedule 2J'!F8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2J'!B15:D15=0,"",'As-Filed Schedule 2J'!B15:D15)</f>
        <v/>
      </c>
      <c r="C15" s="531"/>
      <c r="D15" s="531"/>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31" t="str">
        <f>IF('As-Filed Schedule 2J'!B16:D16=0,"",'As-Filed Schedule 2J'!B16:D16)</f>
        <v/>
      </c>
      <c r="C16" s="531"/>
      <c r="D16" s="531"/>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31" t="str">
        <f>IF('As-Filed Schedule 2J'!B17:D17=0,"",'As-Filed Schedule 2J'!B17:D17)</f>
        <v/>
      </c>
      <c r="C17" s="531"/>
      <c r="D17" s="531"/>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31" t="str">
        <f>IF('As-Filed Schedule 2J'!B18:D18=0,"",'As-Filed Schedule 2J'!B18:D18)</f>
        <v/>
      </c>
      <c r="C18" s="531"/>
      <c r="D18" s="531"/>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31" t="str">
        <f>IF('As-Filed Schedule 2J'!B19:D19=0,"",'As-Filed Schedule 2J'!B19:D19)</f>
        <v/>
      </c>
      <c r="C19" s="531"/>
      <c r="D19" s="531"/>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31" t="str">
        <f>IF('As-Filed Schedule 2J'!B20:D20=0,"",'As-Filed Schedule 2J'!B20:D20)</f>
        <v/>
      </c>
      <c r="C20" s="531"/>
      <c r="D20" s="531"/>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31" t="str">
        <f>IF('As-Filed Schedule 2J'!B21:D21=0,"",'As-Filed Schedule 2J'!B21:D21)</f>
        <v/>
      </c>
      <c r="C21" s="531"/>
      <c r="D21" s="531"/>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31" t="str">
        <f>IF('As-Filed Schedule 2J'!B22:D22=0,"",'As-Filed Schedule 2J'!B22:D22)</f>
        <v/>
      </c>
      <c r="C22" s="531"/>
      <c r="D22" s="531"/>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31" t="str">
        <f>IF('As-Filed Schedule 2J'!B23:D23=0,"",'As-Filed Schedule 2J'!B23:D23)</f>
        <v/>
      </c>
      <c r="C23" s="531"/>
      <c r="D23" s="531"/>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31" t="str">
        <f>IF('As-Filed Schedule 2J'!B24:D24=0,"",'As-Filed Schedule 2J'!B24:D24)</f>
        <v/>
      </c>
      <c r="C24" s="531"/>
      <c r="D24" s="531"/>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31" t="str">
        <f>IF('As-Filed Schedule 2J'!B25:D25=0,"",'As-Filed Schedule 2J'!B25:D25)</f>
        <v/>
      </c>
      <c r="C25" s="531"/>
      <c r="D25" s="531"/>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31" t="str">
        <f>IF('As-Filed Schedule 2J'!B26:D26=0,"",'As-Filed Schedule 2J'!B26:D26)</f>
        <v/>
      </c>
      <c r="C26" s="531"/>
      <c r="D26" s="531"/>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31" t="str">
        <f>IF('As-Filed Schedule 2J'!B27:D27=0,"",'As-Filed Schedule 2J'!B27:D27)</f>
        <v/>
      </c>
      <c r="C27" s="531"/>
      <c r="D27" s="531"/>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31" t="str">
        <f>IF('As-Filed Schedule 2J'!B28:D28=0,"",'As-Filed Schedule 2J'!B28:D28)</f>
        <v/>
      </c>
      <c r="C28" s="531"/>
      <c r="D28" s="531"/>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31" t="str">
        <f>IF('As-Filed Schedule 2J'!B29:D29=0,"",'As-Filed Schedule 2J'!B29:D29)</f>
        <v/>
      </c>
      <c r="C29" s="531"/>
      <c r="D29" s="531"/>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31" t="str">
        <f>IF('As-Filed Schedule 2J'!B30:D30=0,"",'As-Filed Schedule 2J'!B30:D30)</f>
        <v/>
      </c>
      <c r="C30" s="531"/>
      <c r="D30" s="531"/>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31" t="str">
        <f>IF('As-Filed Schedule 2J'!B31:D31=0,"",'As-Filed Schedule 2J'!B31:D31)</f>
        <v/>
      </c>
      <c r="C31" s="531"/>
      <c r="D31" s="531"/>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31" t="str">
        <f>IF('As-Filed Schedule 2J'!B32:D32=0,"",'As-Filed Schedule 2J'!B32:D32)</f>
        <v/>
      </c>
      <c r="C32" s="531"/>
      <c r="D32" s="531"/>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31" t="str">
        <f>IF('As-Filed Schedule 2J'!B33:D33=0,"",'As-Filed Schedule 2J'!B33:D33)</f>
        <v/>
      </c>
      <c r="C33" s="531"/>
      <c r="D33" s="531"/>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31" t="str">
        <f>IF('As-Filed Schedule 2J'!B34:D34=0,"",'As-Filed Schedule 2J'!B34:D34)</f>
        <v/>
      </c>
      <c r="C34" s="531"/>
      <c r="D34" s="531"/>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31" t="str">
        <f>IF('As-Filed Schedule 2J'!B35:D35=0,"",'As-Filed Schedule 2J'!B35:D35)</f>
        <v/>
      </c>
      <c r="C35" s="531"/>
      <c r="D35" s="531"/>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31" t="str">
        <f>IF('As-Filed Schedule 2J'!B36:D36=0,"",'As-Filed Schedule 2J'!B36:D36)</f>
        <v/>
      </c>
      <c r="C36" s="531"/>
      <c r="D36" s="531"/>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31" t="str">
        <f>IF('As-Filed Schedule 2J'!B37:D37=0,"",'As-Filed Schedule 2J'!B37:D37)</f>
        <v/>
      </c>
      <c r="C37" s="531"/>
      <c r="D37" s="531"/>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31" t="str">
        <f>IF('As-Filed Schedule 2J'!B38:D38=0,"",'As-Filed Schedule 2J'!B38:D38)</f>
        <v/>
      </c>
      <c r="C38" s="531"/>
      <c r="D38" s="531"/>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31" t="str">
        <f>IF('As-Filed Schedule 2J'!B39:D39=0,"",'As-Filed Schedule 2J'!B39:D39)</f>
        <v/>
      </c>
      <c r="C39" s="531"/>
      <c r="D39" s="531"/>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31" t="str">
        <f>IF('As-Filed Schedule 2J'!B40:D40=0,"",'As-Filed Schedule 2J'!B40:D40)</f>
        <v/>
      </c>
      <c r="C40" s="531"/>
      <c r="D40" s="531"/>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31" t="str">
        <f>IF('As-Filed Schedule 2J'!B41:D41=0,"",'As-Filed Schedule 2J'!B41:D41)</f>
        <v/>
      </c>
      <c r="C41" s="531"/>
      <c r="D41" s="531"/>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31" t="str">
        <f>IF('As-Filed Schedule 2J'!B42:D42=0,"",'As-Filed Schedule 2J'!B42:D42)</f>
        <v/>
      </c>
      <c r="C42" s="531"/>
      <c r="D42" s="531"/>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31" t="str">
        <f>IF('As-Filed Schedule 2J'!B43:D43=0,"",'As-Filed Schedule 2J'!B43:D43)</f>
        <v/>
      </c>
      <c r="C43" s="531"/>
      <c r="D43" s="531"/>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31" t="str">
        <f>IF('As-Filed Schedule 2J'!B44:D44=0,"",'As-Filed Schedule 2J'!B44:D44)</f>
        <v/>
      </c>
      <c r="C44" s="531"/>
      <c r="D44" s="531"/>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31" t="str">
        <f>IF('As-Filed Schedule 2J'!B45:D45=0,"",'As-Filed Schedule 2J'!B45:D45)</f>
        <v/>
      </c>
      <c r="C45" s="531"/>
      <c r="D45" s="531"/>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31" t="str">
        <f>IF('As-Filed Schedule 2J'!B46:D46=0,"",'As-Filed Schedule 2J'!B46:D46)</f>
        <v/>
      </c>
      <c r="C46" s="531"/>
      <c r="D46" s="531"/>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31" t="str">
        <f>IF('As-Filed Schedule 2J'!B47:D47=0,"",'As-Filed Schedule 2J'!B47:D47)</f>
        <v/>
      </c>
      <c r="C47" s="531"/>
      <c r="D47" s="531"/>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31" t="str">
        <f>IF('As-Filed Schedule 2J'!B48:D48=0,"",'As-Filed Schedule 2J'!B48:D48)</f>
        <v/>
      </c>
      <c r="C48" s="531"/>
      <c r="D48" s="531"/>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31" t="str">
        <f>IF('As-Filed Schedule 2J'!B49:D49=0,"",'As-Filed Schedule 2J'!B49:D49)</f>
        <v/>
      </c>
      <c r="C49" s="531"/>
      <c r="D49" s="531"/>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31" t="str">
        <f>IF('As-Filed Schedule 2J'!B50:D50=0,"",'As-Filed Schedule 2J'!B50:D50)</f>
        <v/>
      </c>
      <c r="C50" s="531"/>
      <c r="D50" s="531"/>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31" t="str">
        <f>IF('As-Filed Schedule 2J'!B51:D51=0,"",'As-Filed Schedule 2J'!B51:D51)</f>
        <v/>
      </c>
      <c r="C51" s="531"/>
      <c r="D51" s="531"/>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31" t="str">
        <f>IF('As-Filed Schedule 2J'!B52:D52=0,"",'As-Filed Schedule 2J'!B52:D52)</f>
        <v/>
      </c>
      <c r="C52" s="531"/>
      <c r="D52" s="531"/>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31" t="str">
        <f>IF('As-Filed Schedule 2J'!B53:D53=0,"",'As-Filed Schedule 2J'!B53:D53)</f>
        <v/>
      </c>
      <c r="C53" s="531"/>
      <c r="D53" s="531"/>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31" t="str">
        <f>IF('As-Filed Schedule 2J'!B54:D54=0,"",'As-Filed Schedule 2J'!B54:D54)</f>
        <v/>
      </c>
      <c r="C54" s="531"/>
      <c r="D54" s="531"/>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31" t="str">
        <f>IF('As-Filed Schedule 2J'!B55:D55=0,"",'As-Filed Schedule 2J'!B55:D55)</f>
        <v/>
      </c>
      <c r="C55" s="531"/>
      <c r="D55" s="531"/>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31" t="str">
        <f>IF('As-Filed Schedule 2J'!B56:D56=0,"",'As-Filed Schedule 2J'!B56:D56)</f>
        <v/>
      </c>
      <c r="C56" s="531"/>
      <c r="D56" s="531"/>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31" t="str">
        <f>IF('As-Filed Schedule 2J'!B57:D57=0,"",'As-Filed Schedule 2J'!B57:D57)</f>
        <v/>
      </c>
      <c r="C57" s="531"/>
      <c r="D57" s="531"/>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31" t="str">
        <f>IF('As-Filed Schedule 2J'!B58:D58=0,"",'As-Filed Schedule 2J'!B58:D58)</f>
        <v/>
      </c>
      <c r="C58" s="531"/>
      <c r="D58" s="531"/>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31" t="str">
        <f>IF('As-Filed Schedule 2J'!B59:D59=0,"",'As-Filed Schedule 2J'!B59:D59)</f>
        <v/>
      </c>
      <c r="C59" s="531"/>
      <c r="D59" s="531"/>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31" t="str">
        <f>IF('As-Filed Schedule 2J'!B60:D60=0,"",'As-Filed Schedule 2J'!B60:D60)</f>
        <v/>
      </c>
      <c r="C60" s="531"/>
      <c r="D60" s="531"/>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31" t="str">
        <f>IF('As-Filed Schedule 2J'!B61:D61=0,"",'As-Filed Schedule 2J'!B61:D61)</f>
        <v/>
      </c>
      <c r="C61" s="531"/>
      <c r="D61" s="531"/>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31" t="str">
        <f>IF('As-Filed Schedule 2J'!B62:D62=0,"",'As-Filed Schedule 2J'!B62:D62)</f>
        <v/>
      </c>
      <c r="C62" s="531"/>
      <c r="D62" s="531"/>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31" t="str">
        <f>IF('As-Filed Schedule 2J'!B63:D63=0,"",'As-Filed Schedule 2J'!B63:D63)</f>
        <v/>
      </c>
      <c r="C63" s="531"/>
      <c r="D63" s="531"/>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31" t="str">
        <f>IF('As-Filed Schedule 2J'!B64:D64=0,"",'As-Filed Schedule 2J'!B64:D64)</f>
        <v/>
      </c>
      <c r="C64" s="531"/>
      <c r="D64" s="531"/>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31" t="str">
        <f>IF('As-Filed Schedule 2J'!B65:D65=0,"",'As-Filed Schedule 2J'!B65:D65)</f>
        <v/>
      </c>
      <c r="C65" s="531"/>
      <c r="D65" s="531"/>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31" t="str">
        <f>IF('As-Filed Schedule 2J'!B66:D66=0,"",'As-Filed Schedule 2J'!B66:D66)</f>
        <v/>
      </c>
      <c r="C66" s="531"/>
      <c r="D66" s="531"/>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31" t="str">
        <f>IF('As-Filed Schedule 2J'!B67:D67=0,"",'As-Filed Schedule 2J'!B67:D67)</f>
        <v/>
      </c>
      <c r="C67" s="531"/>
      <c r="D67" s="531"/>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31" t="str">
        <f>IF('As-Filed Schedule 2J'!B68:D68=0,"",'As-Filed Schedule 2J'!B68:D68)</f>
        <v/>
      </c>
      <c r="C68" s="531"/>
      <c r="D68" s="531"/>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31" t="str">
        <f>IF('As-Filed Schedule 2J'!B69:D69=0,"",'As-Filed Schedule 2J'!B69:D69)</f>
        <v/>
      </c>
      <c r="C69" s="531"/>
      <c r="D69" s="531"/>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31" t="str">
        <f>IF('As-Filed Schedule 2J'!B70:D70=0,"",'As-Filed Schedule 2J'!B70:D70)</f>
        <v/>
      </c>
      <c r="C70" s="531"/>
      <c r="D70" s="531"/>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31" t="str">
        <f>IF('As-Filed Schedule 2J'!B71:D71=0,"",'As-Filed Schedule 2J'!B71:D71)</f>
        <v/>
      </c>
      <c r="C71" s="531"/>
      <c r="D71" s="531"/>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31" t="str">
        <f>IF('As-Filed Schedule 2J'!B72:D72=0,"",'As-Filed Schedule 2J'!B72:D72)</f>
        <v/>
      </c>
      <c r="C72" s="531"/>
      <c r="D72" s="531"/>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844</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827</v>
      </c>
      <c r="C8" s="1"/>
      <c r="F8" s="119" t="str">
        <f>'As-Filed Schedule 2K'!F8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2K'!B15:D15=0,"",'As-Filed Schedule 2K'!B15:D15)</f>
        <v/>
      </c>
      <c r="C15" s="531"/>
      <c r="D15" s="531"/>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31" t="str">
        <f>IF('As-Filed Schedule 2K'!B16:D16=0,"",'As-Filed Schedule 2K'!B16:D16)</f>
        <v/>
      </c>
      <c r="C16" s="531"/>
      <c r="D16" s="531"/>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31" t="str">
        <f>IF('As-Filed Schedule 2K'!B17:D17=0,"",'As-Filed Schedule 2K'!B17:D17)</f>
        <v/>
      </c>
      <c r="C17" s="531"/>
      <c r="D17" s="531"/>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31" t="str">
        <f>IF('As-Filed Schedule 2K'!B18:D18=0,"",'As-Filed Schedule 2K'!B18:D18)</f>
        <v/>
      </c>
      <c r="C18" s="531"/>
      <c r="D18" s="531"/>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31" t="str">
        <f>IF('As-Filed Schedule 2K'!B19:D19=0,"",'As-Filed Schedule 2K'!B19:D19)</f>
        <v/>
      </c>
      <c r="C19" s="531"/>
      <c r="D19" s="531"/>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31" t="str">
        <f>IF('As-Filed Schedule 2K'!B20:D20=0,"",'As-Filed Schedule 2K'!B20:D20)</f>
        <v/>
      </c>
      <c r="C20" s="531"/>
      <c r="D20" s="531"/>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31" t="str">
        <f>IF('As-Filed Schedule 2K'!B21:D21=0,"",'As-Filed Schedule 2K'!B21:D21)</f>
        <v/>
      </c>
      <c r="C21" s="531"/>
      <c r="D21" s="531"/>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31" t="str">
        <f>IF('As-Filed Schedule 2K'!B22:D22=0,"",'As-Filed Schedule 2K'!B22:D22)</f>
        <v/>
      </c>
      <c r="C22" s="531"/>
      <c r="D22" s="531"/>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31" t="str">
        <f>IF('As-Filed Schedule 2K'!B23:D23=0,"",'As-Filed Schedule 2K'!B23:D23)</f>
        <v/>
      </c>
      <c r="C23" s="531"/>
      <c r="D23" s="531"/>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31" t="str">
        <f>IF('As-Filed Schedule 2K'!B24:D24=0,"",'As-Filed Schedule 2K'!B24:D24)</f>
        <v/>
      </c>
      <c r="C24" s="531"/>
      <c r="D24" s="531"/>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31" t="str">
        <f>IF('As-Filed Schedule 2K'!B25:D25=0,"",'As-Filed Schedule 2K'!B25:D25)</f>
        <v/>
      </c>
      <c r="C25" s="531"/>
      <c r="D25" s="531"/>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31" t="str">
        <f>IF('As-Filed Schedule 2K'!B26:D26=0,"",'As-Filed Schedule 2K'!B26:D26)</f>
        <v/>
      </c>
      <c r="C26" s="531"/>
      <c r="D26" s="531"/>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31" t="str">
        <f>IF('As-Filed Schedule 2K'!B27:D27=0,"",'As-Filed Schedule 2K'!B27:D27)</f>
        <v/>
      </c>
      <c r="C27" s="531"/>
      <c r="D27" s="531"/>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31" t="str">
        <f>IF('As-Filed Schedule 2K'!B28:D28=0,"",'As-Filed Schedule 2K'!B28:D28)</f>
        <v/>
      </c>
      <c r="C28" s="531"/>
      <c r="D28" s="531"/>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31" t="str">
        <f>IF('As-Filed Schedule 2K'!B29:D29=0,"",'As-Filed Schedule 2K'!B29:D29)</f>
        <v/>
      </c>
      <c r="C29" s="531"/>
      <c r="D29" s="531"/>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31" t="str">
        <f>IF('As-Filed Schedule 2K'!B30:D30=0,"",'As-Filed Schedule 2K'!B30:D30)</f>
        <v/>
      </c>
      <c r="C30" s="531"/>
      <c r="D30" s="531"/>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31" t="str">
        <f>IF('As-Filed Schedule 2K'!B31:D31=0,"",'As-Filed Schedule 2K'!B31:D31)</f>
        <v/>
      </c>
      <c r="C31" s="531"/>
      <c r="D31" s="531"/>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31" t="str">
        <f>IF('As-Filed Schedule 2K'!B32:D32=0,"",'As-Filed Schedule 2K'!B32:D32)</f>
        <v/>
      </c>
      <c r="C32" s="531"/>
      <c r="D32" s="531"/>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31" t="str">
        <f>IF('As-Filed Schedule 2K'!B33:D33=0,"",'As-Filed Schedule 2K'!B33:D33)</f>
        <v/>
      </c>
      <c r="C33" s="531"/>
      <c r="D33" s="531"/>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31" t="str">
        <f>IF('As-Filed Schedule 2K'!B34:D34=0,"",'As-Filed Schedule 2K'!B34:D34)</f>
        <v/>
      </c>
      <c r="C34" s="531"/>
      <c r="D34" s="531"/>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31" t="str">
        <f>IF('As-Filed Schedule 2K'!B35:D35=0,"",'As-Filed Schedule 2K'!B35:D35)</f>
        <v/>
      </c>
      <c r="C35" s="531"/>
      <c r="D35" s="531"/>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31" t="str">
        <f>IF('As-Filed Schedule 2K'!B36:D36=0,"",'As-Filed Schedule 2K'!B36:D36)</f>
        <v/>
      </c>
      <c r="C36" s="531"/>
      <c r="D36" s="531"/>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31" t="str">
        <f>IF('As-Filed Schedule 2K'!B37:D37=0,"",'As-Filed Schedule 2K'!B37:D37)</f>
        <v/>
      </c>
      <c r="C37" s="531"/>
      <c r="D37" s="531"/>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31" t="str">
        <f>IF('As-Filed Schedule 2K'!B38:D38=0,"",'As-Filed Schedule 2K'!B38:D38)</f>
        <v/>
      </c>
      <c r="C38" s="531"/>
      <c r="D38" s="531"/>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31" t="str">
        <f>IF('As-Filed Schedule 2K'!B39:D39=0,"",'As-Filed Schedule 2K'!B39:D39)</f>
        <v/>
      </c>
      <c r="C39" s="531"/>
      <c r="D39" s="531"/>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31" t="str">
        <f>IF('As-Filed Schedule 2K'!B40:D40=0,"",'As-Filed Schedule 2K'!B40:D40)</f>
        <v/>
      </c>
      <c r="C40" s="531"/>
      <c r="D40" s="531"/>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31" t="str">
        <f>IF('As-Filed Schedule 2K'!B41:D41=0,"",'As-Filed Schedule 2K'!B41:D41)</f>
        <v/>
      </c>
      <c r="C41" s="531"/>
      <c r="D41" s="531"/>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31" t="str">
        <f>IF('As-Filed Schedule 2K'!B42:D42=0,"",'As-Filed Schedule 2K'!B42:D42)</f>
        <v/>
      </c>
      <c r="C42" s="531"/>
      <c r="D42" s="531"/>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31" t="str">
        <f>IF('As-Filed Schedule 2K'!B43:D43=0,"",'As-Filed Schedule 2K'!B43:D43)</f>
        <v/>
      </c>
      <c r="C43" s="531"/>
      <c r="D43" s="531"/>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31" t="str">
        <f>IF('As-Filed Schedule 2K'!B44:D44=0,"",'As-Filed Schedule 2K'!B44:D44)</f>
        <v/>
      </c>
      <c r="C44" s="531"/>
      <c r="D44" s="531"/>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31" t="str">
        <f>IF('As-Filed Schedule 2K'!B45:D45=0,"",'As-Filed Schedule 2K'!B45:D45)</f>
        <v/>
      </c>
      <c r="C45" s="531"/>
      <c r="D45" s="531"/>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31" t="str">
        <f>IF('As-Filed Schedule 2K'!B46:D46=0,"",'As-Filed Schedule 2K'!B46:D46)</f>
        <v/>
      </c>
      <c r="C46" s="531"/>
      <c r="D46" s="531"/>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31" t="str">
        <f>IF('As-Filed Schedule 2K'!B47:D47=0,"",'As-Filed Schedule 2K'!B47:D47)</f>
        <v/>
      </c>
      <c r="C47" s="531"/>
      <c r="D47" s="531"/>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31" t="str">
        <f>IF('As-Filed Schedule 2K'!B48:D48=0,"",'As-Filed Schedule 2K'!B48:D48)</f>
        <v/>
      </c>
      <c r="C48" s="531"/>
      <c r="D48" s="531"/>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31" t="str">
        <f>IF('As-Filed Schedule 2K'!B49:D49=0,"",'As-Filed Schedule 2K'!B49:D49)</f>
        <v/>
      </c>
      <c r="C49" s="531"/>
      <c r="D49" s="531"/>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31" t="str">
        <f>IF('As-Filed Schedule 2K'!B50:D50=0,"",'As-Filed Schedule 2K'!B50:D50)</f>
        <v/>
      </c>
      <c r="C50" s="531"/>
      <c r="D50" s="531"/>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31" t="str">
        <f>IF('As-Filed Schedule 2K'!B51:D51=0,"",'As-Filed Schedule 2K'!B51:D51)</f>
        <v/>
      </c>
      <c r="C51" s="531"/>
      <c r="D51" s="531"/>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31" t="str">
        <f>IF('As-Filed Schedule 2K'!B52:D52=0,"",'As-Filed Schedule 2K'!B52:D52)</f>
        <v/>
      </c>
      <c r="C52" s="531"/>
      <c r="D52" s="531"/>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31" t="str">
        <f>IF('As-Filed Schedule 2K'!B53:D53=0,"",'As-Filed Schedule 2K'!B53:D53)</f>
        <v/>
      </c>
      <c r="C53" s="531"/>
      <c r="D53" s="531"/>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31" t="str">
        <f>IF('As-Filed Schedule 2K'!B54:D54=0,"",'As-Filed Schedule 2K'!B54:D54)</f>
        <v/>
      </c>
      <c r="C54" s="531"/>
      <c r="D54" s="531"/>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31" t="str">
        <f>IF('As-Filed Schedule 2K'!B55:D55=0,"",'As-Filed Schedule 2K'!B55:D55)</f>
        <v/>
      </c>
      <c r="C55" s="531"/>
      <c r="D55" s="531"/>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31" t="str">
        <f>IF('As-Filed Schedule 2K'!B56:D56=0,"",'As-Filed Schedule 2K'!B56:D56)</f>
        <v/>
      </c>
      <c r="C56" s="531"/>
      <c r="D56" s="531"/>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31" t="str">
        <f>IF('As-Filed Schedule 2K'!B57:D57=0,"",'As-Filed Schedule 2K'!B57:D57)</f>
        <v/>
      </c>
      <c r="C57" s="531"/>
      <c r="D57" s="531"/>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31" t="str">
        <f>IF('As-Filed Schedule 2K'!B58:D58=0,"",'As-Filed Schedule 2K'!B58:D58)</f>
        <v/>
      </c>
      <c r="C58" s="531"/>
      <c r="D58" s="531"/>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31" t="str">
        <f>IF('As-Filed Schedule 2K'!B59:D59=0,"",'As-Filed Schedule 2K'!B59:D59)</f>
        <v/>
      </c>
      <c r="C59" s="531"/>
      <c r="D59" s="531"/>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31" t="str">
        <f>IF('As-Filed Schedule 2K'!B60:D60=0,"",'As-Filed Schedule 2K'!B60:D60)</f>
        <v/>
      </c>
      <c r="C60" s="531"/>
      <c r="D60" s="531"/>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31" t="str">
        <f>IF('As-Filed Schedule 2K'!B61:D61=0,"",'As-Filed Schedule 2K'!B61:D61)</f>
        <v/>
      </c>
      <c r="C61" s="531"/>
      <c r="D61" s="531"/>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31" t="str">
        <f>IF('As-Filed Schedule 2K'!B62:D62=0,"",'As-Filed Schedule 2K'!B62:D62)</f>
        <v/>
      </c>
      <c r="C62" s="531"/>
      <c r="D62" s="531"/>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31" t="str">
        <f>IF('As-Filed Schedule 2K'!B63:D63=0,"",'As-Filed Schedule 2K'!B63:D63)</f>
        <v/>
      </c>
      <c r="C63" s="531"/>
      <c r="D63" s="531"/>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31" t="str">
        <f>IF('As-Filed Schedule 2K'!B64:D64=0,"",'As-Filed Schedule 2K'!B64:D64)</f>
        <v/>
      </c>
      <c r="C64" s="531"/>
      <c r="D64" s="531"/>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31" t="str">
        <f>IF('As-Filed Schedule 2K'!B65:D65=0,"",'As-Filed Schedule 2K'!B65:D65)</f>
        <v/>
      </c>
      <c r="C65" s="531"/>
      <c r="D65" s="531"/>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31" t="str">
        <f>IF('As-Filed Schedule 2K'!B66:D66=0,"",'As-Filed Schedule 2K'!B66:D66)</f>
        <v/>
      </c>
      <c r="C66" s="531"/>
      <c r="D66" s="531"/>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31" t="str">
        <f>IF('As-Filed Schedule 2K'!B67:D67=0,"",'As-Filed Schedule 2K'!B67:D67)</f>
        <v/>
      </c>
      <c r="C67" s="531"/>
      <c r="D67" s="531"/>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31" t="str">
        <f>IF('As-Filed Schedule 2K'!B68:D68=0,"",'As-Filed Schedule 2K'!B68:D68)</f>
        <v/>
      </c>
      <c r="C68" s="531"/>
      <c r="D68" s="531"/>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31" t="str">
        <f>IF('As-Filed Schedule 2K'!B69:D69=0,"",'As-Filed Schedule 2K'!B69:D69)</f>
        <v/>
      </c>
      <c r="C69" s="531"/>
      <c r="D69" s="531"/>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31" t="str">
        <f>IF('As-Filed Schedule 2K'!B70:D70=0,"",'As-Filed Schedule 2K'!B70:D70)</f>
        <v/>
      </c>
      <c r="C70" s="531"/>
      <c r="D70" s="531"/>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31" t="str">
        <f>IF('As-Filed Schedule 2K'!B71:D71=0,"",'As-Filed Schedule 2K'!B71:D71)</f>
        <v/>
      </c>
      <c r="C71" s="531"/>
      <c r="D71" s="531"/>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31" t="str">
        <f>IF('As-Filed Schedule 2K'!B72:D72=0,"",'As-Filed Schedule 2K'!B72:D72)</f>
        <v/>
      </c>
      <c r="C72" s="531"/>
      <c r="D72" s="531"/>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845</v>
      </c>
      <c r="B3" s="512"/>
      <c r="C3" s="512"/>
      <c r="D3" s="512"/>
      <c r="E3" s="512"/>
      <c r="F3" s="512"/>
      <c r="G3" s="512"/>
      <c r="H3" s="512"/>
      <c r="I3" s="512"/>
      <c r="J3" s="512"/>
      <c r="K3" s="512"/>
      <c r="L3" s="322"/>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830</v>
      </c>
      <c r="C8" s="1"/>
      <c r="F8" s="119" t="str">
        <f>'As-Filed Schedule 2L'!F8</f>
        <v>No</v>
      </c>
      <c r="G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2L'!B15:D15=0,"",'As-Filed Schedule 2L'!B15:D15)</f>
        <v/>
      </c>
      <c r="C15" s="531"/>
      <c r="D15" s="531"/>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31" t="str">
        <f>IF('As-Filed Schedule 2L'!B16:D16=0,"",'As-Filed Schedule 2L'!B16:D16)</f>
        <v/>
      </c>
      <c r="C16" s="531"/>
      <c r="D16" s="531"/>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31" t="str">
        <f>IF('As-Filed Schedule 2L'!B17:D17=0,"",'As-Filed Schedule 2L'!B17:D17)</f>
        <v/>
      </c>
      <c r="C17" s="531"/>
      <c r="D17" s="531"/>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31" t="str">
        <f>IF('As-Filed Schedule 2L'!B18:D18=0,"",'As-Filed Schedule 2L'!B18:D18)</f>
        <v/>
      </c>
      <c r="C18" s="531"/>
      <c r="D18" s="531"/>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31" t="str">
        <f>IF('As-Filed Schedule 2L'!B19:D19=0,"",'As-Filed Schedule 2L'!B19:D19)</f>
        <v/>
      </c>
      <c r="C19" s="531"/>
      <c r="D19" s="531"/>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31" t="str">
        <f>IF('As-Filed Schedule 2L'!B20:D20=0,"",'As-Filed Schedule 2L'!B20:D20)</f>
        <v/>
      </c>
      <c r="C20" s="531"/>
      <c r="D20" s="531"/>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31" t="str">
        <f>IF('As-Filed Schedule 2L'!B21:D21=0,"",'As-Filed Schedule 2L'!B21:D21)</f>
        <v/>
      </c>
      <c r="C21" s="531"/>
      <c r="D21" s="531"/>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31" t="str">
        <f>IF('As-Filed Schedule 2L'!B22:D22=0,"",'As-Filed Schedule 2L'!B22:D22)</f>
        <v/>
      </c>
      <c r="C22" s="531"/>
      <c r="D22" s="531"/>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31" t="str">
        <f>IF('As-Filed Schedule 2L'!B23:D23=0,"",'As-Filed Schedule 2L'!B23:D23)</f>
        <v/>
      </c>
      <c r="C23" s="531"/>
      <c r="D23" s="531"/>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31" t="str">
        <f>IF('As-Filed Schedule 2L'!B24:D24=0,"",'As-Filed Schedule 2L'!B24:D24)</f>
        <v/>
      </c>
      <c r="C24" s="531"/>
      <c r="D24" s="531"/>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31" t="str">
        <f>IF('As-Filed Schedule 2L'!B25:D25=0,"",'As-Filed Schedule 2L'!B25:D25)</f>
        <v/>
      </c>
      <c r="C25" s="531"/>
      <c r="D25" s="531"/>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31" t="str">
        <f>IF('As-Filed Schedule 2L'!B26:D26=0,"",'As-Filed Schedule 2L'!B26:D26)</f>
        <v/>
      </c>
      <c r="C26" s="531"/>
      <c r="D26" s="531"/>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31" t="str">
        <f>IF('As-Filed Schedule 2L'!B27:D27=0,"",'As-Filed Schedule 2L'!B27:D27)</f>
        <v/>
      </c>
      <c r="C27" s="531"/>
      <c r="D27" s="531"/>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31" t="str">
        <f>IF('As-Filed Schedule 2L'!B28:D28=0,"",'As-Filed Schedule 2L'!B28:D28)</f>
        <v/>
      </c>
      <c r="C28" s="531"/>
      <c r="D28" s="531"/>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31" t="str">
        <f>IF('As-Filed Schedule 2L'!B29:D29=0,"",'As-Filed Schedule 2L'!B29:D29)</f>
        <v/>
      </c>
      <c r="C29" s="531"/>
      <c r="D29" s="531"/>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31" t="str">
        <f>IF('As-Filed Schedule 2L'!B30:D30=0,"",'As-Filed Schedule 2L'!B30:D30)</f>
        <v/>
      </c>
      <c r="C30" s="531"/>
      <c r="D30" s="531"/>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31" t="str">
        <f>IF('As-Filed Schedule 2L'!B31:D31=0,"",'As-Filed Schedule 2L'!B31:D31)</f>
        <v/>
      </c>
      <c r="C31" s="531"/>
      <c r="D31" s="531"/>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31" t="str">
        <f>IF('As-Filed Schedule 2L'!B32:D32=0,"",'As-Filed Schedule 2L'!B32:D32)</f>
        <v/>
      </c>
      <c r="C32" s="531"/>
      <c r="D32" s="531"/>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31" t="str">
        <f>IF('As-Filed Schedule 2L'!B33:D33=0,"",'As-Filed Schedule 2L'!B33:D33)</f>
        <v/>
      </c>
      <c r="C33" s="531"/>
      <c r="D33" s="531"/>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31" t="str">
        <f>IF('As-Filed Schedule 2L'!B34:D34=0,"",'As-Filed Schedule 2L'!B34:D34)</f>
        <v/>
      </c>
      <c r="C34" s="531"/>
      <c r="D34" s="531"/>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31" t="str">
        <f>IF('As-Filed Schedule 2L'!B35:D35=0,"",'As-Filed Schedule 2L'!B35:D35)</f>
        <v/>
      </c>
      <c r="C35" s="531"/>
      <c r="D35" s="531"/>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31" t="str">
        <f>IF('As-Filed Schedule 2L'!B36:D36=0,"",'As-Filed Schedule 2L'!B36:D36)</f>
        <v/>
      </c>
      <c r="C36" s="531"/>
      <c r="D36" s="531"/>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31" t="str">
        <f>IF('As-Filed Schedule 2L'!B37:D37=0,"",'As-Filed Schedule 2L'!B37:D37)</f>
        <v/>
      </c>
      <c r="C37" s="531"/>
      <c r="D37" s="531"/>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31" t="str">
        <f>IF('As-Filed Schedule 2L'!B38:D38=0,"",'As-Filed Schedule 2L'!B38:D38)</f>
        <v/>
      </c>
      <c r="C38" s="531"/>
      <c r="D38" s="531"/>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31" t="str">
        <f>IF('As-Filed Schedule 2L'!B39:D39=0,"",'As-Filed Schedule 2L'!B39:D39)</f>
        <v/>
      </c>
      <c r="C39" s="531"/>
      <c r="D39" s="531"/>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31" t="str">
        <f>IF('As-Filed Schedule 2L'!B40:D40=0,"",'As-Filed Schedule 2L'!B40:D40)</f>
        <v/>
      </c>
      <c r="C40" s="531"/>
      <c r="D40" s="531"/>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31" t="str">
        <f>IF('As-Filed Schedule 2L'!B41:D41=0,"",'As-Filed Schedule 2L'!B41:D41)</f>
        <v/>
      </c>
      <c r="C41" s="531"/>
      <c r="D41" s="531"/>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31" t="str">
        <f>IF('As-Filed Schedule 2L'!B42:D42=0,"",'As-Filed Schedule 2L'!B42:D42)</f>
        <v/>
      </c>
      <c r="C42" s="531"/>
      <c r="D42" s="531"/>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31" t="str">
        <f>IF('As-Filed Schedule 2L'!B43:D43=0,"",'As-Filed Schedule 2L'!B43:D43)</f>
        <v/>
      </c>
      <c r="C43" s="531"/>
      <c r="D43" s="531"/>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31" t="str">
        <f>IF('As-Filed Schedule 2L'!B44:D44=0,"",'As-Filed Schedule 2L'!B44:D44)</f>
        <v/>
      </c>
      <c r="C44" s="531"/>
      <c r="D44" s="531"/>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31" t="str">
        <f>IF('As-Filed Schedule 2L'!B45:D45=0,"",'As-Filed Schedule 2L'!B45:D45)</f>
        <v/>
      </c>
      <c r="C45" s="531"/>
      <c r="D45" s="531"/>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31" t="str">
        <f>IF('As-Filed Schedule 2L'!B46:D46=0,"",'As-Filed Schedule 2L'!B46:D46)</f>
        <v/>
      </c>
      <c r="C46" s="531"/>
      <c r="D46" s="531"/>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31" t="str">
        <f>IF('As-Filed Schedule 2L'!B47:D47=0,"",'As-Filed Schedule 2L'!B47:D47)</f>
        <v/>
      </c>
      <c r="C47" s="531"/>
      <c r="D47" s="531"/>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31" t="str">
        <f>IF('As-Filed Schedule 2L'!B48:D48=0,"",'As-Filed Schedule 2L'!B48:D48)</f>
        <v/>
      </c>
      <c r="C48" s="531"/>
      <c r="D48" s="531"/>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31" t="str">
        <f>IF('As-Filed Schedule 2L'!B49:D49=0,"",'As-Filed Schedule 2L'!B49:D49)</f>
        <v/>
      </c>
      <c r="C49" s="531"/>
      <c r="D49" s="531"/>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31" t="str">
        <f>IF('As-Filed Schedule 2L'!B50:D50=0,"",'As-Filed Schedule 2L'!B50:D50)</f>
        <v/>
      </c>
      <c r="C50" s="531"/>
      <c r="D50" s="531"/>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31" t="str">
        <f>IF('As-Filed Schedule 2L'!B51:D51=0,"",'As-Filed Schedule 2L'!B51:D51)</f>
        <v/>
      </c>
      <c r="C51" s="531"/>
      <c r="D51" s="531"/>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31" t="str">
        <f>IF('As-Filed Schedule 2L'!B52:D52=0,"",'As-Filed Schedule 2L'!B52:D52)</f>
        <v/>
      </c>
      <c r="C52" s="531"/>
      <c r="D52" s="531"/>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31" t="str">
        <f>IF('As-Filed Schedule 2L'!B53:D53=0,"",'As-Filed Schedule 2L'!B53:D53)</f>
        <v/>
      </c>
      <c r="C53" s="531"/>
      <c r="D53" s="531"/>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31" t="str">
        <f>IF('As-Filed Schedule 2L'!B54:D54=0,"",'As-Filed Schedule 2L'!B54:D54)</f>
        <v/>
      </c>
      <c r="C54" s="531"/>
      <c r="D54" s="531"/>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31" t="str">
        <f>IF('As-Filed Schedule 2L'!B55:D55=0,"",'As-Filed Schedule 2L'!B55:D55)</f>
        <v/>
      </c>
      <c r="C55" s="531"/>
      <c r="D55" s="531"/>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31" t="str">
        <f>IF('As-Filed Schedule 2L'!B56:D56=0,"",'As-Filed Schedule 2L'!B56:D56)</f>
        <v/>
      </c>
      <c r="C56" s="531"/>
      <c r="D56" s="531"/>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31" t="str">
        <f>IF('As-Filed Schedule 2L'!B57:D57=0,"",'As-Filed Schedule 2L'!B57:D57)</f>
        <v/>
      </c>
      <c r="C57" s="531"/>
      <c r="D57" s="531"/>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31" t="str">
        <f>IF('As-Filed Schedule 2L'!B58:D58=0,"",'As-Filed Schedule 2L'!B58:D58)</f>
        <v/>
      </c>
      <c r="C58" s="531"/>
      <c r="D58" s="531"/>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31" t="str">
        <f>IF('As-Filed Schedule 2L'!B59:D59=0,"",'As-Filed Schedule 2L'!B59:D59)</f>
        <v/>
      </c>
      <c r="C59" s="531"/>
      <c r="D59" s="531"/>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31" t="str">
        <f>IF('As-Filed Schedule 2L'!B60:D60=0,"",'As-Filed Schedule 2L'!B60:D60)</f>
        <v/>
      </c>
      <c r="C60" s="531"/>
      <c r="D60" s="531"/>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31" t="str">
        <f>IF('As-Filed Schedule 2L'!B61:D61=0,"",'As-Filed Schedule 2L'!B61:D61)</f>
        <v/>
      </c>
      <c r="C61" s="531"/>
      <c r="D61" s="531"/>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31" t="str">
        <f>IF('As-Filed Schedule 2L'!B62:D62=0,"",'As-Filed Schedule 2L'!B62:D62)</f>
        <v/>
      </c>
      <c r="C62" s="531"/>
      <c r="D62" s="531"/>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31" t="str">
        <f>IF('As-Filed Schedule 2L'!B63:D63=0,"",'As-Filed Schedule 2L'!B63:D63)</f>
        <v/>
      </c>
      <c r="C63" s="531"/>
      <c r="D63" s="531"/>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31" t="str">
        <f>IF('As-Filed Schedule 2L'!B64:D64=0,"",'As-Filed Schedule 2L'!B64:D64)</f>
        <v/>
      </c>
      <c r="C64" s="531"/>
      <c r="D64" s="531"/>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31" t="str">
        <f>IF('As-Filed Schedule 2L'!B65:D65=0,"",'As-Filed Schedule 2L'!B65:D65)</f>
        <v/>
      </c>
      <c r="C65" s="531"/>
      <c r="D65" s="531"/>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31" t="str">
        <f>IF('As-Filed Schedule 2L'!B66:D66=0,"",'As-Filed Schedule 2L'!B66:D66)</f>
        <v/>
      </c>
      <c r="C66" s="531"/>
      <c r="D66" s="531"/>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31" t="str">
        <f>IF('As-Filed Schedule 2L'!B67:D67=0,"",'As-Filed Schedule 2L'!B67:D67)</f>
        <v/>
      </c>
      <c r="C67" s="531"/>
      <c r="D67" s="531"/>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31" t="str">
        <f>IF('As-Filed Schedule 2L'!B68:D68=0,"",'As-Filed Schedule 2L'!B68:D68)</f>
        <v/>
      </c>
      <c r="C68" s="531"/>
      <c r="D68" s="531"/>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31" t="str">
        <f>IF('As-Filed Schedule 2L'!B69:D69=0,"",'As-Filed Schedule 2L'!B69:D69)</f>
        <v/>
      </c>
      <c r="C69" s="531"/>
      <c r="D69" s="531"/>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31" t="str">
        <f>IF('As-Filed Schedule 2L'!B70:D70=0,"",'As-Filed Schedule 2L'!B70:D70)</f>
        <v/>
      </c>
      <c r="C70" s="531"/>
      <c r="D70" s="531"/>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31" t="str">
        <f>IF('As-Filed Schedule 2L'!B71:D71=0,"",'As-Filed Schedule 2L'!B71:D71)</f>
        <v/>
      </c>
      <c r="C71" s="531"/>
      <c r="D71" s="531"/>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31" t="str">
        <f>IF('As-Filed Schedule 2L'!B72:D72=0,"",'As-Filed Schedule 2L'!B72:D72)</f>
        <v/>
      </c>
      <c r="C72" s="531"/>
      <c r="D72" s="531"/>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12" t="s">
        <v>846</v>
      </c>
      <c r="B3" s="512"/>
      <c r="C3" s="512"/>
      <c r="D3" s="512"/>
      <c r="E3" s="512"/>
      <c r="F3" s="512"/>
      <c r="G3" s="512"/>
      <c r="H3" s="512"/>
      <c r="I3" s="512"/>
      <c r="J3" s="512"/>
      <c r="K3" s="512"/>
      <c r="L3" s="322"/>
    </row>
    <row r="4" spans="1:27" ht="21" customHeight="1" x14ac:dyDescent="0.5">
      <c r="A4" s="242" t="s">
        <v>833</v>
      </c>
    </row>
    <row r="5" spans="1:27" x14ac:dyDescent="0.35">
      <c r="A5" s="1" t="s">
        <v>772</v>
      </c>
      <c r="C5" s="421" t="str">
        <f>Results!$C$6</f>
        <v>Mind Springs Health</v>
      </c>
    </row>
    <row r="6" spans="1:27" x14ac:dyDescent="0.35">
      <c r="A6" s="1" t="s">
        <v>0</v>
      </c>
      <c r="C6" s="35">
        <f>Results!$C$7</f>
        <v>45473</v>
      </c>
      <c r="F6" s="35"/>
      <c r="G6" s="320"/>
      <c r="H6" s="60"/>
    </row>
    <row r="8" spans="1:27" x14ac:dyDescent="0.35">
      <c r="A8" s="1" t="s">
        <v>252</v>
      </c>
      <c r="B8" s="1" t="s">
        <v>834</v>
      </c>
      <c r="C8" s="1"/>
      <c r="I8" s="119" t="str">
        <f>'As-Filed Schedule 2M'!K8</f>
        <v>No</v>
      </c>
      <c r="J8" s="41" t="s">
        <v>258</v>
      </c>
    </row>
    <row r="10" spans="1:27" x14ac:dyDescent="0.35">
      <c r="A10" s="1" t="s">
        <v>253</v>
      </c>
      <c r="B10" s="1" t="s">
        <v>255</v>
      </c>
      <c r="C10" s="1"/>
    </row>
    <row r="12" spans="1:27" x14ac:dyDescent="0.35">
      <c r="B12" s="526">
        <v>1</v>
      </c>
      <c r="C12" s="526"/>
      <c r="D12" s="526"/>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27" t="s">
        <v>254</v>
      </c>
      <c r="C13" s="527"/>
      <c r="D13" s="527"/>
      <c r="F13" s="529" t="s">
        <v>260</v>
      </c>
      <c r="G13" s="534"/>
      <c r="H13" s="534"/>
      <c r="I13" s="534"/>
      <c r="J13" s="534"/>
      <c r="K13" s="534"/>
      <c r="L13" s="530"/>
      <c r="N13" s="529" t="s">
        <v>261</v>
      </c>
      <c r="O13" s="534"/>
      <c r="P13" s="534"/>
      <c r="Q13" s="534"/>
      <c r="R13" s="534"/>
      <c r="S13" s="534"/>
      <c r="T13" s="530"/>
      <c r="V13" s="528" t="s">
        <v>249</v>
      </c>
      <c r="W13" s="586" t="s">
        <v>619</v>
      </c>
      <c r="X13" s="587" t="s">
        <v>620</v>
      </c>
      <c r="Y13" s="528" t="s">
        <v>311</v>
      </c>
      <c r="Z13" s="586" t="s">
        <v>629</v>
      </c>
      <c r="AA13" s="587" t="s">
        <v>630</v>
      </c>
    </row>
    <row r="14" spans="1:27" ht="55.5" customHeight="1" x14ac:dyDescent="0.35">
      <c r="B14" s="527"/>
      <c r="C14" s="527"/>
      <c r="D14" s="527"/>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28"/>
      <c r="W14" s="586"/>
      <c r="X14" s="587"/>
      <c r="Y14" s="528"/>
      <c r="Z14" s="586"/>
      <c r="AA14" s="587"/>
    </row>
    <row r="15" spans="1:27" x14ac:dyDescent="0.35">
      <c r="A15" s="24">
        <v>1</v>
      </c>
      <c r="B15" s="531" t="str">
        <f>IF('As-Filed Schedule 2M'!B15:D15=0,"",'As-Filed Schedule 2M'!B15:D15)</f>
        <v/>
      </c>
      <c r="C15" s="531"/>
      <c r="D15" s="531"/>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31" t="str">
        <f>IF('As-Filed Schedule 2M'!B16:D16=0,"",'As-Filed Schedule 2M'!B16:D16)</f>
        <v/>
      </c>
      <c r="C16" s="531"/>
      <c r="D16" s="531"/>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31" t="str">
        <f>IF('As-Filed Schedule 2M'!B17:D17=0,"",'As-Filed Schedule 2M'!B17:D17)</f>
        <v/>
      </c>
      <c r="C17" s="531"/>
      <c r="D17" s="531"/>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31" t="str">
        <f>IF('As-Filed Schedule 2M'!B18:D18=0,"",'As-Filed Schedule 2M'!B18:D18)</f>
        <v/>
      </c>
      <c r="C18" s="531"/>
      <c r="D18" s="531"/>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31" t="str">
        <f>IF('As-Filed Schedule 2M'!B19:D19=0,"",'As-Filed Schedule 2M'!B19:D19)</f>
        <v/>
      </c>
      <c r="C19" s="531"/>
      <c r="D19" s="531"/>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31" t="str">
        <f>IF('As-Filed Schedule 2M'!B20:D20=0,"",'As-Filed Schedule 2M'!B20:D20)</f>
        <v/>
      </c>
      <c r="C20" s="531"/>
      <c r="D20" s="531"/>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31" t="str">
        <f>IF('As-Filed Schedule 2M'!B21:D21=0,"",'As-Filed Schedule 2M'!B21:D21)</f>
        <v/>
      </c>
      <c r="C21" s="531"/>
      <c r="D21" s="531"/>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31" t="str">
        <f>IF('As-Filed Schedule 2M'!B22:D22=0,"",'As-Filed Schedule 2M'!B22:D22)</f>
        <v/>
      </c>
      <c r="C22" s="531"/>
      <c r="D22" s="531"/>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31" t="str">
        <f>IF('As-Filed Schedule 2M'!B23:D23=0,"",'As-Filed Schedule 2M'!B23:D23)</f>
        <v/>
      </c>
      <c r="C23" s="531"/>
      <c r="D23" s="531"/>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31" t="str">
        <f>IF('As-Filed Schedule 2M'!B24:D24=0,"",'As-Filed Schedule 2M'!B24:D24)</f>
        <v/>
      </c>
      <c r="C24" s="531"/>
      <c r="D24" s="531"/>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31" t="str">
        <f>IF('As-Filed Schedule 2M'!B25:D25=0,"",'As-Filed Schedule 2M'!B25:D25)</f>
        <v/>
      </c>
      <c r="C25" s="531"/>
      <c r="D25" s="531"/>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31" t="str">
        <f>IF('As-Filed Schedule 2M'!B26:D26=0,"",'As-Filed Schedule 2M'!B26:D26)</f>
        <v/>
      </c>
      <c r="C26" s="531"/>
      <c r="D26" s="531"/>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31" t="str">
        <f>IF('As-Filed Schedule 2M'!B27:D27=0,"",'As-Filed Schedule 2M'!B27:D27)</f>
        <v/>
      </c>
      <c r="C27" s="531"/>
      <c r="D27" s="531"/>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31" t="str">
        <f>IF('As-Filed Schedule 2M'!B28:D28=0,"",'As-Filed Schedule 2M'!B28:D28)</f>
        <v/>
      </c>
      <c r="C28" s="531"/>
      <c r="D28" s="531"/>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31" t="str">
        <f>IF('As-Filed Schedule 2M'!B29:D29=0,"",'As-Filed Schedule 2M'!B29:D29)</f>
        <v/>
      </c>
      <c r="C29" s="531"/>
      <c r="D29" s="531"/>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31" t="str">
        <f>IF('As-Filed Schedule 2M'!B30:D30=0,"",'As-Filed Schedule 2M'!B30:D30)</f>
        <v/>
      </c>
      <c r="C30" s="531"/>
      <c r="D30" s="531"/>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31" t="str">
        <f>IF('As-Filed Schedule 2M'!B31:D31=0,"",'As-Filed Schedule 2M'!B31:D31)</f>
        <v/>
      </c>
      <c r="C31" s="531"/>
      <c r="D31" s="531"/>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31" t="str">
        <f>IF('As-Filed Schedule 2M'!B32:D32=0,"",'As-Filed Schedule 2M'!B32:D32)</f>
        <v/>
      </c>
      <c r="C32" s="531"/>
      <c r="D32" s="531"/>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31" t="str">
        <f>IF('As-Filed Schedule 2M'!B33:D33=0,"",'As-Filed Schedule 2M'!B33:D33)</f>
        <v/>
      </c>
      <c r="C33" s="531"/>
      <c r="D33" s="531"/>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31" t="str">
        <f>IF('As-Filed Schedule 2M'!B34:D34=0,"",'As-Filed Schedule 2M'!B34:D34)</f>
        <v/>
      </c>
      <c r="C34" s="531"/>
      <c r="D34" s="531"/>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31" t="str">
        <f>IF('As-Filed Schedule 2M'!B35:D35=0,"",'As-Filed Schedule 2M'!B35:D35)</f>
        <v/>
      </c>
      <c r="C35" s="531"/>
      <c r="D35" s="531"/>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31" t="str">
        <f>IF('As-Filed Schedule 2M'!B36:D36=0,"",'As-Filed Schedule 2M'!B36:D36)</f>
        <v/>
      </c>
      <c r="C36" s="531"/>
      <c r="D36" s="531"/>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31" t="str">
        <f>IF('As-Filed Schedule 2M'!B37:D37=0,"",'As-Filed Schedule 2M'!B37:D37)</f>
        <v/>
      </c>
      <c r="C37" s="531"/>
      <c r="D37" s="531"/>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31" t="str">
        <f>IF('As-Filed Schedule 2M'!B38:D38=0,"",'As-Filed Schedule 2M'!B38:D38)</f>
        <v/>
      </c>
      <c r="C38" s="531"/>
      <c r="D38" s="531"/>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31" t="str">
        <f>IF('As-Filed Schedule 2M'!B39:D39=0,"",'As-Filed Schedule 2M'!B39:D39)</f>
        <v/>
      </c>
      <c r="C39" s="531"/>
      <c r="D39" s="531"/>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31" t="str">
        <f>IF('As-Filed Schedule 2M'!B40:D40=0,"",'As-Filed Schedule 2M'!B40:D40)</f>
        <v/>
      </c>
      <c r="C40" s="531"/>
      <c r="D40" s="531"/>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31" t="str">
        <f>IF('As-Filed Schedule 2M'!B41:D41=0,"",'As-Filed Schedule 2M'!B41:D41)</f>
        <v/>
      </c>
      <c r="C41" s="531"/>
      <c r="D41" s="531"/>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31" t="str">
        <f>IF('As-Filed Schedule 2M'!B42:D42=0,"",'As-Filed Schedule 2M'!B42:D42)</f>
        <v/>
      </c>
      <c r="C42" s="531"/>
      <c r="D42" s="531"/>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31" t="str">
        <f>IF('As-Filed Schedule 2M'!B43:D43=0,"",'As-Filed Schedule 2M'!B43:D43)</f>
        <v/>
      </c>
      <c r="C43" s="531"/>
      <c r="D43" s="531"/>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31" t="str">
        <f>IF('As-Filed Schedule 2M'!B44:D44=0,"",'As-Filed Schedule 2M'!B44:D44)</f>
        <v/>
      </c>
      <c r="C44" s="531"/>
      <c r="D44" s="531"/>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31" t="str">
        <f>IF('As-Filed Schedule 2M'!B45:D45=0,"",'As-Filed Schedule 2M'!B45:D45)</f>
        <v/>
      </c>
      <c r="C45" s="531"/>
      <c r="D45" s="531"/>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31" t="str">
        <f>IF('As-Filed Schedule 2M'!B46:D46=0,"",'As-Filed Schedule 2M'!B46:D46)</f>
        <v/>
      </c>
      <c r="C46" s="531"/>
      <c r="D46" s="531"/>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31" t="str">
        <f>IF('As-Filed Schedule 2M'!B47:D47=0,"",'As-Filed Schedule 2M'!B47:D47)</f>
        <v/>
      </c>
      <c r="C47" s="531"/>
      <c r="D47" s="531"/>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31" t="str">
        <f>IF('As-Filed Schedule 2M'!B48:D48=0,"",'As-Filed Schedule 2M'!B48:D48)</f>
        <v/>
      </c>
      <c r="C48" s="531"/>
      <c r="D48" s="531"/>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31" t="str">
        <f>IF('As-Filed Schedule 2M'!B49:D49=0,"",'As-Filed Schedule 2M'!B49:D49)</f>
        <v/>
      </c>
      <c r="C49" s="531"/>
      <c r="D49" s="531"/>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31" t="str">
        <f>IF('As-Filed Schedule 2M'!B50:D50=0,"",'As-Filed Schedule 2M'!B50:D50)</f>
        <v/>
      </c>
      <c r="C50" s="531"/>
      <c r="D50" s="531"/>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31" t="str">
        <f>IF('As-Filed Schedule 2M'!B51:D51=0,"",'As-Filed Schedule 2M'!B51:D51)</f>
        <v/>
      </c>
      <c r="C51" s="531"/>
      <c r="D51" s="531"/>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31" t="str">
        <f>IF('As-Filed Schedule 2M'!B52:D52=0,"",'As-Filed Schedule 2M'!B52:D52)</f>
        <v/>
      </c>
      <c r="C52" s="531"/>
      <c r="D52" s="531"/>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31" t="str">
        <f>IF('As-Filed Schedule 2M'!B53:D53=0,"",'As-Filed Schedule 2M'!B53:D53)</f>
        <v/>
      </c>
      <c r="C53" s="531"/>
      <c r="D53" s="531"/>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31" t="str">
        <f>IF('As-Filed Schedule 2M'!B54:D54=0,"",'As-Filed Schedule 2M'!B54:D54)</f>
        <v/>
      </c>
      <c r="C54" s="531"/>
      <c r="D54" s="531"/>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31" t="str">
        <f>IF('As-Filed Schedule 2M'!B55:D55=0,"",'As-Filed Schedule 2M'!B55:D55)</f>
        <v/>
      </c>
      <c r="C55" s="531"/>
      <c r="D55" s="531"/>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31" t="str">
        <f>IF('As-Filed Schedule 2M'!B56:D56=0,"",'As-Filed Schedule 2M'!B56:D56)</f>
        <v/>
      </c>
      <c r="C56" s="531"/>
      <c r="D56" s="531"/>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31" t="str">
        <f>IF('As-Filed Schedule 2M'!B57:D57=0,"",'As-Filed Schedule 2M'!B57:D57)</f>
        <v/>
      </c>
      <c r="C57" s="531"/>
      <c r="D57" s="531"/>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31" t="str">
        <f>IF('As-Filed Schedule 2M'!B58:D58=0,"",'As-Filed Schedule 2M'!B58:D58)</f>
        <v/>
      </c>
      <c r="C58" s="531"/>
      <c r="D58" s="531"/>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31" t="str">
        <f>IF('As-Filed Schedule 2M'!B59:D59=0,"",'As-Filed Schedule 2M'!B59:D59)</f>
        <v/>
      </c>
      <c r="C59" s="531"/>
      <c r="D59" s="531"/>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31" t="str">
        <f>IF('As-Filed Schedule 2M'!B60:D60=0,"",'As-Filed Schedule 2M'!B60:D60)</f>
        <v/>
      </c>
      <c r="C60" s="531"/>
      <c r="D60" s="531"/>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31" t="str">
        <f>IF('As-Filed Schedule 2M'!B61:D61=0,"",'As-Filed Schedule 2M'!B61:D61)</f>
        <v/>
      </c>
      <c r="C61" s="531"/>
      <c r="D61" s="531"/>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31" t="str">
        <f>IF('As-Filed Schedule 2M'!B62:D62=0,"",'As-Filed Schedule 2M'!B62:D62)</f>
        <v/>
      </c>
      <c r="C62" s="531"/>
      <c r="D62" s="531"/>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31" t="str">
        <f>IF('As-Filed Schedule 2M'!B63:D63=0,"",'As-Filed Schedule 2M'!B63:D63)</f>
        <v/>
      </c>
      <c r="C63" s="531"/>
      <c r="D63" s="531"/>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31" t="str">
        <f>IF('As-Filed Schedule 2M'!B64:D64=0,"",'As-Filed Schedule 2M'!B64:D64)</f>
        <v/>
      </c>
      <c r="C64" s="531"/>
      <c r="D64" s="531"/>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31" t="str">
        <f>IF('As-Filed Schedule 2M'!B65:D65=0,"",'As-Filed Schedule 2M'!B65:D65)</f>
        <v/>
      </c>
      <c r="C65" s="531"/>
      <c r="D65" s="531"/>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31" t="str">
        <f>IF('As-Filed Schedule 2M'!B66:D66=0,"",'As-Filed Schedule 2M'!B66:D66)</f>
        <v/>
      </c>
      <c r="C66" s="531"/>
      <c r="D66" s="531"/>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31" t="str">
        <f>IF('As-Filed Schedule 2M'!B67:D67=0,"",'As-Filed Schedule 2M'!B67:D67)</f>
        <v/>
      </c>
      <c r="C67" s="531"/>
      <c r="D67" s="531"/>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31" t="str">
        <f>IF('As-Filed Schedule 2M'!B68:D68=0,"",'As-Filed Schedule 2M'!B68:D68)</f>
        <v/>
      </c>
      <c r="C68" s="531"/>
      <c r="D68" s="531"/>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31" t="str">
        <f>IF('As-Filed Schedule 2M'!B69:D69=0,"",'As-Filed Schedule 2M'!B69:D69)</f>
        <v/>
      </c>
      <c r="C69" s="531"/>
      <c r="D69" s="531"/>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31" t="str">
        <f>IF('As-Filed Schedule 2M'!B70:D70=0,"",'As-Filed Schedule 2M'!B70:D70)</f>
        <v/>
      </c>
      <c r="C70" s="531"/>
      <c r="D70" s="531"/>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31" t="str">
        <f>IF('As-Filed Schedule 2M'!B71:D71=0,"",'As-Filed Schedule 2M'!B71:D71)</f>
        <v/>
      </c>
      <c r="C71" s="531"/>
      <c r="D71" s="531"/>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31" t="str">
        <f>IF('As-Filed Schedule 2M'!B72:D72=0,"",'As-Filed Schedule 2M'!B72:D72)</f>
        <v/>
      </c>
      <c r="C72" s="531"/>
      <c r="D72" s="531"/>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773</v>
      </c>
      <c r="C1" s="11"/>
      <c r="D1" s="4"/>
      <c r="E1" s="13"/>
      <c r="F1" s="13"/>
      <c r="G1" s="137"/>
      <c r="H1" s="137"/>
      <c r="I1" s="13"/>
      <c r="J1" s="13"/>
    </row>
    <row r="2" spans="1:33" ht="21" x14ac:dyDescent="0.5">
      <c r="A2" s="2" t="s">
        <v>771</v>
      </c>
      <c r="C2" s="11"/>
      <c r="D2" s="4"/>
      <c r="E2" s="13"/>
      <c r="F2" s="13"/>
      <c r="G2" s="137"/>
      <c r="H2" s="137"/>
      <c r="I2" s="13"/>
      <c r="J2" s="13"/>
    </row>
    <row r="3" spans="1:33" ht="25" customHeight="1" x14ac:dyDescent="0.5">
      <c r="A3" s="5" t="s">
        <v>929</v>
      </c>
      <c r="B3" s="5"/>
      <c r="C3" s="12"/>
      <c r="D3" s="7"/>
      <c r="E3" s="14"/>
      <c r="F3" s="13"/>
      <c r="G3" s="137"/>
      <c r="H3" s="137"/>
      <c r="I3" s="13"/>
      <c r="J3" s="14"/>
    </row>
    <row r="4" spans="1:33" x14ac:dyDescent="0.35">
      <c r="C4" s="11"/>
      <c r="D4" s="4"/>
      <c r="E4" s="13" t="s">
        <v>759</v>
      </c>
      <c r="F4" s="13"/>
      <c r="G4" s="137"/>
      <c r="H4" s="137"/>
      <c r="I4" s="13"/>
      <c r="J4" s="50"/>
      <c r="AE4" s="130"/>
      <c r="AF4" s="130"/>
      <c r="AG4" s="130"/>
    </row>
    <row r="5" spans="1:33" x14ac:dyDescent="0.35">
      <c r="A5" s="1" t="s">
        <v>772</v>
      </c>
      <c r="C5" s="421" t="str">
        <f>Results!$C$6</f>
        <v>Mind Springs Health</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478</v>
      </c>
      <c r="B8" s="100"/>
      <c r="C8" s="100"/>
      <c r="D8" s="100"/>
      <c r="E8" s="100"/>
      <c r="F8" s="100"/>
      <c r="G8" s="204"/>
      <c r="H8" s="113"/>
      <c r="I8" s="100"/>
      <c r="J8" s="206"/>
      <c r="K8" s="100"/>
      <c r="N8" s="100"/>
      <c r="AE8" s="40"/>
      <c r="AF8" s="40"/>
      <c r="AG8" s="40"/>
    </row>
    <row r="9" spans="1:33" ht="15" customHeight="1" x14ac:dyDescent="0.35">
      <c r="A9" s="520" t="s">
        <v>479</v>
      </c>
      <c r="B9" s="520"/>
      <c r="C9" s="520"/>
      <c r="D9" s="520"/>
      <c r="E9" s="520"/>
      <c r="F9" s="520"/>
      <c r="G9" s="520"/>
      <c r="H9" s="520"/>
      <c r="I9" s="520"/>
      <c r="J9" s="520"/>
      <c r="K9" s="520"/>
      <c r="L9" s="343"/>
      <c r="M9" s="338"/>
      <c r="N9" s="100"/>
      <c r="AE9" s="40"/>
      <c r="AF9" s="40"/>
      <c r="AG9" s="40"/>
    </row>
    <row r="10" spans="1:33" x14ac:dyDescent="0.35">
      <c r="A10" s="520"/>
      <c r="B10" s="520"/>
      <c r="C10" s="520"/>
      <c r="D10" s="520"/>
      <c r="E10" s="520"/>
      <c r="F10" s="520"/>
      <c r="G10" s="520"/>
      <c r="H10" s="520"/>
      <c r="I10" s="520"/>
      <c r="J10" s="520"/>
      <c r="K10" s="520"/>
      <c r="L10" s="343"/>
      <c r="M10" s="338"/>
      <c r="N10" s="100"/>
      <c r="AE10" s="40"/>
      <c r="AF10" s="40"/>
      <c r="AG10" s="40"/>
    </row>
    <row r="11" spans="1:33" x14ac:dyDescent="0.35">
      <c r="A11" s="520"/>
      <c r="B11" s="520"/>
      <c r="C11" s="520"/>
      <c r="D11" s="520"/>
      <c r="E11" s="520"/>
      <c r="F11" s="520"/>
      <c r="G11" s="520"/>
      <c r="H11" s="520"/>
      <c r="I11" s="520"/>
      <c r="J11" s="520"/>
      <c r="K11" s="520"/>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14">
        <v>1</v>
      </c>
      <c r="C13" s="515"/>
      <c r="D13" s="175">
        <v>2</v>
      </c>
      <c r="E13" s="175">
        <v>3</v>
      </c>
      <c r="F13" s="175">
        <v>4</v>
      </c>
      <c r="G13" s="175">
        <v>5</v>
      </c>
      <c r="H13" s="175">
        <v>6</v>
      </c>
      <c r="I13" s="175">
        <v>7</v>
      </c>
      <c r="J13" s="175">
        <v>8</v>
      </c>
      <c r="K13" s="175">
        <v>9</v>
      </c>
      <c r="L13" s="256" t="s">
        <v>617</v>
      </c>
      <c r="M13" s="257" t="s">
        <v>618</v>
      </c>
      <c r="N13" s="175">
        <v>10</v>
      </c>
      <c r="O13" s="257">
        <v>10</v>
      </c>
      <c r="P13" s="23">
        <v>11</v>
      </c>
      <c r="Q13" s="256" t="s">
        <v>641</v>
      </c>
      <c r="R13" s="257" t="s">
        <v>644</v>
      </c>
      <c r="S13" s="23">
        <v>12</v>
      </c>
      <c r="T13" s="257" t="s">
        <v>645</v>
      </c>
      <c r="U13" s="23">
        <v>13</v>
      </c>
      <c r="V13" s="256" t="s">
        <v>647</v>
      </c>
      <c r="W13" s="257" t="s">
        <v>648</v>
      </c>
      <c r="X13" s="23">
        <v>14</v>
      </c>
      <c r="Y13" s="257" t="s">
        <v>652</v>
      </c>
      <c r="Z13" s="23">
        <v>15</v>
      </c>
      <c r="AA13" s="257" t="s">
        <v>653</v>
      </c>
      <c r="AB13" s="23">
        <v>16</v>
      </c>
      <c r="AC13" s="257" t="s">
        <v>654</v>
      </c>
    </row>
    <row r="14" spans="1:33" x14ac:dyDescent="0.35">
      <c r="A14" s="100"/>
      <c r="B14" s="547" t="s">
        <v>631</v>
      </c>
      <c r="C14" s="548"/>
      <c r="D14" s="544" t="s">
        <v>632</v>
      </c>
      <c r="E14" s="544" t="s">
        <v>633</v>
      </c>
      <c r="F14" s="544" t="s">
        <v>634</v>
      </c>
      <c r="G14" s="551" t="s">
        <v>635</v>
      </c>
      <c r="H14" s="551" t="s">
        <v>636</v>
      </c>
      <c r="I14" s="208"/>
      <c r="J14" s="208"/>
      <c r="K14" s="544" t="s">
        <v>160</v>
      </c>
      <c r="L14" s="582" t="s">
        <v>638</v>
      </c>
      <c r="M14" s="584" t="s">
        <v>639</v>
      </c>
      <c r="N14" s="544" t="s">
        <v>161</v>
      </c>
      <c r="O14" s="584" t="s">
        <v>640</v>
      </c>
      <c r="P14" s="529" t="s">
        <v>168</v>
      </c>
      <c r="Q14" s="534"/>
      <c r="R14" s="534"/>
      <c r="S14" s="534"/>
      <c r="T14" s="530"/>
      <c r="U14" s="529" t="s">
        <v>34</v>
      </c>
      <c r="V14" s="534"/>
      <c r="W14" s="534"/>
      <c r="X14" s="534"/>
      <c r="Y14" s="530"/>
      <c r="Z14" s="529" t="s">
        <v>169</v>
      </c>
      <c r="AA14" s="534"/>
      <c r="AB14" s="534"/>
      <c r="AC14" s="534"/>
    </row>
    <row r="15" spans="1:33" ht="60" customHeight="1" x14ac:dyDescent="0.35">
      <c r="A15" s="100"/>
      <c r="B15" s="549"/>
      <c r="C15" s="550"/>
      <c r="D15" s="545"/>
      <c r="E15" s="545"/>
      <c r="F15" s="545"/>
      <c r="G15" s="552"/>
      <c r="H15" s="552"/>
      <c r="I15" s="209" t="s">
        <v>453</v>
      </c>
      <c r="J15" s="209" t="s">
        <v>637</v>
      </c>
      <c r="K15" s="545"/>
      <c r="L15" s="583"/>
      <c r="M15" s="585"/>
      <c r="N15" s="545"/>
      <c r="O15" s="585"/>
      <c r="P15" s="10" t="s">
        <v>162</v>
      </c>
      <c r="Q15" s="258" t="s">
        <v>642</v>
      </c>
      <c r="R15" s="259" t="s">
        <v>643</v>
      </c>
      <c r="S15" s="10" t="s">
        <v>163</v>
      </c>
      <c r="T15" s="259" t="s">
        <v>646</v>
      </c>
      <c r="U15" s="10" t="s">
        <v>164</v>
      </c>
      <c r="V15" s="258" t="s">
        <v>649</v>
      </c>
      <c r="W15" s="259" t="s">
        <v>650</v>
      </c>
      <c r="X15" s="10" t="s">
        <v>165</v>
      </c>
      <c r="Y15" s="259" t="s">
        <v>651</v>
      </c>
      <c r="Z15" s="10" t="s">
        <v>166</v>
      </c>
      <c r="AA15" s="259" t="s">
        <v>655</v>
      </c>
      <c r="AB15" s="10" t="s">
        <v>167</v>
      </c>
      <c r="AC15" s="259" t="s">
        <v>656</v>
      </c>
    </row>
    <row r="16" spans="1:33" x14ac:dyDescent="0.35">
      <c r="A16" s="100"/>
      <c r="B16" s="337" t="s">
        <v>597</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42" t="str">
        <f>'As-Filed Schedule 3'!B17:C17</f>
        <v>Residential Facilities</v>
      </c>
      <c r="C17" s="543"/>
      <c r="D17" s="365" t="str">
        <f>'As-Filed Schedule 3'!D17</f>
        <v>Residential</v>
      </c>
      <c r="E17" s="365">
        <f>'As-Filed Schedule 3'!E17</f>
        <v>0</v>
      </c>
      <c r="F17" s="364">
        <f>'As-Filed Schedule 3'!F17</f>
        <v>32</v>
      </c>
      <c r="G17" s="363">
        <f>'As-Filed Schedule 3'!G17</f>
        <v>0</v>
      </c>
      <c r="H17" s="363">
        <f>'As-Filed Schedule 3'!H17</f>
        <v>0</v>
      </c>
      <c r="I17" s="213">
        <f>IF(B17=0,"",IF(AND(G17=0,H17=0),365,IF(AND(G17&gt;0,H17=0),$C$6-G17+1,IF(AND(G17=0,H17&gt;0),H17-($C$6-365),H17-G17+1))))</f>
        <v>365</v>
      </c>
      <c r="J17" s="98"/>
      <c r="K17" s="414">
        <f>SUM(K18:K20)</f>
        <v>9785</v>
      </c>
      <c r="L17" s="416">
        <f>SUM(L18:L20)</f>
        <v>3153</v>
      </c>
      <c r="M17" s="418">
        <f>SUM(M18:M20)</f>
        <v>12938</v>
      </c>
      <c r="N17" s="215">
        <f>IF(K17&gt;0,K17/(F17*I17),"")</f>
        <v>0.83775684931506844</v>
      </c>
      <c r="O17" s="346">
        <f>IF(M17&gt;0,M17/(F17*I17),"")</f>
        <v>1.1077054794520549</v>
      </c>
      <c r="P17" s="126">
        <f>'As-Filed Schedule 3'!M17</f>
        <v>5752445</v>
      </c>
      <c r="Q17" s="349">
        <f>SUMIFS(Adjustments!$G:$G,Adjustments!$H:$H,"3",Adjustments!$I:$I,'Schedule 3 Adjustments'!$P$13,Adjustments!$J:$J,$A17)</f>
        <v>876372.22203296912</v>
      </c>
      <c r="R17" s="353">
        <f>SUM(P17:Q17)</f>
        <v>6628817.2220329689</v>
      </c>
      <c r="S17" s="85">
        <f>IFERROR(P17/K17,"")</f>
        <v>587.88400613183444</v>
      </c>
      <c r="T17" s="357">
        <f>IFERROR(R17/M17,"")</f>
        <v>512.35254459985845</v>
      </c>
      <c r="U17" s="126">
        <f>'As-Filed Schedule 3'!O17</f>
        <v>1156765</v>
      </c>
      <c r="V17" s="349">
        <f>SUMIFS(Adjustments!$G:$G,Adjustments!$H:$H,"3",Adjustments!$I:$I,'Schedule 3 Adjustments'!$U$13,Adjustments!$J:$J,$A17)</f>
        <v>-476594.17701483471</v>
      </c>
      <c r="W17" s="353">
        <f>SUM(U17:V17)</f>
        <v>680170.82298516529</v>
      </c>
      <c r="X17" s="85">
        <f>IFERROR(U17/K17,"")</f>
        <v>118.21819110884006</v>
      </c>
      <c r="Y17" s="85">
        <f>IFERROR(W17/M17,"")</f>
        <v>52.571558431377746</v>
      </c>
      <c r="Z17" s="85">
        <f>IF(P17=0,"",P17-U17)</f>
        <v>4595680</v>
      </c>
      <c r="AA17" s="85">
        <f>IF(R17=0,"",R17-W17)</f>
        <v>5948646.3990478031</v>
      </c>
      <c r="AB17" s="85">
        <f>IFERROR(Z17/K17,"")</f>
        <v>469.66581502299437</v>
      </c>
      <c r="AC17" s="357">
        <f>IFERROR(AA17/M17,"")</f>
        <v>459.78098616848069</v>
      </c>
    </row>
    <row r="18" spans="1:29" x14ac:dyDescent="0.35">
      <c r="A18" s="216" t="s">
        <v>446</v>
      </c>
      <c r="B18" s="217"/>
      <c r="C18" s="217"/>
      <c r="D18" s="217"/>
      <c r="E18" s="217"/>
      <c r="F18" s="218"/>
      <c r="G18" s="219"/>
      <c r="H18" s="219"/>
      <c r="I18" s="220"/>
      <c r="J18" s="469" t="s">
        <v>985</v>
      </c>
      <c r="K18" s="415">
        <f>'As-Filed Schedule 3'!K18</f>
        <v>9785</v>
      </c>
      <c r="L18" s="417">
        <f>SUMIFS(Adjustments!$G:$G,Adjustments!$H:$H,"3",Adjustments!$I:$I,'Schedule 3 Adjustments'!$K$13,Adjustments!$J:$J,"1a")</f>
        <v>-2074</v>
      </c>
      <c r="M18" s="419">
        <f>SUM(K18:L18)</f>
        <v>7711</v>
      </c>
      <c r="N18" s="222"/>
      <c r="O18" s="354"/>
      <c r="P18" s="87"/>
      <c r="Q18" s="350"/>
      <c r="R18" s="354"/>
      <c r="S18" s="87"/>
      <c r="T18" s="354"/>
      <c r="U18" s="87"/>
      <c r="V18" s="350"/>
      <c r="W18" s="354"/>
      <c r="X18" s="87"/>
      <c r="Y18" s="354"/>
      <c r="Z18" s="87"/>
      <c r="AA18" s="354"/>
      <c r="AB18" s="87"/>
      <c r="AC18" s="354"/>
    </row>
    <row r="19" spans="1:29" x14ac:dyDescent="0.35">
      <c r="A19" s="223" t="s">
        <v>447</v>
      </c>
      <c r="B19" s="224"/>
      <c r="C19" s="224"/>
      <c r="D19" s="224"/>
      <c r="E19" s="224"/>
      <c r="F19" s="225"/>
      <c r="G19" s="226"/>
      <c r="H19" s="226"/>
      <c r="I19" s="227"/>
      <c r="J19" s="469" t="s">
        <v>97</v>
      </c>
      <c r="K19" s="415">
        <f>'As-Filed Schedule 3'!K19</f>
        <v>0</v>
      </c>
      <c r="L19" s="417">
        <f>SUMIFS(Adjustments!$G:$G,Adjustments!$H:$H,"3",Adjustments!$I:$I,'Schedule 3 Adjustments'!$K$13,Adjustments!$J:$J,"1b")</f>
        <v>5227</v>
      </c>
      <c r="M19" s="419">
        <f>SUM(K19:L19)</f>
        <v>5227</v>
      </c>
      <c r="N19" s="229"/>
      <c r="O19" s="355"/>
      <c r="P19" s="88"/>
      <c r="Q19" s="351"/>
      <c r="R19" s="355"/>
      <c r="S19" s="88"/>
      <c r="T19" s="355"/>
      <c r="U19" s="88"/>
      <c r="V19" s="351"/>
      <c r="W19" s="355"/>
      <c r="X19" s="88"/>
      <c r="Y19" s="355"/>
      <c r="Z19" s="88"/>
      <c r="AA19" s="355"/>
      <c r="AB19" s="88"/>
      <c r="AC19" s="355"/>
    </row>
    <row r="20" spans="1:29" x14ac:dyDescent="0.35">
      <c r="A20" s="230" t="s">
        <v>448</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42" t="str">
        <f>'As-Filed Schedule 3'!B22:C22</f>
        <v>Withdrawal Management</v>
      </c>
      <c r="C22" s="543"/>
      <c r="D22" s="365" t="str">
        <f>'As-Filed Schedule 3'!D22</f>
        <v>Withdrawal Mgmt</v>
      </c>
      <c r="E22" s="365">
        <f>'As-Filed Schedule 3'!E22</f>
        <v>0</v>
      </c>
      <c r="F22" s="364">
        <f>'As-Filed Schedule 3'!F22</f>
        <v>15</v>
      </c>
      <c r="G22" s="363">
        <f>'As-Filed Schedule 3'!G22</f>
        <v>0</v>
      </c>
      <c r="H22" s="363">
        <f>'As-Filed Schedule 3'!H22</f>
        <v>0</v>
      </c>
      <c r="I22" s="139">
        <f>IF(B22=0,"",IF(AND(G22=0,H22=0),365,IF(AND(G22&gt;0,H22=0),$C$6-G22+1,IF(AND(G22=0,H22&gt;0),H22-($C$6-365),H22-G22+1))))</f>
        <v>365</v>
      </c>
      <c r="J22" s="98"/>
      <c r="K22" s="414">
        <f>SUM(K23:K25)</f>
        <v>3124</v>
      </c>
      <c r="L22" s="416">
        <f>SUM(L23:L25)</f>
        <v>381</v>
      </c>
      <c r="M22" s="418">
        <f>SUM(M23:M25)</f>
        <v>3505</v>
      </c>
      <c r="N22" s="91">
        <f>IF(K22&gt;0,K22/(F22*I22),"")</f>
        <v>0.57059360730593611</v>
      </c>
      <c r="O22" s="346">
        <f>IF(M22&gt;0,M22/(F22*I22),"")</f>
        <v>0.64018264840182648</v>
      </c>
      <c r="P22" s="126">
        <f>'As-Filed Schedule 3'!M22</f>
        <v>3219822</v>
      </c>
      <c r="Q22" s="349">
        <f>SUMIFS(Adjustments!$G:$G,Adjustments!$H:$H,"3",Adjustments!$I:$I,'Schedule 3 Adjustments'!$P$13,Adjustments!$J:$J,$A22)</f>
        <v>490532.73185413139</v>
      </c>
      <c r="R22" s="353">
        <f>SUM(P22:Q22)</f>
        <v>3710354.7318541314</v>
      </c>
      <c r="S22" s="85">
        <f>IFERROR(P22/K22,"")</f>
        <v>1030.6728553137004</v>
      </c>
      <c r="T22" s="357">
        <f>IFERROR(R22/M22,"")</f>
        <v>1058.5890818414071</v>
      </c>
      <c r="U22" s="126">
        <f>'As-Filed Schedule 3'!O22</f>
        <v>371438</v>
      </c>
      <c r="V22" s="349">
        <f>SUMIFS(Adjustments!$G:$G,Adjustments!$H:$H,"3",Adjustments!$I:$I,'Schedule 3 Adjustments'!$U$13,Adjustments!$J:$J,$A22)</f>
        <v>384829.65443505091</v>
      </c>
      <c r="W22" s="353">
        <f>SUM(U22:V22)</f>
        <v>756267.65443505091</v>
      </c>
      <c r="X22" s="85">
        <f>IFERROR(U22/K22,"")</f>
        <v>118.89820742637644</v>
      </c>
      <c r="Y22" s="85">
        <f>IFERROR(W22/M22,"")</f>
        <v>215.76823236378058</v>
      </c>
      <c r="Z22" s="86">
        <f>IF(P22=0,"",P22-U22)</f>
        <v>2848384</v>
      </c>
      <c r="AA22" s="359">
        <f>IF(R22=0,"",R22-W22)</f>
        <v>2954087.0774190808</v>
      </c>
      <c r="AB22" s="85">
        <f>IFERROR(Z22/K22,"")</f>
        <v>911.77464788732391</v>
      </c>
      <c r="AC22" s="357">
        <f>IFERROR(AA22/M22,"")</f>
        <v>842.82084947762644</v>
      </c>
    </row>
    <row r="23" spans="1:29" x14ac:dyDescent="0.35">
      <c r="A23" s="101" t="s">
        <v>446</v>
      </c>
      <c r="B23" s="87"/>
      <c r="C23" s="87"/>
      <c r="D23" s="87"/>
      <c r="E23" s="87"/>
      <c r="F23" s="132"/>
      <c r="G23" s="135"/>
      <c r="H23" s="135"/>
      <c r="I23" s="104"/>
      <c r="J23" s="469" t="s">
        <v>49</v>
      </c>
      <c r="K23" s="415">
        <f>'As-Filed Schedule 3'!K23</f>
        <v>3124</v>
      </c>
      <c r="L23" s="417">
        <f>SUMIFS(Adjustments!$G:$G,Adjustments!$H:$H,"3",Adjustments!$I:$I,'Schedule 3 Adjustments'!$K$13,Adjustments!$J:$J,"2a")</f>
        <v>381</v>
      </c>
      <c r="M23" s="419">
        <f>SUM(K23:L23)</f>
        <v>3505</v>
      </c>
      <c r="N23" s="89"/>
      <c r="O23" s="354"/>
      <c r="P23" s="87"/>
      <c r="Q23" s="350"/>
      <c r="R23" s="354"/>
      <c r="S23" s="87"/>
      <c r="T23" s="354"/>
      <c r="U23" s="87"/>
      <c r="V23" s="350"/>
      <c r="W23" s="354"/>
      <c r="X23" s="87"/>
      <c r="Y23" s="354"/>
      <c r="Z23" s="87"/>
      <c r="AA23" s="354"/>
      <c r="AB23" s="87"/>
      <c r="AC23" s="354"/>
    </row>
    <row r="24" spans="1:29" x14ac:dyDescent="0.35">
      <c r="A24" s="102" t="s">
        <v>447</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448</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42" t="str">
        <f>'As-Filed Schedule 3'!B27:C27</f>
        <v>West Springs Hospital</v>
      </c>
      <c r="C27" s="543"/>
      <c r="D27" s="365" t="str">
        <f>'As-Filed Schedule 3'!D27</f>
        <v>Inpatient Hospital</v>
      </c>
      <c r="E27" s="365">
        <f>'As-Filed Schedule 3'!E27</f>
        <v>0</v>
      </c>
      <c r="F27" s="364">
        <f>'As-Filed Schedule 3'!F27</f>
        <v>48</v>
      </c>
      <c r="G27" s="363">
        <f>'As-Filed Schedule 3'!G27</f>
        <v>0</v>
      </c>
      <c r="H27" s="363">
        <f>'As-Filed Schedule 3'!H27</f>
        <v>0</v>
      </c>
      <c r="I27" s="139">
        <f>IF(B27=0,"",IF(AND(G27=0,H27=0),365,IF(AND(G27&gt;0,H27=0),$C$6-G27+1,IF(AND(G27=0,H27&gt;0),H27-($C$6-365),H27-G27+1))))</f>
        <v>365</v>
      </c>
      <c r="J27" s="98"/>
      <c r="K27" s="414">
        <f>SUM(K28:K30)</f>
        <v>10498</v>
      </c>
      <c r="L27" s="416">
        <f>SUM(L28:L30)</f>
        <v>1</v>
      </c>
      <c r="M27" s="418">
        <f>SUM(M28:M30)</f>
        <v>10499</v>
      </c>
      <c r="N27" s="91">
        <f>IF(K27&gt;0,K27/(F27*I27),"")</f>
        <v>0.59920091324200908</v>
      </c>
      <c r="O27" s="346">
        <f>IF(M27&gt;0,M27/(F27*I27),"")</f>
        <v>0.59925799086757991</v>
      </c>
      <c r="P27" s="126">
        <f>'As-Filed Schedule 3'!M27</f>
        <v>24592783</v>
      </c>
      <c r="Q27" s="349">
        <f>SUMIFS(Adjustments!$G:$G,Adjustments!$H:$H,"3",Adjustments!$I:$I,'Schedule 3 Adjustments'!$P$13,Adjustments!$J:$J,'As-Filed Schedule 3'!A27)</f>
        <v>3737724.1363088996</v>
      </c>
      <c r="R27" s="353">
        <f>SUM(P27:Q27)</f>
        <v>28330507.136308901</v>
      </c>
      <c r="S27" s="85">
        <f>IFERROR(P27/K27,"")</f>
        <v>2342.6160220994475</v>
      </c>
      <c r="T27" s="357">
        <f>IFERROR(R27/M27,"")</f>
        <v>2698.4005273177349</v>
      </c>
      <c r="U27" s="126">
        <f>'As-Filed Schedule 3'!O27</f>
        <v>2056778</v>
      </c>
      <c r="V27" s="349">
        <f>SUMIFS(Adjustments!$G:$G,Adjustments!$H:$H,"3",Adjustments!$I:$I,'Schedule 3 Adjustments'!$U$13,Adjustments!$J:$J,$A27)</f>
        <v>1399928</v>
      </c>
      <c r="W27" s="353">
        <f>SUM(U27:V27)</f>
        <v>3456706</v>
      </c>
      <c r="X27" s="85">
        <f>IFERROR(U27/K27,"")</f>
        <v>195.92093732139455</v>
      </c>
      <c r="Y27" s="85">
        <f>IFERROR(W27/M27,"")</f>
        <v>329.2414515668159</v>
      </c>
      <c r="Z27" s="86">
        <f>IF(P27=0,"",P27-U27)</f>
        <v>22536005</v>
      </c>
      <c r="AA27" s="359">
        <f>IF(R27=0,"",R27-W27)</f>
        <v>24873801.136308901</v>
      </c>
      <c r="AB27" s="85">
        <f>IFERROR(Z27/K27,"")</f>
        <v>2146.6950847780531</v>
      </c>
      <c r="AC27" s="357">
        <f>IFERROR(AA27/M27,"")</f>
        <v>2369.1590757509193</v>
      </c>
    </row>
    <row r="28" spans="1:29" x14ac:dyDescent="0.35">
      <c r="A28" s="101" t="s">
        <v>446</v>
      </c>
      <c r="B28" s="87"/>
      <c r="C28" s="87"/>
      <c r="D28" s="87"/>
      <c r="E28" s="87"/>
      <c r="F28" s="132"/>
      <c r="G28" s="135"/>
      <c r="H28" s="135"/>
      <c r="I28" s="104"/>
      <c r="J28" s="369">
        <f>'As-Filed Schedule 3'!J28</f>
        <v>0</v>
      </c>
      <c r="K28" s="415">
        <f>'As-Filed Schedule 3'!K28</f>
        <v>10498</v>
      </c>
      <c r="L28" s="417">
        <f>SUMIFS(Adjustments!$G:$G,Adjustments!$H:$H,"3",Adjustments!$I:$I,'Schedule 3 Adjustments'!$K$13,Adjustments!$J:$J,"3a")</f>
        <v>1</v>
      </c>
      <c r="M28" s="419">
        <f>SUM(K28:L28)</f>
        <v>10499</v>
      </c>
      <c r="N28" s="89"/>
      <c r="O28" s="354"/>
      <c r="P28" s="87"/>
      <c r="Q28" s="350"/>
      <c r="R28" s="354"/>
      <c r="S28" s="87"/>
      <c r="T28" s="354"/>
      <c r="U28" s="87"/>
      <c r="V28" s="350"/>
      <c r="W28" s="354"/>
      <c r="X28" s="87"/>
      <c r="Y28" s="354"/>
      <c r="Z28" s="87"/>
      <c r="AA28" s="354"/>
      <c r="AB28" s="87"/>
      <c r="AC28" s="354"/>
    </row>
    <row r="29" spans="1:29" x14ac:dyDescent="0.35">
      <c r="A29" s="102" t="s">
        <v>447</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448</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42">
        <f>'As-Filed Schedule 3'!B32:C32</f>
        <v>0</v>
      </c>
      <c r="C32" s="543"/>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446</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447</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448</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42">
        <f>'As-Filed Schedule 3'!B37:C37</f>
        <v>0</v>
      </c>
      <c r="C37" s="543"/>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446</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447</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448</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42">
        <f>'As-Filed Schedule 3'!B42:C42</f>
        <v>0</v>
      </c>
      <c r="C42" s="543"/>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446</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447</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448</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42">
        <f>'As-Filed Schedule 3'!B47:C47</f>
        <v>0</v>
      </c>
      <c r="C47" s="543"/>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446</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447</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448</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42">
        <f>'As-Filed Schedule 3'!B52:C52</f>
        <v>0</v>
      </c>
      <c r="C52" s="543"/>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446</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447</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448</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42">
        <f>'As-Filed Schedule 3'!B57:C57</f>
        <v>0</v>
      </c>
      <c r="C57" s="543"/>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446</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447</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448</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42">
        <f>'As-Filed Schedule 3'!B62:C62</f>
        <v>0</v>
      </c>
      <c r="C62" s="543"/>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446</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447</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448</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42">
        <f>'As-Filed Schedule 3'!B67:C67</f>
        <v>0</v>
      </c>
      <c r="C67" s="543"/>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446</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447</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448</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42">
        <f>'As-Filed Schedule 3'!B72:C72</f>
        <v>0</v>
      </c>
      <c r="C72" s="543"/>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446</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447</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448</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42">
        <f>'As-Filed Schedule 3'!B77:C77</f>
        <v>0</v>
      </c>
      <c r="C77" s="543"/>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446</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447</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448</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42">
        <f>'As-Filed Schedule 3'!B82:C82</f>
        <v>0</v>
      </c>
      <c r="C82" s="543"/>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446</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447</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448</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42">
        <f>'As-Filed Schedule 3'!B87:C87</f>
        <v>0</v>
      </c>
      <c r="C87" s="543"/>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446</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447</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448</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42">
        <f>'As-Filed Schedule 3'!B92:C92</f>
        <v>0</v>
      </c>
      <c r="C92" s="543"/>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446</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447</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448</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42">
        <f>'As-Filed Schedule 3'!B97:C97</f>
        <v>0</v>
      </c>
      <c r="C97" s="543"/>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446</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447</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448</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42">
        <f>'As-Filed Schedule 3'!B102:C102</f>
        <v>0</v>
      </c>
      <c r="C102" s="543"/>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446</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447</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448</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42">
        <f>'As-Filed Schedule 3'!B107:C107</f>
        <v>0</v>
      </c>
      <c r="C107" s="543"/>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446</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447</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448</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42">
        <f>'As-Filed Schedule 3'!B112:C112</f>
        <v>0</v>
      </c>
      <c r="C112" s="543"/>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446</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447</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448</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42">
        <f>'As-Filed Schedule 3'!B117:C117</f>
        <v>0</v>
      </c>
      <c r="C117" s="543"/>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446</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447</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448</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42">
        <f>'As-Filed Schedule 3'!B122:C122</f>
        <v>0</v>
      </c>
      <c r="C122" s="543"/>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446</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447</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448</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42">
        <f>'As-Filed Schedule 3'!B127:C127</f>
        <v>0</v>
      </c>
      <c r="C127" s="543"/>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446</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447</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448</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42">
        <f>'As-Filed Schedule 3'!B132:C132</f>
        <v>0</v>
      </c>
      <c r="C132" s="543"/>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446</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447</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448</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42">
        <f>'As-Filed Schedule 3'!B137:C137</f>
        <v>0</v>
      </c>
      <c r="C137" s="543"/>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446</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447</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448</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42">
        <f>'As-Filed Schedule 3'!B142:C142</f>
        <v>0</v>
      </c>
      <c r="C142" s="543"/>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446</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447</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448</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42">
        <f>'As-Filed Schedule 3'!B147:C147</f>
        <v>0</v>
      </c>
      <c r="C147" s="543"/>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446</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447</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448</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42">
        <f>'As-Filed Schedule 3'!B152:C152</f>
        <v>0</v>
      </c>
      <c r="C152" s="543"/>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446</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447</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448</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42">
        <f>'As-Filed Schedule 3'!B157:C157</f>
        <v>0</v>
      </c>
      <c r="C157" s="543"/>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446</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447</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448</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42">
        <f>'As-Filed Schedule 3'!B162:C162</f>
        <v>0</v>
      </c>
      <c r="C162" s="543"/>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446</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447</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448</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41" t="s">
        <v>173</v>
      </c>
      <c r="C167" s="541"/>
      <c r="D167" s="541"/>
      <c r="E167" s="541"/>
      <c r="F167" s="27">
        <f>F162+F157+F152+F147+F142+F137+F132+F127+F122+F117+F112+F107+F102+F97+F92+F87+F82+F77+F72+F67+F62+F57+F52+F47+F42+F37+F32+F27+F22+F17</f>
        <v>95</v>
      </c>
      <c r="G167" s="32"/>
      <c r="H167" s="32"/>
      <c r="I167" s="32"/>
      <c r="J167" s="32"/>
      <c r="K167" s="27">
        <f>K162+K157+K152+K147+K142+K137+K132+K127+K122+K117+K112+K107+K102+K97+K92+K87+K82+K77+K72+K67+K62+K57+K52+K47+K42+K37+K32+K27+K22+K17</f>
        <v>23407</v>
      </c>
      <c r="L167" s="345">
        <f>L162+L157+L152+L147+L142+L137+L132+L127+L122+L117+L112+L107+L102+L97+L92+L87+L82+L77+L72+L67+L62+L57+L52+L47+L42+L37+L32+L27+L22+L17</f>
        <v>3535</v>
      </c>
      <c r="M167" s="339">
        <f>M162+M157+M152+M147+M142+M137+M132+M127+M122+M117+M112+M107+M102+M97+M92+M87+M82+M77+M72+M67+M62+M57+M52+M47+M42+M37+M32+M27+M22+M17</f>
        <v>26942</v>
      </c>
      <c r="N167" s="29">
        <f>IF(K167&gt;0,K167/(F167*365),"")</f>
        <v>0.67503965392934395</v>
      </c>
      <c r="O167" s="348">
        <f>IF(M167&gt;0,M167/(F167*365),"")</f>
        <v>0.77698630136986302</v>
      </c>
      <c r="P167" s="27">
        <f>P162+P157+P152+P147+P142+P137+P132+P127+P122+P117+P112+P107+P102+P97+P92+P87+P82+P77+P72+P67+P62+P57+P52+P47+P42+P37+P32+P27+P22+P17</f>
        <v>33565050</v>
      </c>
      <c r="Q167" s="345">
        <f>Q162+Q157+Q152+Q147+Q142+Q137+Q132+Q127+Q122+Q117+Q112+Q107+Q102+Q97+Q92+Q87+Q82+Q77+Q72+Q67+Q62+Q57+Q52+Q47+Q42+Q37+Q32+Q27+Q22+Q17</f>
        <v>5104629.0901959995</v>
      </c>
      <c r="R167" s="339">
        <f>R162+R157+R152+R147+R142+R137+R132+R127+R122+R117+R112+R107+R102+R97+R92+R87+R82+R77+R72+R67+R62+R57+R52+R47+R42+R37+R32+R27+R22+R17</f>
        <v>38669679.090196006</v>
      </c>
      <c r="S167" s="17">
        <f>IFERROR(P167/K167,"")</f>
        <v>1433.9748793096082</v>
      </c>
      <c r="T167" s="358">
        <f>IFERROR(R167/M167,"")</f>
        <v>1435.2935598766242</v>
      </c>
      <c r="U167" s="27">
        <f>U162+U157+U152+U147+U142+U137+U132+U127+U122+U117+U112+U107+U102+U97+U92+U87+U82+U77+U72+U67+U62+U57+U52+U47+U42+U37+U32+U27+U22+U17</f>
        <v>3584981</v>
      </c>
      <c r="V167" s="345">
        <f>V162+V157+V152+V147+V142+V137+V132+V127+V122+V117+V112+V107+V102+V97+V92+V87+V82+V77+V72+V67+V62+V57+V52+V47+V42+V37+V32+V27+V22+V17</f>
        <v>1308163.4774202162</v>
      </c>
      <c r="W167" s="339">
        <f>W162+W157+W152+W147+W142+W137+W132+W127+W122+W117+W112+W107+W102+W97+W92+W87+W82+W77+W72+W67+W62+W57+W52+W47+W42+W37+W32+W27+W22+W17</f>
        <v>4893144.4774202164</v>
      </c>
      <c r="X167" s="17">
        <f t="shared" ref="X167" si="0">IFERROR(U167/K167,"")</f>
        <v>153.1584995941385</v>
      </c>
      <c r="Y167" s="358">
        <f>IFERROR(W167/M167,"")</f>
        <v>181.61771499592518</v>
      </c>
      <c r="Z167" s="30">
        <f t="shared" ref="Z167" si="1">IF(P167=0,"",P167-U167)</f>
        <v>29980069</v>
      </c>
      <c r="AA167" s="360">
        <f>IF(R167=0,"",R167-W167)</f>
        <v>33776534.612775788</v>
      </c>
      <c r="AB167" s="17">
        <f>IFERROR(Z167/K167,"")</f>
        <v>1280.8163797154698</v>
      </c>
      <c r="AC167" s="358">
        <f>IFERROR(AA167/M167,"")</f>
        <v>1253.6758448806988</v>
      </c>
    </row>
    <row r="169" spans="1:29" x14ac:dyDescent="0.35">
      <c r="A169" s="19">
        <v>32</v>
      </c>
      <c r="O169" s="37" t="s">
        <v>198</v>
      </c>
      <c r="P169" s="39">
        <f>'As-Filed Schedule 1'!G91</f>
        <v>33565050.909999996</v>
      </c>
      <c r="Q169"/>
      <c r="R169" s="311">
        <f>'Schedule 1 Adjustments'!O92</f>
        <v>33557299.909999996</v>
      </c>
    </row>
    <row r="170" spans="1:29" x14ac:dyDescent="0.35">
      <c r="A170" s="19">
        <v>33</v>
      </c>
      <c r="O170" s="37" t="s">
        <v>185</v>
      </c>
      <c r="P170" s="39">
        <f>'As-Filed Schedule 1'!G93</f>
        <v>5010400</v>
      </c>
      <c r="Q170"/>
      <c r="R170" s="311">
        <f>'Schedule 1 Adjustments'!O94</f>
        <v>5112379.9422169961</v>
      </c>
    </row>
    <row r="171" spans="1:29" x14ac:dyDescent="0.35">
      <c r="A171" s="19">
        <v>34</v>
      </c>
      <c r="O171" s="37" t="s">
        <v>199</v>
      </c>
      <c r="P171" s="18">
        <f>SUM(P169:P170)</f>
        <v>38575450.909999996</v>
      </c>
      <c r="Q171"/>
      <c r="R171" s="312">
        <f>SUM(R169:R170)</f>
        <v>38669679.852216989</v>
      </c>
    </row>
    <row r="172" spans="1:29" x14ac:dyDescent="0.35">
      <c r="A172" s="19">
        <v>35</v>
      </c>
      <c r="O172" s="37" t="s">
        <v>10</v>
      </c>
      <c r="P172" s="18">
        <f>P167-P171</f>
        <v>-5010400.9099999964</v>
      </c>
      <c r="Q172"/>
      <c r="R172" s="312">
        <f>R167-R171</f>
        <v>-0.76202098280191422</v>
      </c>
    </row>
    <row r="173" spans="1:29" x14ac:dyDescent="0.35">
      <c r="P173" s="38" t="str">
        <f>IF(P172&lt;&gt;0,"ERROR","")</f>
        <v>ERROR</v>
      </c>
      <c r="Q173" s="352" t="str">
        <f>IF(Q172&lt;&gt;0,"ERROR","")</f>
        <v/>
      </c>
      <c r="R173" s="38" t="str">
        <f>IF(R172&lt;&gt;0,"ERROR","")</f>
        <v>ERROR</v>
      </c>
    </row>
    <row r="174" spans="1:29" ht="43.5" x14ac:dyDescent="0.35">
      <c r="J174" s="6" t="s">
        <v>40</v>
      </c>
      <c r="K174" s="6" t="s">
        <v>445</v>
      </c>
      <c r="L174" s="129" t="s">
        <v>657</v>
      </c>
      <c r="M174" s="6" t="s">
        <v>444</v>
      </c>
      <c r="N174" s="129" t="s">
        <v>658</v>
      </c>
      <c r="O174" s="78" t="s">
        <v>10</v>
      </c>
      <c r="P174" s="129" t="s">
        <v>659</v>
      </c>
      <c r="Q174"/>
    </row>
    <row r="175" spans="1:29" x14ac:dyDescent="0.35">
      <c r="A175" s="19">
        <v>36</v>
      </c>
      <c r="J175" s="93" t="s">
        <v>441</v>
      </c>
      <c r="K175" s="27">
        <f>SUMIF($J$17:$J$167,"H0010 3.2 WM",$K$17:$K$167)</f>
        <v>0</v>
      </c>
      <c r="L175" s="339">
        <f>SUMIF($J$17:$J$167,"H0010 3.2 WM",$M$17:$M$167)</f>
        <v>0</v>
      </c>
      <c r="M175" s="27">
        <f>'As-Filed Schedule 4'!D122+'As-Filed Schedule 4'!H122</f>
        <v>386</v>
      </c>
      <c r="N175" s="339">
        <f>'Adjusted Schedule 4'!D123+'Adjusted Schedule 4'!H123</f>
        <v>386</v>
      </c>
      <c r="O175" s="27">
        <f t="shared" ref="O175:P179" si="2">M175-K175</f>
        <v>386</v>
      </c>
      <c r="P175" s="339">
        <f t="shared" si="2"/>
        <v>386</v>
      </c>
      <c r="Q175"/>
      <c r="S175" s="92" t="str">
        <f>IF(O175&lt;&gt;0,"ERROR","")</f>
        <v>ERROR</v>
      </c>
      <c r="T175" s="92" t="str">
        <f>IF(Q175&lt;&gt;0,"ERROR","")</f>
        <v/>
      </c>
    </row>
    <row r="176" spans="1:29" x14ac:dyDescent="0.35">
      <c r="A176" s="19">
        <v>37</v>
      </c>
      <c r="J176" s="94" t="s">
        <v>442</v>
      </c>
      <c r="K176" s="27">
        <f>SUMIF($J$17:$J$167,"H0011 3.7 WM",$K$17:$K$167)</f>
        <v>0</v>
      </c>
      <c r="L176" s="339">
        <f>SUMIF($J$17:$J$167,"H0011 3.7 WM",$M$17:$M$167)</f>
        <v>0</v>
      </c>
      <c r="M176" s="27">
        <f>'As-Filed Schedule 4'!D123+'As-Filed Schedule 4'!H123</f>
        <v>3736</v>
      </c>
      <c r="N176" s="339">
        <f>'Adjusted Schedule 4'!D124+'Adjusted Schedule 4'!H124</f>
        <v>3736</v>
      </c>
      <c r="O176" s="27">
        <f t="shared" si="2"/>
        <v>3736</v>
      </c>
      <c r="P176" s="339">
        <f t="shared" si="2"/>
        <v>3736</v>
      </c>
      <c r="Q176"/>
      <c r="S176" s="92" t="str">
        <f>IF(O176&lt;&gt;0,"ERROR","")</f>
        <v>ERROR</v>
      </c>
      <c r="T176" s="92" t="str">
        <f t="shared" ref="T176:T179" si="3">IF(Q176&lt;&gt;0,"ERROR","")</f>
        <v/>
      </c>
    </row>
    <row r="177" spans="1:20" x14ac:dyDescent="0.35">
      <c r="A177" s="19">
        <v>38</v>
      </c>
      <c r="C177" s="232" t="s">
        <v>475</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467</v>
      </c>
      <c r="D178" s="235"/>
      <c r="E178" s="235" t="s">
        <v>471</v>
      </c>
      <c r="F178" s="100"/>
      <c r="G178" s="146"/>
      <c r="J178" s="94" t="s">
        <v>52</v>
      </c>
      <c r="K178" s="27">
        <f t="shared" si="4"/>
        <v>0</v>
      </c>
      <c r="L178" s="339">
        <f>SUMIF($J$17:$J$167,#REF!,$M$17:$M$167)</f>
        <v>0</v>
      </c>
      <c r="M178" s="27">
        <f>'As-Filed Schedule 4'!D126+'As-Filed Schedule 4'!H126</f>
        <v>0</v>
      </c>
      <c r="N178" s="339">
        <f>'Adjusted Schedule 4'!D127+'Adjusted Schedule 4'!H127</f>
        <v>0</v>
      </c>
      <c r="O178" s="27">
        <f t="shared" si="2"/>
        <v>0</v>
      </c>
      <c r="P178" s="339">
        <f t="shared" si="2"/>
        <v>0</v>
      </c>
      <c r="Q178"/>
      <c r="S178" s="92" t="str">
        <f>IF(O178&lt;&gt;0,"ERROR","")</f>
        <v/>
      </c>
      <c r="T178" s="92" t="str">
        <f t="shared" si="3"/>
        <v/>
      </c>
    </row>
    <row r="179" spans="1:20" x14ac:dyDescent="0.35">
      <c r="A179" s="19">
        <v>40</v>
      </c>
      <c r="C179" s="234" t="s">
        <v>476</v>
      </c>
      <c r="D179" s="235"/>
      <c r="E179" s="235" t="s">
        <v>473</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468</v>
      </c>
      <c r="D180" s="235"/>
      <c r="E180" s="235" t="s">
        <v>472</v>
      </c>
      <c r="F180" s="100"/>
      <c r="G180" s="146"/>
      <c r="J180" s="95" t="s">
        <v>439</v>
      </c>
      <c r="K180" s="106">
        <f t="shared" si="4"/>
        <v>0</v>
      </c>
      <c r="L180" s="340">
        <f>SUMIF($J$17:$J$167,#REF!,$M$17:$M$167)</f>
        <v>0</v>
      </c>
      <c r="M180" s="89"/>
      <c r="N180" s="354"/>
      <c r="O180" s="87"/>
      <c r="P180" s="354"/>
      <c r="Q180"/>
    </row>
    <row r="181" spans="1:20" x14ac:dyDescent="0.35">
      <c r="A181" s="19">
        <v>42</v>
      </c>
      <c r="C181" s="234" t="s">
        <v>469</v>
      </c>
      <c r="D181" s="235"/>
      <c r="E181" s="235" t="s">
        <v>470</v>
      </c>
      <c r="F181" s="100"/>
      <c r="G181" s="146"/>
      <c r="J181" s="95" t="s">
        <v>443</v>
      </c>
      <c r="K181" s="108">
        <f t="shared" si="4"/>
        <v>0</v>
      </c>
      <c r="L181" s="341">
        <f>SUMIF($J$17:$J$167,#REF!,$M$17:$M$167)</f>
        <v>0</v>
      </c>
      <c r="M181" s="90"/>
      <c r="N181" s="355"/>
      <c r="O181" s="88"/>
      <c r="P181" s="355"/>
      <c r="Q181"/>
    </row>
    <row r="182" spans="1:20" x14ac:dyDescent="0.35">
      <c r="A182" s="19">
        <v>43</v>
      </c>
      <c r="C182" s="236" t="s">
        <v>477</v>
      </c>
      <c r="D182" s="237"/>
      <c r="E182" s="237" t="s">
        <v>474</v>
      </c>
      <c r="F182" s="238"/>
      <c r="G182" s="147"/>
      <c r="J182" s="95" t="s">
        <v>438</v>
      </c>
      <c r="K182" s="108">
        <f t="shared" si="4"/>
        <v>0</v>
      </c>
      <c r="L182" s="341">
        <f>SUMIF($J$17:$J$167,#REF!,$M$17:$M$167)</f>
        <v>0</v>
      </c>
      <c r="M182" s="109"/>
      <c r="N182" s="356"/>
      <c r="O182" s="110"/>
      <c r="P182" s="356"/>
      <c r="Q182"/>
    </row>
    <row r="183" spans="1:20" x14ac:dyDescent="0.35">
      <c r="A183" s="19">
        <v>44</v>
      </c>
      <c r="C183" s="100"/>
      <c r="D183" s="100"/>
      <c r="E183" s="100"/>
      <c r="F183" s="100"/>
      <c r="J183" s="96" t="s">
        <v>437</v>
      </c>
      <c r="K183" s="107">
        <f t="shared" si="4"/>
        <v>0</v>
      </c>
      <c r="L183" s="342">
        <f>SUMIF($J$17:$J$167,#REF!,$M$17:$M$167)</f>
        <v>0</v>
      </c>
      <c r="M183" s="27">
        <f>'As-Filed Schedule 4'!D180+'As-Filed Schedule 4'!H180</f>
        <v>9375</v>
      </c>
      <c r="N183" s="339">
        <f>'Adjusted Schedule 4'!E181+'Adjusted Schedule 4'!I181</f>
        <v>0</v>
      </c>
      <c r="O183" s="27">
        <f>M183-SUM(K180:K183)</f>
        <v>9375</v>
      </c>
      <c r="P183" s="339">
        <f>N183-SUM(L180:L183)</f>
        <v>0</v>
      </c>
      <c r="Q183"/>
      <c r="S183" s="92" t="str">
        <f>IF(O183&lt;&gt;0,"ERROR","")</f>
        <v>ERROR</v>
      </c>
      <c r="T183" s="92" t="str">
        <f t="shared" ref="T183" si="5">IF(Q183&lt;&gt;0,"ERROR","")</f>
        <v/>
      </c>
    </row>
    <row r="184" spans="1:20" x14ac:dyDescent="0.35">
      <c r="A184" s="19">
        <v>45</v>
      </c>
      <c r="C184" s="100"/>
      <c r="D184" s="100"/>
      <c r="E184" s="100"/>
      <c r="F184" s="100"/>
      <c r="J184" s="94" t="s">
        <v>480</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customProperties>
    <customPr name="OrphanNamesChecked" r:id="rId4"/>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773</v>
      </c>
      <c r="D1" s="48"/>
      <c r="E1" s="261"/>
      <c r="F1" s="48"/>
      <c r="G1" s="49"/>
      <c r="H1" s="49"/>
      <c r="J1" s="50"/>
      <c r="L1" s="50"/>
    </row>
    <row r="2" spans="1:20" ht="21" x14ac:dyDescent="0.5">
      <c r="A2" s="2" t="s">
        <v>771</v>
      </c>
      <c r="D2" s="54"/>
      <c r="E2" s="385"/>
      <c r="F2" s="54"/>
      <c r="G2" s="49"/>
      <c r="H2" s="49"/>
      <c r="J2" s="50"/>
      <c r="L2" s="50"/>
    </row>
    <row r="3" spans="1:20" ht="25" customHeight="1" x14ac:dyDescent="0.5">
      <c r="A3" s="5" t="s">
        <v>930</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53"/>
      <c r="S4" s="589"/>
      <c r="T4" s="553"/>
    </row>
    <row r="5" spans="1:20" ht="15" customHeight="1" x14ac:dyDescent="0.35">
      <c r="A5" s="1" t="s">
        <v>772</v>
      </c>
      <c r="C5" s="421" t="str">
        <f>Results!$C$6</f>
        <v>Mind Springs Health</v>
      </c>
      <c r="D5" s="55"/>
      <c r="E5" s="386"/>
      <c r="F5" s="55"/>
      <c r="G5" s="53"/>
      <c r="H5" s="53"/>
      <c r="I5" s="53"/>
      <c r="J5" s="50"/>
      <c r="L5" s="50"/>
      <c r="R5" s="553"/>
      <c r="S5" s="589"/>
      <c r="T5" s="553"/>
    </row>
    <row r="6" spans="1:20" x14ac:dyDescent="0.35">
      <c r="A6" s="1" t="s">
        <v>0</v>
      </c>
      <c r="C6" s="35">
        <f>Results!$C$7</f>
        <v>45473</v>
      </c>
      <c r="D6" s="35"/>
      <c r="E6" s="320"/>
      <c r="F6" s="60"/>
      <c r="G6" s="35"/>
      <c r="H6" s="35"/>
      <c r="I6" s="60"/>
      <c r="R6" s="553"/>
      <c r="S6" s="589"/>
      <c r="T6" s="553"/>
    </row>
    <row r="7" spans="1:20" x14ac:dyDescent="0.35">
      <c r="A7" s="1"/>
      <c r="C7" s="35"/>
      <c r="D7" s="23">
        <v>1</v>
      </c>
      <c r="E7" s="256" t="s">
        <v>551</v>
      </c>
      <c r="F7" s="257" t="s">
        <v>552</v>
      </c>
      <c r="G7" s="35"/>
      <c r="H7" s="23">
        <v>3</v>
      </c>
      <c r="I7" s="257" t="s">
        <v>560</v>
      </c>
      <c r="L7" s="205"/>
      <c r="M7" s="175">
        <v>6</v>
      </c>
      <c r="N7" s="256" t="s">
        <v>569</v>
      </c>
      <c r="O7" s="257" t="s">
        <v>570</v>
      </c>
      <c r="P7" s="205"/>
      <c r="Q7" s="175">
        <v>8</v>
      </c>
      <c r="R7" s="256" t="s">
        <v>615</v>
      </c>
      <c r="S7" s="257" t="s">
        <v>616</v>
      </c>
      <c r="T7" s="81"/>
    </row>
    <row r="8" spans="1:20" x14ac:dyDescent="0.35">
      <c r="A8" s="19">
        <v>1</v>
      </c>
      <c r="C8" s="46" t="s">
        <v>192</v>
      </c>
      <c r="D8" s="26">
        <f>'As-Filed Schedule 1'!F95</f>
        <v>21134360.25</v>
      </c>
      <c r="E8" s="407" t="s">
        <v>760</v>
      </c>
      <c r="F8" s="384">
        <f>'Schedule 1 Adjustments'!L96</f>
        <v>21287302.233702369</v>
      </c>
      <c r="G8" s="46" t="s">
        <v>196</v>
      </c>
      <c r="H8" s="31">
        <f>H197</f>
        <v>151578.33999999997</v>
      </c>
      <c r="I8" s="382">
        <f>I197</f>
        <v>151578.33999999997</v>
      </c>
      <c r="L8" s="427" t="s">
        <v>856</v>
      </c>
      <c r="M8" s="26">
        <f>'As-Filed Schedule 1'!F95</f>
        <v>21134360.25</v>
      </c>
      <c r="N8" s="407" t="s">
        <v>760</v>
      </c>
      <c r="O8" s="384">
        <f>'Schedule 1 Adjustments'!L96</f>
        <v>21287302.233702369</v>
      </c>
      <c r="P8" s="427" t="s">
        <v>857</v>
      </c>
      <c r="Q8" s="180">
        <f>'As-Filed Schedule 4'!K8</f>
        <v>0</v>
      </c>
      <c r="R8" s="388">
        <f>SUMIFS(Adjustments!$G:$G,Adjustments!$H:$H,"4",Adjustments!$I:$I,'Schedule 4 Adjustments'!$Q$7,Adjustments!$J:$J,'Schedule 4 Adjustments'!$A8)</f>
        <v>73843</v>
      </c>
      <c r="S8" s="310">
        <f>SUM(Q8:R8)</f>
        <v>73843</v>
      </c>
      <c r="T8" s="25"/>
    </row>
    <row r="9" spans="1:20" x14ac:dyDescent="0.35">
      <c r="A9" s="19">
        <v>2</v>
      </c>
      <c r="C9" s="46" t="s">
        <v>250</v>
      </c>
      <c r="D9" s="117">
        <f>'As-Filed Schedule 4'!D9</f>
        <v>0</v>
      </c>
      <c r="E9" s="388">
        <f>SUMIFS(Adjustments!$G:$G,Adjustments!$H:$H,"4",Adjustments!$I:$I,'Schedule 4 Adjustments'!$D$7,Adjustments!$J:$J,'Schedule 4 Adjustments'!$A9)</f>
        <v>0</v>
      </c>
      <c r="F9" s="310">
        <f>SUM(D9:E9)</f>
        <v>0</v>
      </c>
      <c r="G9" s="46" t="s">
        <v>197</v>
      </c>
      <c r="H9" s="31">
        <f>P197</f>
        <v>125369.76999999995</v>
      </c>
      <c r="I9" s="382">
        <f>Q197</f>
        <v>125369.76999999995</v>
      </c>
      <c r="L9" s="427" t="s">
        <v>858</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193</v>
      </c>
      <c r="D10" s="18">
        <f>D8-D9</f>
        <v>21134360.25</v>
      </c>
      <c r="E10" s="408" t="s">
        <v>760</v>
      </c>
      <c r="F10" s="312">
        <f>F8-F9</f>
        <v>21287302.233702369</v>
      </c>
      <c r="G10" s="42" t="s">
        <v>194</v>
      </c>
      <c r="H10" s="9">
        <f>SUM(H8:H9)</f>
        <v>276948.10999999993</v>
      </c>
      <c r="I10" s="379">
        <f>SUM(I8:I9)</f>
        <v>276948.10999999993</v>
      </c>
      <c r="L10" s="428" t="s">
        <v>859</v>
      </c>
      <c r="M10" s="185">
        <f>M8-M9</f>
        <v>21134360.25</v>
      </c>
      <c r="N10" s="408" t="s">
        <v>760</v>
      </c>
      <c r="O10" s="312">
        <f>O8-O9</f>
        <v>21287302.233702369</v>
      </c>
      <c r="P10" s="432"/>
      <c r="Q10" s="432"/>
      <c r="T10" s="45"/>
    </row>
    <row r="11" spans="1:20" x14ac:dyDescent="0.35">
      <c r="A11" s="1"/>
      <c r="L11" s="206"/>
      <c r="M11" s="206"/>
      <c r="N11" s="431"/>
      <c r="O11" s="431"/>
      <c r="P11" s="432"/>
      <c r="Q11" s="433"/>
      <c r="T11" s="45"/>
    </row>
    <row r="12" spans="1:20" ht="18.5" x14ac:dyDescent="0.45">
      <c r="A12" s="19">
        <v>4</v>
      </c>
      <c r="G12" s="44" t="s">
        <v>195</v>
      </c>
      <c r="H12" s="43">
        <f>D10/H10</f>
        <v>76.311624766097907</v>
      </c>
      <c r="I12" s="383">
        <f>F10/I10</f>
        <v>76.863865341786862</v>
      </c>
      <c r="L12" s="206"/>
      <c r="M12" s="206"/>
      <c r="N12" s="429"/>
      <c r="O12" s="447"/>
      <c r="P12" s="429" t="s">
        <v>860</v>
      </c>
      <c r="Q12" s="430" t="e">
        <f>M10/Q8</f>
        <v>#DIV/0!</v>
      </c>
      <c r="S12" s="430">
        <f>O10/S8</f>
        <v>288.27786294844969</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551</v>
      </c>
      <c r="F14" s="257" t="s">
        <v>552</v>
      </c>
      <c r="G14" s="23">
        <v>2</v>
      </c>
      <c r="H14" s="23">
        <v>3</v>
      </c>
      <c r="I14" s="257" t="s">
        <v>560</v>
      </c>
      <c r="J14" s="23">
        <v>4</v>
      </c>
      <c r="K14" s="257" t="s">
        <v>564</v>
      </c>
      <c r="L14" s="23">
        <v>5</v>
      </c>
      <c r="M14" s="256" t="s">
        <v>565</v>
      </c>
      <c r="N14" s="257" t="s">
        <v>566</v>
      </c>
      <c r="O14" s="23">
        <v>6</v>
      </c>
      <c r="P14" s="23">
        <v>7</v>
      </c>
      <c r="Q14" s="257" t="s">
        <v>574</v>
      </c>
      <c r="R14" s="23">
        <v>8</v>
      </c>
      <c r="S14" s="257" t="s">
        <v>616</v>
      </c>
    </row>
    <row r="15" spans="1:20" x14ac:dyDescent="0.35">
      <c r="A15" s="1"/>
      <c r="C15" s="35"/>
      <c r="D15" s="554" t="s">
        <v>190</v>
      </c>
      <c r="E15" s="555"/>
      <c r="F15" s="555"/>
      <c r="G15" s="555"/>
      <c r="H15" s="555"/>
      <c r="I15" s="555"/>
      <c r="J15" s="556"/>
      <c r="K15" s="381"/>
      <c r="L15" s="554" t="s">
        <v>191</v>
      </c>
      <c r="M15" s="555"/>
      <c r="N15" s="555"/>
      <c r="O15" s="555"/>
      <c r="P15" s="555"/>
      <c r="Q15" s="555"/>
      <c r="R15" s="556"/>
      <c r="S15" s="374"/>
    </row>
    <row r="16" spans="1:20" ht="43.5" x14ac:dyDescent="0.35">
      <c r="B16" s="208" t="s">
        <v>40</v>
      </c>
      <c r="C16" s="208" t="s">
        <v>11</v>
      </c>
      <c r="D16" s="208" t="s">
        <v>186</v>
      </c>
      <c r="E16" s="362" t="s">
        <v>660</v>
      </c>
      <c r="F16" s="409" t="s">
        <v>661</v>
      </c>
      <c r="G16" s="239" t="s">
        <v>482</v>
      </c>
      <c r="H16" s="239" t="s">
        <v>188</v>
      </c>
      <c r="I16" s="377" t="s">
        <v>662</v>
      </c>
      <c r="J16" s="240" t="s">
        <v>156</v>
      </c>
      <c r="K16" s="375" t="s">
        <v>663</v>
      </c>
      <c r="L16" s="240" t="s">
        <v>187</v>
      </c>
      <c r="M16" s="391" t="s">
        <v>664</v>
      </c>
      <c r="N16" s="375" t="s">
        <v>665</v>
      </c>
      <c r="O16" s="239" t="s">
        <v>483</v>
      </c>
      <c r="P16" s="16" t="s">
        <v>189</v>
      </c>
      <c r="Q16" s="377" t="s">
        <v>666</v>
      </c>
      <c r="R16" s="15" t="s">
        <v>157</v>
      </c>
      <c r="S16" s="375" t="s">
        <v>667</v>
      </c>
    </row>
    <row r="17" spans="1:19" s="22" customFormat="1" x14ac:dyDescent="0.35">
      <c r="A17" s="19">
        <v>5</v>
      </c>
      <c r="B17" s="424" t="s">
        <v>786</v>
      </c>
      <c r="C17" s="20" t="s">
        <v>787</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2</v>
      </c>
      <c r="E18" s="388">
        <f>SUMIFS(Adjustments!$G:$G,Adjustments!$H:$H,"4",Adjustments!$I:$I,'Schedule 4 Adjustments'!$D$14,Adjustments!$J:$J,'Schedule 4 Adjustments'!$A18)</f>
        <v>0</v>
      </c>
      <c r="F18" s="380">
        <f>SUM(D18:E18)</f>
        <v>2</v>
      </c>
      <c r="G18" s="410">
        <v>0</v>
      </c>
      <c r="H18" s="148">
        <f>D18*G18</f>
        <v>0</v>
      </c>
      <c r="I18" s="378">
        <f>F18*G18</f>
        <v>0</v>
      </c>
      <c r="J18" s="149">
        <f>G18*$H$12</f>
        <v>0</v>
      </c>
      <c r="K18" s="376">
        <f>G18*$I$12</f>
        <v>0</v>
      </c>
      <c r="L18" s="150">
        <f>'As-Filed Schedule 4'!H18</f>
        <v>9</v>
      </c>
      <c r="M18" s="388">
        <f>SUMIFS(Adjustments!$G:$G,Adjustments!$H:$H,"4",Adjustments!$I:$I,'Schedule 4 Adjustments'!$L$14,Adjustments!$J:$J,'Schedule 4 Adjustments'!$A18)</f>
        <v>0</v>
      </c>
      <c r="N18" s="380">
        <f>SUM(L18:M18)</f>
        <v>9</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318</v>
      </c>
      <c r="D21" s="116">
        <f>'As-Filed Schedule 4'!D21</f>
        <v>0</v>
      </c>
      <c r="E21" s="388">
        <f>SUMIFS(Adjustments!$G:$G,Adjustments!$H:$H,"4",Adjustments!$I:$I,'Schedule 4 Adjustments'!$D$14,Adjustments!$J:$J,'Schedule 4 Adjustments'!$A21)</f>
        <v>0</v>
      </c>
      <c r="F21" s="380">
        <f t="shared" si="0"/>
        <v>0</v>
      </c>
      <c r="G21" s="410">
        <v>0.44</v>
      </c>
      <c r="H21" s="47">
        <f t="shared" si="8"/>
        <v>0</v>
      </c>
      <c r="I21" s="378">
        <f t="shared" si="1"/>
        <v>0</v>
      </c>
      <c r="J21" s="21">
        <f t="shared" si="2"/>
        <v>33.577114897083078</v>
      </c>
      <c r="K21" s="376">
        <f t="shared" si="3"/>
        <v>33.820100750386217</v>
      </c>
      <c r="L21" s="150">
        <f>'As-Filed Schedule 4'!H21</f>
        <v>0</v>
      </c>
      <c r="M21" s="388">
        <f>SUMIFS(Adjustments!$G:$G,Adjustments!$H:$H,"4",Adjustments!$I:$I,'Schedule 4 Adjustments'!$L$14,Adjustments!$J:$J,'Schedule 4 Adjustments'!$A21)</f>
        <v>0</v>
      </c>
      <c r="N21" s="380">
        <f t="shared" si="4"/>
        <v>0</v>
      </c>
      <c r="O21" s="410">
        <v>0.39</v>
      </c>
      <c r="P21" s="47">
        <f t="shared" si="9"/>
        <v>0</v>
      </c>
      <c r="Q21" s="378">
        <f>N21*O21</f>
        <v>0</v>
      </c>
      <c r="R21" s="21">
        <f t="shared" si="6"/>
        <v>29.761533658778184</v>
      </c>
      <c r="S21" s="376">
        <f t="shared" si="7"/>
        <v>29.976907483296877</v>
      </c>
    </row>
    <row r="22" spans="1:19" s="22" customFormat="1" x14ac:dyDescent="0.35">
      <c r="A22" s="19">
        <v>10</v>
      </c>
      <c r="B22" s="19">
        <v>90791</v>
      </c>
      <c r="C22" s="20" t="s">
        <v>319</v>
      </c>
      <c r="D22" s="116">
        <f>'As-Filed Schedule 4'!D22</f>
        <v>1021</v>
      </c>
      <c r="E22" s="388">
        <f>SUMIFS(Adjustments!$G:$G,Adjustments!$H:$H,"4",Adjustments!$I:$I,'Schedule 4 Adjustments'!$D$14,Adjustments!$J:$J,'Schedule 4 Adjustments'!$A22)</f>
        <v>0</v>
      </c>
      <c r="F22" s="380">
        <f t="shared" si="0"/>
        <v>1021</v>
      </c>
      <c r="G22" s="410">
        <v>5.17</v>
      </c>
      <c r="H22" s="47">
        <f t="shared" si="8"/>
        <v>5278.57</v>
      </c>
      <c r="I22" s="378">
        <f t="shared" si="1"/>
        <v>5278.57</v>
      </c>
      <c r="J22" s="21">
        <f t="shared" si="2"/>
        <v>394.53110004072619</v>
      </c>
      <c r="K22" s="376">
        <f t="shared" si="3"/>
        <v>397.38618381703805</v>
      </c>
      <c r="L22" s="150">
        <f>'As-Filed Schedule 4'!H22</f>
        <v>471</v>
      </c>
      <c r="M22" s="388">
        <f>SUMIFS(Adjustments!$G:$G,Adjustments!$H:$H,"4",Adjustments!$I:$I,'Schedule 4 Adjustments'!$L$14,Adjustments!$J:$J,'Schedule 4 Adjustments'!$A22)</f>
        <v>0</v>
      </c>
      <c r="N22" s="380">
        <f t="shared" si="4"/>
        <v>471</v>
      </c>
      <c r="O22" s="410">
        <v>4.43</v>
      </c>
      <c r="P22" s="47">
        <f t="shared" si="9"/>
        <v>2086.5299999999997</v>
      </c>
      <c r="Q22" s="378">
        <f>N22*O22</f>
        <v>2086.5299999999997</v>
      </c>
      <c r="R22" s="21">
        <f t="shared" si="6"/>
        <v>338.06049771381373</v>
      </c>
      <c r="S22" s="376">
        <f t="shared" si="7"/>
        <v>340.5069234641158</v>
      </c>
    </row>
    <row r="23" spans="1:19" s="22" customFormat="1" x14ac:dyDescent="0.35">
      <c r="A23" s="19">
        <v>11</v>
      </c>
      <c r="B23" s="19">
        <v>90792</v>
      </c>
      <c r="C23" s="20" t="s">
        <v>320</v>
      </c>
      <c r="D23" s="116">
        <f>'As-Filed Schedule 4'!D23</f>
        <v>791</v>
      </c>
      <c r="E23" s="388">
        <f>SUMIFS(Adjustments!$G:$G,Adjustments!$H:$H,"4",Adjustments!$I:$I,'Schedule 4 Adjustments'!$D$14,Adjustments!$J:$J,'Schedule 4 Adjustments'!$A23)</f>
        <v>0</v>
      </c>
      <c r="F23" s="380">
        <f t="shared" si="0"/>
        <v>791</v>
      </c>
      <c r="G23" s="410">
        <v>5.82</v>
      </c>
      <c r="H23" s="47">
        <f t="shared" si="8"/>
        <v>4603.62</v>
      </c>
      <c r="I23" s="378">
        <f t="shared" si="1"/>
        <v>4603.62</v>
      </c>
      <c r="J23" s="21">
        <f t="shared" si="2"/>
        <v>444.13365613868984</v>
      </c>
      <c r="K23" s="376">
        <f t="shared" si="3"/>
        <v>447.34769628919958</v>
      </c>
      <c r="L23" s="150">
        <f>'As-Filed Schedule 4'!H23</f>
        <v>132</v>
      </c>
      <c r="M23" s="388">
        <f>SUMIFS(Adjustments!$G:$G,Adjustments!$H:$H,"4",Adjustments!$I:$I,'Schedule 4 Adjustments'!$L$14,Adjustments!$J:$J,'Schedule 4 Adjustments'!$A23)</f>
        <v>0</v>
      </c>
      <c r="N23" s="380">
        <f t="shared" si="4"/>
        <v>132</v>
      </c>
      <c r="O23" s="410">
        <v>5.08</v>
      </c>
      <c r="P23" s="47">
        <f t="shared" si="9"/>
        <v>670.56000000000006</v>
      </c>
      <c r="Q23" s="378">
        <f t="shared" si="5"/>
        <v>670.56000000000006</v>
      </c>
      <c r="R23" s="21">
        <f t="shared" si="6"/>
        <v>387.66305381177739</v>
      </c>
      <c r="S23" s="376">
        <f>O23*$I$12</f>
        <v>390.46843593627727</v>
      </c>
    </row>
    <row r="24" spans="1:19" s="22" customFormat="1" x14ac:dyDescent="0.35">
      <c r="A24" s="19">
        <v>12</v>
      </c>
      <c r="B24" s="19">
        <v>90832</v>
      </c>
      <c r="C24" s="20" t="s">
        <v>324</v>
      </c>
      <c r="D24" s="116">
        <f>'As-Filed Schedule 4'!D24</f>
        <v>952</v>
      </c>
      <c r="E24" s="388">
        <f>SUMIFS(Adjustments!$G:$G,Adjustments!$H:$H,"4",Adjustments!$I:$I,'Schedule 4 Adjustments'!$D$14,Adjustments!$J:$J,'Schedule 4 Adjustments'!$A24)</f>
        <v>0</v>
      </c>
      <c r="F24" s="380">
        <f t="shared" si="0"/>
        <v>952</v>
      </c>
      <c r="G24" s="410">
        <v>2.35</v>
      </c>
      <c r="H24" s="47">
        <f t="shared" si="8"/>
        <v>2237.2000000000003</v>
      </c>
      <c r="I24" s="378">
        <f t="shared" si="1"/>
        <v>2237.2000000000003</v>
      </c>
      <c r="J24" s="21">
        <f t="shared" si="2"/>
        <v>179.33231820033009</v>
      </c>
      <c r="K24" s="376">
        <f t="shared" si="3"/>
        <v>180.63008355319914</v>
      </c>
      <c r="L24" s="150">
        <f>'As-Filed Schedule 4'!H24</f>
        <v>329</v>
      </c>
      <c r="M24" s="388">
        <f>SUMIFS(Adjustments!$G:$G,Adjustments!$H:$H,"4",Adjustments!$I:$I,'Schedule 4 Adjustments'!$L$14,Adjustments!$J:$J,'Schedule 4 Adjustments'!$A24)</f>
        <v>0</v>
      </c>
      <c r="N24" s="380">
        <f t="shared" si="4"/>
        <v>329</v>
      </c>
      <c r="O24" s="410">
        <v>2.0499999999999998</v>
      </c>
      <c r="P24" s="47">
        <f t="shared" si="9"/>
        <v>674.44999999999993</v>
      </c>
      <c r="Q24" s="378">
        <f t="shared" si="5"/>
        <v>674.44999999999993</v>
      </c>
      <c r="R24" s="21">
        <f t="shared" si="6"/>
        <v>156.43883077050069</v>
      </c>
      <c r="S24" s="376">
        <f>O24*$I$12</f>
        <v>157.57092395066306</v>
      </c>
    </row>
    <row r="25" spans="1:19" s="22" customFormat="1" x14ac:dyDescent="0.35">
      <c r="A25" s="19">
        <v>13</v>
      </c>
      <c r="B25" s="19">
        <v>90833</v>
      </c>
      <c r="C25" s="20" t="s">
        <v>321</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164.83310949477149</v>
      </c>
      <c r="K25" s="376">
        <f t="shared" si="3"/>
        <v>166.02594913825965</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146.51831955090799</v>
      </c>
      <c r="S25" s="376">
        <f t="shared" si="7"/>
        <v>147.57862145623076</v>
      </c>
    </row>
    <row r="26" spans="1:19" s="22" customFormat="1" x14ac:dyDescent="0.35">
      <c r="A26" s="19">
        <v>14</v>
      </c>
      <c r="B26" s="19">
        <v>90834</v>
      </c>
      <c r="C26" s="20" t="s">
        <v>322</v>
      </c>
      <c r="D26" s="116">
        <f>'As-Filed Schedule 4'!D26</f>
        <v>1016</v>
      </c>
      <c r="E26" s="388">
        <f>SUMIFS(Adjustments!$G:$G,Adjustments!$H:$H,"4",Adjustments!$I:$I,'Schedule 4 Adjustments'!$D$14,Adjustments!$J:$J,'Schedule 4 Adjustments'!$A26)</f>
        <v>0</v>
      </c>
      <c r="F26" s="380">
        <f t="shared" si="0"/>
        <v>1016</v>
      </c>
      <c r="G26" s="410">
        <v>3.1</v>
      </c>
      <c r="H26" s="47">
        <f t="shared" si="8"/>
        <v>3149.6</v>
      </c>
      <c r="I26" s="378">
        <f t="shared" si="1"/>
        <v>3149.6</v>
      </c>
      <c r="J26" s="21">
        <f t="shared" si="2"/>
        <v>236.56603677490352</v>
      </c>
      <c r="K26" s="376">
        <f t="shared" si="3"/>
        <v>238.27798255953928</v>
      </c>
      <c r="L26" s="150">
        <f>'As-Filed Schedule 4'!H26</f>
        <v>564</v>
      </c>
      <c r="M26" s="388">
        <f>SUMIFS(Adjustments!$G:$G,Adjustments!$H:$H,"4",Adjustments!$I:$I,'Schedule 4 Adjustments'!$L$14,Adjustments!$J:$J,'Schedule 4 Adjustments'!$A26)</f>
        <v>0</v>
      </c>
      <c r="N26" s="380">
        <f t="shared" si="4"/>
        <v>564</v>
      </c>
      <c r="O26" s="410">
        <v>2.71</v>
      </c>
      <c r="P26" s="47">
        <f t="shared" si="9"/>
        <v>1528.44</v>
      </c>
      <c r="Q26" s="378">
        <f t="shared" si="5"/>
        <v>1528.44</v>
      </c>
      <c r="R26" s="21">
        <f t="shared" si="6"/>
        <v>206.80450311612532</v>
      </c>
      <c r="S26" s="376">
        <f t="shared" si="7"/>
        <v>208.3010750762424</v>
      </c>
    </row>
    <row r="27" spans="1:19" s="22" customFormat="1" x14ac:dyDescent="0.35">
      <c r="A27" s="19">
        <v>15</v>
      </c>
      <c r="B27" s="19">
        <v>90836</v>
      </c>
      <c r="C27" s="20" t="s">
        <v>325</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208.3307356114473</v>
      </c>
      <c r="K27" s="376">
        <f t="shared" si="3"/>
        <v>209.83835238307813</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185.43724818161792</v>
      </c>
      <c r="S27" s="376">
        <f>O27*$I$12</f>
        <v>186.77919278054208</v>
      </c>
    </row>
    <row r="28" spans="1:19" s="22" customFormat="1" x14ac:dyDescent="0.35">
      <c r="A28" s="19">
        <v>16</v>
      </c>
      <c r="B28" s="19">
        <v>90837</v>
      </c>
      <c r="C28" s="20" t="s">
        <v>323</v>
      </c>
      <c r="D28" s="116">
        <f>'As-Filed Schedule 4'!D28</f>
        <v>4693</v>
      </c>
      <c r="E28" s="388">
        <f>SUMIFS(Adjustments!$G:$G,Adjustments!$H:$H,"4",Adjustments!$I:$I,'Schedule 4 Adjustments'!$D$14,Adjustments!$J:$J,'Schedule 4 Adjustments'!$A28)</f>
        <v>0</v>
      </c>
      <c r="F28" s="380">
        <f t="shared" si="0"/>
        <v>4693</v>
      </c>
      <c r="G28" s="410">
        <v>4.57</v>
      </c>
      <c r="H28" s="47">
        <f t="shared" si="8"/>
        <v>21447.010000000002</v>
      </c>
      <c r="I28" s="378">
        <f t="shared" si="1"/>
        <v>21447.010000000002</v>
      </c>
      <c r="J28" s="21">
        <f t="shared" si="2"/>
        <v>348.74412518106743</v>
      </c>
      <c r="K28" s="376">
        <f t="shared" si="3"/>
        <v>351.26786461196599</v>
      </c>
      <c r="L28" s="150">
        <f>'As-Filed Schedule 4'!H28</f>
        <v>5676</v>
      </c>
      <c r="M28" s="388">
        <f>SUMIFS(Adjustments!$G:$G,Adjustments!$H:$H,"4",Adjustments!$I:$I,'Schedule 4 Adjustments'!$L$14,Adjustments!$J:$J,'Schedule 4 Adjustments'!$A28)</f>
        <v>0</v>
      </c>
      <c r="N28" s="380">
        <f t="shared" si="4"/>
        <v>5676</v>
      </c>
      <c r="O28" s="410">
        <v>4</v>
      </c>
      <c r="P28" s="47">
        <f t="shared" si="9"/>
        <v>22704</v>
      </c>
      <c r="Q28" s="378">
        <f t="shared" si="5"/>
        <v>22704</v>
      </c>
      <c r="R28" s="21">
        <f t="shared" si="6"/>
        <v>305.24649906439163</v>
      </c>
      <c r="S28" s="376">
        <f t="shared" si="7"/>
        <v>307.45546136714745</v>
      </c>
    </row>
    <row r="29" spans="1:19" s="22" customFormat="1" x14ac:dyDescent="0.35">
      <c r="A29" s="19">
        <v>17</v>
      </c>
      <c r="B29" s="19">
        <v>90838</v>
      </c>
      <c r="C29" s="20" t="s">
        <v>326</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276.24808165327443</v>
      </c>
      <c r="K29" s="376">
        <f t="shared" si="3"/>
        <v>278.24719253726846</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245.72343174683527</v>
      </c>
      <c r="S29" s="376">
        <f t="shared" si="7"/>
        <v>247.50164640055371</v>
      </c>
    </row>
    <row r="30" spans="1:19" s="22" customFormat="1" x14ac:dyDescent="0.35">
      <c r="A30" s="19">
        <v>18</v>
      </c>
      <c r="B30" s="19">
        <v>90839</v>
      </c>
      <c r="C30" s="20" t="s">
        <v>328</v>
      </c>
      <c r="D30" s="116">
        <f>'As-Filed Schedule 4'!D30</f>
        <v>189</v>
      </c>
      <c r="E30" s="388">
        <f>SUMIFS(Adjustments!$G:$G,Adjustments!$H:$H,"4",Adjustments!$I:$I,'Schedule 4 Adjustments'!$D$14,Adjustments!$J:$J,'Schedule 4 Adjustments'!$A30)</f>
        <v>0</v>
      </c>
      <c r="F30" s="380">
        <f t="shared" si="0"/>
        <v>189</v>
      </c>
      <c r="G30" s="410">
        <v>4.4000000000000004</v>
      </c>
      <c r="H30" s="47">
        <f t="shared" si="8"/>
        <v>831.6</v>
      </c>
      <c r="I30" s="378">
        <f t="shared" si="1"/>
        <v>831.6</v>
      </c>
      <c r="J30" s="21">
        <f t="shared" si="2"/>
        <v>335.77114897083084</v>
      </c>
      <c r="K30" s="376">
        <f t="shared" si="3"/>
        <v>338.20100750386223</v>
      </c>
      <c r="L30" s="150">
        <f>'As-Filed Schedule 4'!H30</f>
        <v>51</v>
      </c>
      <c r="M30" s="388">
        <f>SUMIFS(Adjustments!$G:$G,Adjustments!$H:$H,"4",Adjustments!$I:$I,'Schedule 4 Adjustments'!$L$14,Adjustments!$J:$J,'Schedule 4 Adjustments'!$A30)</f>
        <v>0</v>
      </c>
      <c r="N30" s="380">
        <f t="shared" si="4"/>
        <v>51</v>
      </c>
      <c r="O30" s="410">
        <v>3.87</v>
      </c>
      <c r="P30" s="47">
        <f t="shared" si="9"/>
        <v>197.37</v>
      </c>
      <c r="Q30" s="378">
        <f t="shared" si="5"/>
        <v>197.37</v>
      </c>
      <c r="R30" s="21">
        <f t="shared" si="6"/>
        <v>295.32598784479893</v>
      </c>
      <c r="S30" s="376">
        <f t="shared" si="7"/>
        <v>297.46315887271516</v>
      </c>
    </row>
    <row r="31" spans="1:19" s="22" customFormat="1" x14ac:dyDescent="0.35">
      <c r="A31" s="19">
        <v>19</v>
      </c>
      <c r="B31" s="19">
        <v>90840</v>
      </c>
      <c r="C31" s="20" t="s">
        <v>327</v>
      </c>
      <c r="D31" s="116">
        <f>'As-Filed Schedule 4'!D31</f>
        <v>46</v>
      </c>
      <c r="E31" s="388">
        <f>SUMIFS(Adjustments!$G:$G,Adjustments!$H:$H,"4",Adjustments!$I:$I,'Schedule 4 Adjustments'!$D$14,Adjustments!$J:$J,'Schedule 4 Adjustments'!$A31)</f>
        <v>0</v>
      </c>
      <c r="F31" s="380">
        <f t="shared" si="0"/>
        <v>46</v>
      </c>
      <c r="G31" s="410">
        <v>2.1800000000000002</v>
      </c>
      <c r="H31" s="47">
        <f t="shared" si="8"/>
        <v>100.28</v>
      </c>
      <c r="I31" s="378">
        <f t="shared" si="1"/>
        <v>100.28</v>
      </c>
      <c r="J31" s="21">
        <f t="shared" si="2"/>
        <v>166.35934199009344</v>
      </c>
      <c r="K31" s="376">
        <f t="shared" si="3"/>
        <v>167.56322644509538</v>
      </c>
      <c r="L31" s="150">
        <f>'As-Filed Schedule 4'!H31</f>
        <v>18</v>
      </c>
      <c r="M31" s="388">
        <f>SUMIFS(Adjustments!$G:$G,Adjustments!$H:$H,"4",Adjustments!$I:$I,'Schedule 4 Adjustments'!$L$14,Adjustments!$J:$J,'Schedule 4 Adjustments'!$A31)</f>
        <v>0</v>
      </c>
      <c r="N31" s="380">
        <f t="shared" si="4"/>
        <v>18</v>
      </c>
      <c r="O31" s="410">
        <v>1.94</v>
      </c>
      <c r="P31" s="47">
        <f t="shared" si="9"/>
        <v>34.92</v>
      </c>
      <c r="Q31" s="378">
        <f>N31*O31</f>
        <v>34.92</v>
      </c>
      <c r="R31" s="21">
        <f t="shared" si="6"/>
        <v>148.04455204622994</v>
      </c>
      <c r="S31" s="376">
        <f t="shared" si="7"/>
        <v>149.1158987630665</v>
      </c>
    </row>
    <row r="32" spans="1:19" s="22" customFormat="1" x14ac:dyDescent="0.35">
      <c r="A32" s="19">
        <v>20</v>
      </c>
      <c r="B32" s="19">
        <v>90846</v>
      </c>
      <c r="C32" s="20" t="s">
        <v>113</v>
      </c>
      <c r="D32" s="116">
        <f>'As-Filed Schedule 4'!D32</f>
        <v>78</v>
      </c>
      <c r="E32" s="388">
        <f>SUMIFS(Adjustments!$G:$G,Adjustments!$H:$H,"4",Adjustments!$I:$I,'Schedule 4 Adjustments'!$D$14,Adjustments!$J:$J,'Schedule 4 Adjustments'!$A32)</f>
        <v>0</v>
      </c>
      <c r="F32" s="380">
        <f t="shared" si="0"/>
        <v>78</v>
      </c>
      <c r="G32" s="410">
        <v>2.93</v>
      </c>
      <c r="H32" s="47">
        <f t="shared" si="8"/>
        <v>228.54000000000002</v>
      </c>
      <c r="I32" s="378">
        <f t="shared" si="1"/>
        <v>228.54000000000002</v>
      </c>
      <c r="J32" s="21">
        <f t="shared" si="2"/>
        <v>223.59306056466687</v>
      </c>
      <c r="K32" s="376">
        <f t="shared" si="3"/>
        <v>225.21112545143552</v>
      </c>
      <c r="L32" s="150">
        <f>'As-Filed Schedule 4'!H32</f>
        <v>40</v>
      </c>
      <c r="M32" s="388">
        <f>SUMIFS(Adjustments!$G:$G,Adjustments!$H:$H,"4",Adjustments!$I:$I,'Schedule 4 Adjustments'!$L$14,Adjustments!$J:$J,'Schedule 4 Adjustments'!$A32)</f>
        <v>0</v>
      </c>
      <c r="N32" s="380">
        <f t="shared" si="4"/>
        <v>40</v>
      </c>
      <c r="O32" s="410">
        <v>2.92</v>
      </c>
      <c r="P32" s="47">
        <f t="shared" si="9"/>
        <v>116.8</v>
      </c>
      <c r="Q32" s="378">
        <f t="shared" si="5"/>
        <v>116.8</v>
      </c>
      <c r="R32" s="21">
        <f t="shared" si="6"/>
        <v>222.8299443170059</v>
      </c>
      <c r="S32" s="376">
        <f t="shared" si="7"/>
        <v>224.44248679801763</v>
      </c>
    </row>
    <row r="33" spans="1:19" s="22" customFormat="1" x14ac:dyDescent="0.35">
      <c r="A33" s="19">
        <v>21</v>
      </c>
      <c r="B33" s="19">
        <v>90847</v>
      </c>
      <c r="C33" s="20" t="s">
        <v>114</v>
      </c>
      <c r="D33" s="116">
        <f>'As-Filed Schedule 4'!D33</f>
        <v>188</v>
      </c>
      <c r="E33" s="388">
        <f>SUMIFS(Adjustments!$G:$G,Adjustments!$H:$H,"4",Adjustments!$I:$I,'Schedule 4 Adjustments'!$D$14,Adjustments!$J:$J,'Schedule 4 Adjustments'!$A33)</f>
        <v>0</v>
      </c>
      <c r="F33" s="380">
        <f t="shared" si="0"/>
        <v>188</v>
      </c>
      <c r="G33" s="410">
        <v>3.07</v>
      </c>
      <c r="H33" s="47">
        <f t="shared" si="8"/>
        <v>577.16</v>
      </c>
      <c r="I33" s="378">
        <f t="shared" si="1"/>
        <v>577.16</v>
      </c>
      <c r="J33" s="21">
        <f t="shared" si="2"/>
        <v>234.27668803192057</v>
      </c>
      <c r="K33" s="376">
        <f t="shared" si="3"/>
        <v>235.97206659928565</v>
      </c>
      <c r="L33" s="150">
        <f>'As-Filed Schedule 4'!H33</f>
        <v>222</v>
      </c>
      <c r="M33" s="388">
        <f>SUMIFS(Adjustments!$G:$G,Adjustments!$H:$H,"4",Adjustments!$I:$I,'Schedule 4 Adjustments'!$L$14,Adjustments!$J:$J,'Schedule 4 Adjustments'!$A33)</f>
        <v>0</v>
      </c>
      <c r="N33" s="380">
        <f t="shared" si="4"/>
        <v>222</v>
      </c>
      <c r="O33" s="410">
        <v>3.05</v>
      </c>
      <c r="P33" s="47">
        <f t="shared" si="9"/>
        <v>677.09999999999991</v>
      </c>
      <c r="Q33" s="378">
        <f t="shared" si="5"/>
        <v>677.09999999999991</v>
      </c>
      <c r="R33" s="21">
        <f t="shared" si="6"/>
        <v>232.75045553659859</v>
      </c>
      <c r="S33" s="376">
        <f t="shared" si="7"/>
        <v>234.43478929244992</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86.232135985690633</v>
      </c>
      <c r="K34" s="376">
        <f t="shared" si="3"/>
        <v>86.856167836219143</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67.154229794166156</v>
      </c>
      <c r="S34" s="376">
        <f t="shared" si="7"/>
        <v>67.640201500772434</v>
      </c>
    </row>
    <row r="35" spans="1:19" s="22" customFormat="1" x14ac:dyDescent="0.35">
      <c r="A35" s="19">
        <v>23</v>
      </c>
      <c r="B35" s="19">
        <v>90853</v>
      </c>
      <c r="C35" s="20" t="s">
        <v>116</v>
      </c>
      <c r="D35" s="116">
        <f>'As-Filed Schedule 4'!D35</f>
        <v>140</v>
      </c>
      <c r="E35" s="388">
        <f>SUMIFS(Adjustments!$G:$G,Adjustments!$H:$H,"4",Adjustments!$I:$I,'Schedule 4 Adjustments'!$D$14,Adjustments!$J:$J,'Schedule 4 Adjustments'!$A35)</f>
        <v>0</v>
      </c>
      <c r="F35" s="380">
        <f t="shared" si="0"/>
        <v>140</v>
      </c>
      <c r="G35" s="410">
        <v>0.83</v>
      </c>
      <c r="H35" s="47">
        <f t="shared" si="8"/>
        <v>116.19999999999999</v>
      </c>
      <c r="I35" s="378">
        <f t="shared" si="1"/>
        <v>116.19999999999999</v>
      </c>
      <c r="J35" s="21">
        <f t="shared" si="2"/>
        <v>63.338648555861262</v>
      </c>
      <c r="K35" s="376">
        <f t="shared" si="3"/>
        <v>63.797008233683094</v>
      </c>
      <c r="L35" s="150">
        <f>'As-Filed Schedule 4'!H35</f>
        <v>628</v>
      </c>
      <c r="M35" s="388">
        <f>SUMIFS(Adjustments!$G:$G,Adjustments!$H:$H,"4",Adjustments!$I:$I,'Schedule 4 Adjustments'!$L$14,Adjustments!$J:$J,'Schedule 4 Adjustments'!$A35)</f>
        <v>0</v>
      </c>
      <c r="N35" s="380">
        <f t="shared" si="4"/>
        <v>628</v>
      </c>
      <c r="O35" s="410">
        <v>0.72</v>
      </c>
      <c r="P35" s="47">
        <f t="shared" si="9"/>
        <v>452.15999999999997</v>
      </c>
      <c r="Q35" s="378">
        <f t="shared" si="5"/>
        <v>452.15999999999997</v>
      </c>
      <c r="R35" s="21">
        <f t="shared" si="6"/>
        <v>54.944369831590492</v>
      </c>
      <c r="S35" s="376">
        <f t="shared" si="7"/>
        <v>55.34198304608654</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395.29421628838713</v>
      </c>
      <c r="K36" s="376">
        <f t="shared" si="3"/>
        <v>398.15482247045594</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238.09226927022547</v>
      </c>
      <c r="S36" s="376">
        <f t="shared" si="7"/>
        <v>239.81525986637502</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133.54534334067134</v>
      </c>
      <c r="K37" s="376">
        <f t="shared" si="3"/>
        <v>134.511764348127</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132.78222709301036</v>
      </c>
      <c r="S37" s="376">
        <f t="shared" si="7"/>
        <v>133.74312569470914</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235.03980427958155</v>
      </c>
      <c r="K38" s="376">
        <f t="shared" si="3"/>
        <v>236.74070525270355</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210.62008435443022</v>
      </c>
      <c r="S38" s="376">
        <f t="shared" si="7"/>
        <v>212.14426834333173</v>
      </c>
    </row>
    <row r="39" spans="1:19" s="22" customFormat="1" x14ac:dyDescent="0.35">
      <c r="A39" s="19">
        <v>27</v>
      </c>
      <c r="B39" s="19">
        <v>90887</v>
      </c>
      <c r="C39" s="20" t="s">
        <v>329</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195.35775940121064</v>
      </c>
      <c r="K39" s="376">
        <f t="shared" si="3"/>
        <v>196.77149527497437</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163.30687699944954</v>
      </c>
      <c r="S39" s="376">
        <f t="shared" si="7"/>
        <v>164.48867183142389</v>
      </c>
    </row>
    <row r="40" spans="1:19" s="22" customFormat="1" x14ac:dyDescent="0.35">
      <c r="A40" s="19">
        <v>28</v>
      </c>
      <c r="B40" s="19">
        <v>96116</v>
      </c>
      <c r="C40" s="20" t="s">
        <v>340</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210.62008435443022</v>
      </c>
      <c r="K40" s="376">
        <f t="shared" si="3"/>
        <v>212.14426834333173</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180.85855069565204</v>
      </c>
      <c r="S40" s="376">
        <f t="shared" si="7"/>
        <v>182.16736086003488</v>
      </c>
    </row>
    <row r="41" spans="1:19" s="22" customFormat="1" x14ac:dyDescent="0.35">
      <c r="A41" s="19">
        <v>29</v>
      </c>
      <c r="B41" s="19">
        <v>96121</v>
      </c>
      <c r="C41" s="20" t="s">
        <v>339</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171.70115572372029</v>
      </c>
      <c r="K41" s="376">
        <f t="shared" si="3"/>
        <v>172.94369701902045</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150.33390078921286</v>
      </c>
      <c r="S41" s="376">
        <f t="shared" si="7"/>
        <v>151.42181472332013</v>
      </c>
    </row>
    <row r="42" spans="1:19" s="22" customFormat="1" x14ac:dyDescent="0.35">
      <c r="A42" s="19">
        <v>30</v>
      </c>
      <c r="B42" s="19">
        <v>96130</v>
      </c>
      <c r="C42" s="20" t="s">
        <v>337</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274.72184915795248</v>
      </c>
      <c r="K42" s="376">
        <f t="shared" si="3"/>
        <v>276.70991523043273</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248.0127804898182</v>
      </c>
      <c r="S42" s="376">
        <f t="shared" si="7"/>
        <v>249.80756236080731</v>
      </c>
    </row>
    <row r="43" spans="1:19" s="22" customFormat="1" x14ac:dyDescent="0.35">
      <c r="A43" s="19">
        <v>31</v>
      </c>
      <c r="B43" s="19">
        <v>96131</v>
      </c>
      <c r="C43" s="20" t="s">
        <v>338</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196.12087564887162</v>
      </c>
      <c r="K43" s="376">
        <f t="shared" si="3"/>
        <v>197.54013392839224</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171.70115572372029</v>
      </c>
      <c r="S43" s="376">
        <f t="shared" si="7"/>
        <v>172.94369701902045</v>
      </c>
    </row>
    <row r="44" spans="1:19" s="22" customFormat="1" x14ac:dyDescent="0.35">
      <c r="A44" s="19">
        <v>32</v>
      </c>
      <c r="B44" s="19">
        <v>96132</v>
      </c>
      <c r="C44" s="20" t="s">
        <v>331</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293.79975534947692</v>
      </c>
      <c r="K44" s="376">
        <f t="shared" si="3"/>
        <v>295.92588156587942</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239.61850176554745</v>
      </c>
      <c r="S44" s="376">
        <f t="shared" si="7"/>
        <v>241.35253717321075</v>
      </c>
    </row>
    <row r="45" spans="1:19" s="22" customFormat="1" x14ac:dyDescent="0.35">
      <c r="A45" s="19">
        <v>33</v>
      </c>
      <c r="B45" s="19">
        <v>96133</v>
      </c>
      <c r="C45" s="20" t="s">
        <v>332</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222.8299443170059</v>
      </c>
      <c r="K45" s="376">
        <f t="shared" si="3"/>
        <v>224.44248679801763</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172.46427197138127</v>
      </c>
      <c r="S45" s="376">
        <f t="shared" si="7"/>
        <v>173.71233567243829</v>
      </c>
    </row>
    <row r="46" spans="1:19" s="22" customFormat="1" x14ac:dyDescent="0.35">
      <c r="A46" s="19">
        <v>34</v>
      </c>
      <c r="B46" s="19">
        <v>96136</v>
      </c>
      <c r="C46" s="20" t="s">
        <v>333</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95.389530957622384</v>
      </c>
      <c r="K46" s="376">
        <f t="shared" si="3"/>
        <v>96.079831677233585</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52.655021088607555</v>
      </c>
      <c r="S46" s="376">
        <f t="shared" si="7"/>
        <v>53.036067085832933</v>
      </c>
    </row>
    <row r="47" spans="1:19" s="22" customFormat="1" x14ac:dyDescent="0.35">
      <c r="A47" s="19">
        <v>35</v>
      </c>
      <c r="B47" s="19">
        <v>96137</v>
      </c>
      <c r="C47" s="20" t="s">
        <v>334</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86.232135985690633</v>
      </c>
      <c r="K47" s="376">
        <f t="shared" si="3"/>
        <v>86.856167836219143</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40.445161126031891</v>
      </c>
      <c r="S47" s="376">
        <f t="shared" si="7"/>
        <v>40.737848631147038</v>
      </c>
    </row>
    <row r="48" spans="1:19" s="22" customFormat="1" x14ac:dyDescent="0.35">
      <c r="A48" s="19">
        <v>36</v>
      </c>
      <c r="B48" s="19">
        <v>96138</v>
      </c>
      <c r="C48" s="20" t="s">
        <v>335</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78.600973509080845</v>
      </c>
      <c r="K48" s="376">
        <f t="shared" si="3"/>
        <v>79.169781302040477</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43.497626116675804</v>
      </c>
      <c r="S48" s="376">
        <f t="shared" si="7"/>
        <v>43.812403244818505</v>
      </c>
    </row>
    <row r="49" spans="1:19" s="22" customFormat="1" x14ac:dyDescent="0.35">
      <c r="A49" s="19">
        <v>37</v>
      </c>
      <c r="B49" s="19">
        <v>96139</v>
      </c>
      <c r="C49" s="20" t="s">
        <v>336</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80.890322252063783</v>
      </c>
      <c r="K49" s="376">
        <f t="shared" si="3"/>
        <v>81.475697262294076</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38.155812383048954</v>
      </c>
      <c r="S49" s="376">
        <f t="shared" si="7"/>
        <v>38.431932670893431</v>
      </c>
    </row>
    <row r="50" spans="1:19" s="22" customFormat="1" x14ac:dyDescent="0.35">
      <c r="A50" s="19">
        <v>38</v>
      </c>
      <c r="B50" s="19">
        <v>96146</v>
      </c>
      <c r="C50" s="20" t="s">
        <v>330</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5.3418137336268536</v>
      </c>
      <c r="K50" s="376">
        <f t="shared" si="3"/>
        <v>5.3804705739250807</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5.3418137336268536</v>
      </c>
      <c r="S50" s="376">
        <f t="shared" si="7"/>
        <v>5.3804705739250807</v>
      </c>
    </row>
    <row r="51" spans="1:19" s="22" customFormat="1" x14ac:dyDescent="0.35">
      <c r="A51" s="19">
        <v>39</v>
      </c>
      <c r="B51" s="19">
        <v>96372</v>
      </c>
      <c r="C51" s="20" t="s">
        <v>118</v>
      </c>
      <c r="D51" s="116">
        <f>'As-Filed Schedule 4'!D51</f>
        <v>148</v>
      </c>
      <c r="E51" s="388">
        <f>SUMIFS(Adjustments!$G:$G,Adjustments!$H:$H,"4",Adjustments!$I:$I,'Schedule 4 Adjustments'!$D$14,Adjustments!$J:$J,'Schedule 4 Adjustments'!$A51)</f>
        <v>0</v>
      </c>
      <c r="F51" s="380">
        <f t="shared" si="0"/>
        <v>148</v>
      </c>
      <c r="G51" s="410">
        <v>0.43</v>
      </c>
      <c r="H51" s="47">
        <f t="shared" si="8"/>
        <v>63.64</v>
      </c>
      <c r="I51" s="378">
        <f t="shared" si="1"/>
        <v>63.64</v>
      </c>
      <c r="J51" s="21">
        <f t="shared" si="2"/>
        <v>32.813998649422096</v>
      </c>
      <c r="K51" s="376">
        <f t="shared" si="3"/>
        <v>33.051462096968351</v>
      </c>
      <c r="L51" s="150">
        <f>'As-Filed Schedule 4'!H51</f>
        <v>184</v>
      </c>
      <c r="M51" s="388">
        <f>SUMIFS(Adjustments!$G:$G,Adjustments!$H:$H,"4",Adjustments!$I:$I,'Schedule 4 Adjustments'!$L$14,Adjustments!$J:$J,'Schedule 4 Adjustments'!$A51)</f>
        <v>0</v>
      </c>
      <c r="N51" s="380">
        <f t="shared" si="4"/>
        <v>184</v>
      </c>
      <c r="O51" s="410">
        <v>0.43</v>
      </c>
      <c r="P51" s="47">
        <f t="shared" si="9"/>
        <v>79.12</v>
      </c>
      <c r="Q51" s="378">
        <f t="shared" si="5"/>
        <v>79.12</v>
      </c>
      <c r="R51" s="21">
        <f t="shared" si="6"/>
        <v>32.813998649422096</v>
      </c>
      <c r="S51" s="376">
        <f t="shared" si="7"/>
        <v>33.051462096968351</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74.785392270775944</v>
      </c>
      <c r="K52" s="376">
        <f t="shared" si="3"/>
        <v>75.326588034951129</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74.785392270775944</v>
      </c>
      <c r="S52" s="376">
        <f t="shared" si="7"/>
        <v>75.326588034951129</v>
      </c>
    </row>
    <row r="53" spans="1:19" s="22" customFormat="1" x14ac:dyDescent="0.35">
      <c r="A53" s="19">
        <v>41</v>
      </c>
      <c r="B53" s="19">
        <v>97537</v>
      </c>
      <c r="C53" s="20" t="s">
        <v>120</v>
      </c>
      <c r="D53" s="116">
        <f>'As-Filed Schedule 4'!D53</f>
        <v>0</v>
      </c>
      <c r="E53" s="388">
        <f>SUMIFS(Adjustments!$G:$G,Adjustments!$H:$H,"4",Adjustments!$I:$I,'Schedule 4 Adjustments'!$D$14,Adjustments!$J:$J,'Schedule 4 Adjustments'!$A53)</f>
        <v>0</v>
      </c>
      <c r="F53" s="380">
        <f t="shared" si="0"/>
        <v>0</v>
      </c>
      <c r="G53" s="410">
        <v>0.95</v>
      </c>
      <c r="H53" s="47">
        <f t="shared" si="8"/>
        <v>0</v>
      </c>
      <c r="I53" s="378">
        <f t="shared" si="1"/>
        <v>0</v>
      </c>
      <c r="J53" s="21">
        <f t="shared" si="2"/>
        <v>72.496043527793006</v>
      </c>
      <c r="K53" s="376">
        <f t="shared" si="3"/>
        <v>73.020672074697515</v>
      </c>
      <c r="L53" s="150">
        <f>'As-Filed Schedule 4'!H53</f>
        <v>0</v>
      </c>
      <c r="M53" s="388">
        <f>SUMIFS(Adjustments!$G:$G,Adjustments!$H:$H,"4",Adjustments!$I:$I,'Schedule 4 Adjustments'!$L$14,Adjustments!$J:$J,'Schedule 4 Adjustments'!$A53)</f>
        <v>0</v>
      </c>
      <c r="N53" s="380">
        <f t="shared" si="4"/>
        <v>0</v>
      </c>
      <c r="O53" s="410">
        <v>0.95</v>
      </c>
      <c r="P53" s="47">
        <f t="shared" si="9"/>
        <v>0</v>
      </c>
      <c r="Q53" s="378">
        <f t="shared" si="5"/>
        <v>0</v>
      </c>
      <c r="R53" s="21">
        <f t="shared" si="6"/>
        <v>72.496043527793006</v>
      </c>
      <c r="S53" s="376">
        <f t="shared" si="7"/>
        <v>73.020672074697515</v>
      </c>
    </row>
    <row r="54" spans="1:19" s="22" customFormat="1" x14ac:dyDescent="0.35">
      <c r="A54" s="19">
        <v>42</v>
      </c>
      <c r="B54" s="19">
        <v>98966</v>
      </c>
      <c r="C54" s="20" t="s">
        <v>341</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29.761533658778184</v>
      </c>
      <c r="K54" s="376">
        <f t="shared" si="3"/>
        <v>29.976907483296877</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25.94595242047329</v>
      </c>
      <c r="S54" s="376">
        <f t="shared" si="7"/>
        <v>26.133714216207537</v>
      </c>
    </row>
    <row r="55" spans="1:19" s="22" customFormat="1" x14ac:dyDescent="0.35">
      <c r="A55" s="19">
        <v>43</v>
      </c>
      <c r="B55" s="19">
        <v>98967</v>
      </c>
      <c r="C55" s="20" t="s">
        <v>342</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54.944369831590492</v>
      </c>
      <c r="K55" s="376">
        <f t="shared" si="3"/>
        <v>55.34198304608654</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50.365672345624624</v>
      </c>
      <c r="S55" s="376">
        <f t="shared" si="7"/>
        <v>50.730151125579333</v>
      </c>
    </row>
    <row r="56" spans="1:19" s="22" customFormat="1" x14ac:dyDescent="0.35">
      <c r="A56" s="19">
        <v>44</v>
      </c>
      <c r="B56" s="19">
        <v>98968</v>
      </c>
      <c r="C56" s="20" t="s">
        <v>343</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75.548508518436932</v>
      </c>
      <c r="K56" s="376">
        <f t="shared" si="3"/>
        <v>76.095226688368996</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70.206694784810082</v>
      </c>
      <c r="S56" s="376">
        <f t="shared" si="7"/>
        <v>70.714756114443915</v>
      </c>
    </row>
    <row r="57" spans="1:19" s="22" customFormat="1" x14ac:dyDescent="0.35">
      <c r="A57" s="19">
        <v>45</v>
      </c>
      <c r="B57" s="19">
        <v>99202</v>
      </c>
      <c r="C57" s="20" t="s">
        <v>154</v>
      </c>
      <c r="D57" s="116">
        <f>'As-Filed Schedule 4'!D57</f>
        <v>1</v>
      </c>
      <c r="E57" s="388">
        <f>SUMIFS(Adjustments!$G:$G,Adjustments!$H:$H,"4",Adjustments!$I:$I,'Schedule 4 Adjustments'!$D$14,Adjustments!$J:$J,'Schedule 4 Adjustments'!$A57)</f>
        <v>0</v>
      </c>
      <c r="F57" s="380">
        <f t="shared" si="0"/>
        <v>1</v>
      </c>
      <c r="G57" s="410">
        <v>2.17</v>
      </c>
      <c r="H57" s="47">
        <f t="shared" si="8"/>
        <v>2.17</v>
      </c>
      <c r="I57" s="378">
        <f t="shared" si="1"/>
        <v>2.17</v>
      </c>
      <c r="J57" s="21">
        <f t="shared" si="2"/>
        <v>165.59622574243247</v>
      </c>
      <c r="K57" s="376">
        <f t="shared" si="3"/>
        <v>166.79458779167749</v>
      </c>
      <c r="L57" s="150">
        <f>'As-Filed Schedule 4'!H57</f>
        <v>0</v>
      </c>
      <c r="M57" s="388">
        <f>SUMIFS(Adjustments!$G:$G,Adjustments!$H:$H,"4",Adjustments!$I:$I,'Schedule 4 Adjustments'!$L$14,Adjustments!$J:$J,'Schedule 4 Adjustments'!$A57)</f>
        <v>0</v>
      </c>
      <c r="N57" s="380">
        <f t="shared" si="4"/>
        <v>0</v>
      </c>
      <c r="O57" s="410">
        <v>1.41</v>
      </c>
      <c r="P57" s="47">
        <f t="shared" si="9"/>
        <v>0</v>
      </c>
      <c r="Q57" s="378">
        <f t="shared" si="5"/>
        <v>0</v>
      </c>
      <c r="R57" s="21">
        <f t="shared" si="6"/>
        <v>107.59939092019805</v>
      </c>
      <c r="S57" s="376">
        <f t="shared" si="7"/>
        <v>108.37805013191947</v>
      </c>
    </row>
    <row r="58" spans="1:19" s="22" customFormat="1" x14ac:dyDescent="0.35">
      <c r="A58" s="19">
        <v>46</v>
      </c>
      <c r="B58" s="19">
        <v>99203</v>
      </c>
      <c r="C58" s="20" t="s">
        <v>154</v>
      </c>
      <c r="D58" s="116">
        <f>'As-Filed Schedule 4'!D58</f>
        <v>2</v>
      </c>
      <c r="E58" s="388">
        <f>SUMIFS(Adjustments!$G:$G,Adjustments!$H:$H,"4",Adjustments!$I:$I,'Schedule 4 Adjustments'!$D$14,Adjustments!$J:$J,'Schedule 4 Adjustments'!$A58)</f>
        <v>0</v>
      </c>
      <c r="F58" s="380">
        <f t="shared" si="0"/>
        <v>2</v>
      </c>
      <c r="G58" s="410">
        <v>3.35</v>
      </c>
      <c r="H58" s="47">
        <f t="shared" si="8"/>
        <v>6.7</v>
      </c>
      <c r="I58" s="378">
        <f t="shared" si="1"/>
        <v>6.7</v>
      </c>
      <c r="J58" s="21">
        <f t="shared" si="2"/>
        <v>255.643942966428</v>
      </c>
      <c r="K58" s="376">
        <f t="shared" si="3"/>
        <v>257.49394889498598</v>
      </c>
      <c r="L58" s="150">
        <f>'As-Filed Schedule 4'!H58</f>
        <v>0</v>
      </c>
      <c r="M58" s="388">
        <f>SUMIFS(Adjustments!$G:$G,Adjustments!$H:$H,"4",Adjustments!$I:$I,'Schedule 4 Adjustments'!$L$14,Adjustments!$J:$J,'Schedule 4 Adjustments'!$A58)</f>
        <v>0</v>
      </c>
      <c r="N58" s="380">
        <f t="shared" si="4"/>
        <v>0</v>
      </c>
      <c r="O58" s="410">
        <v>2.44</v>
      </c>
      <c r="P58" s="47">
        <f t="shared" si="9"/>
        <v>0</v>
      </c>
      <c r="Q58" s="378">
        <f t="shared" si="5"/>
        <v>0</v>
      </c>
      <c r="R58" s="21">
        <f t="shared" si="6"/>
        <v>186.20036442927889</v>
      </c>
      <c r="S58" s="376">
        <f t="shared" si="7"/>
        <v>187.54783143395994</v>
      </c>
    </row>
    <row r="59" spans="1:19" s="22" customFormat="1" x14ac:dyDescent="0.35">
      <c r="A59" s="19">
        <v>47</v>
      </c>
      <c r="B59" s="19">
        <v>99204</v>
      </c>
      <c r="C59" s="20" t="s">
        <v>154</v>
      </c>
      <c r="D59" s="116">
        <f>'As-Filed Schedule 4'!D59</f>
        <v>21</v>
      </c>
      <c r="E59" s="388">
        <f>SUMIFS(Adjustments!$G:$G,Adjustments!$H:$H,"4",Adjustments!$I:$I,'Schedule 4 Adjustments'!$D$14,Adjustments!$J:$J,'Schedule 4 Adjustments'!$A59)</f>
        <v>0</v>
      </c>
      <c r="F59" s="380">
        <f t="shared" si="0"/>
        <v>21</v>
      </c>
      <c r="G59" s="410">
        <v>5.0199999999999996</v>
      </c>
      <c r="H59" s="47">
        <f t="shared" si="8"/>
        <v>105.41999999999999</v>
      </c>
      <c r="I59" s="378">
        <f t="shared" si="1"/>
        <v>105.41999999999999</v>
      </c>
      <c r="J59" s="21">
        <f t="shared" si="2"/>
        <v>383.08435632581148</v>
      </c>
      <c r="K59" s="376">
        <f t="shared" si="3"/>
        <v>385.85660401577002</v>
      </c>
      <c r="L59" s="150">
        <f>'As-Filed Schedule 4'!H59</f>
        <v>4</v>
      </c>
      <c r="M59" s="388">
        <f>SUMIFS(Adjustments!$G:$G,Adjustments!$H:$H,"4",Adjustments!$I:$I,'Schedule 4 Adjustments'!$L$14,Adjustments!$J:$J,'Schedule 4 Adjustments'!$A59)</f>
        <v>0</v>
      </c>
      <c r="N59" s="380">
        <f t="shared" si="4"/>
        <v>4</v>
      </c>
      <c r="O59" s="410">
        <v>3.97</v>
      </c>
      <c r="P59" s="47">
        <f t="shared" si="9"/>
        <v>15.88</v>
      </c>
      <c r="Q59" s="378">
        <f t="shared" si="5"/>
        <v>15.88</v>
      </c>
      <c r="R59" s="21">
        <f t="shared" si="6"/>
        <v>302.95715032140873</v>
      </c>
      <c r="S59" s="376">
        <f t="shared" si="7"/>
        <v>305.14954540689388</v>
      </c>
    </row>
    <row r="60" spans="1:19" s="22" customFormat="1" x14ac:dyDescent="0.35">
      <c r="A60" s="19">
        <v>48</v>
      </c>
      <c r="B60" s="19">
        <v>99205</v>
      </c>
      <c r="C60" s="20" t="s">
        <v>154</v>
      </c>
      <c r="D60" s="116">
        <f>'As-Filed Schedule 4'!D60</f>
        <v>11</v>
      </c>
      <c r="E60" s="388">
        <f>SUMIFS(Adjustments!$G:$G,Adjustments!$H:$H,"4",Adjustments!$I:$I,'Schedule 4 Adjustments'!$D$14,Adjustments!$J:$J,'Schedule 4 Adjustments'!$A60)</f>
        <v>0</v>
      </c>
      <c r="F60" s="380">
        <f t="shared" si="0"/>
        <v>11</v>
      </c>
      <c r="G60" s="410">
        <v>6.62</v>
      </c>
      <c r="H60" s="47">
        <f t="shared" si="8"/>
        <v>72.820000000000007</v>
      </c>
      <c r="I60" s="378">
        <f t="shared" si="1"/>
        <v>72.820000000000007</v>
      </c>
      <c r="J60" s="21">
        <f t="shared" si="2"/>
        <v>505.18295595156815</v>
      </c>
      <c r="K60" s="376">
        <f t="shared" si="3"/>
        <v>508.83878856262902</v>
      </c>
      <c r="L60" s="150">
        <f>'As-Filed Schedule 4'!H60</f>
        <v>2</v>
      </c>
      <c r="M60" s="388">
        <f>SUMIFS(Adjustments!$G:$G,Adjustments!$H:$H,"4",Adjustments!$I:$I,'Schedule 4 Adjustments'!$L$14,Adjustments!$J:$J,'Schedule 4 Adjustments'!$A60)</f>
        <v>0</v>
      </c>
      <c r="N60" s="380">
        <f t="shared" si="4"/>
        <v>2</v>
      </c>
      <c r="O60" s="410">
        <v>5.4</v>
      </c>
      <c r="P60" s="47">
        <f t="shared" si="9"/>
        <v>10.8</v>
      </c>
      <c r="Q60" s="378">
        <f t="shared" si="5"/>
        <v>10.8</v>
      </c>
      <c r="R60" s="21">
        <f t="shared" si="6"/>
        <v>412.08277373692874</v>
      </c>
      <c r="S60" s="376">
        <f t="shared" si="7"/>
        <v>415.06487284564906</v>
      </c>
    </row>
    <row r="61" spans="1:19" s="22" customFormat="1" ht="43.5" x14ac:dyDescent="0.35">
      <c r="A61" s="19">
        <v>49</v>
      </c>
      <c r="B61" s="19">
        <v>99211</v>
      </c>
      <c r="C61" s="20" t="s">
        <v>344</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53.418137336268529</v>
      </c>
      <c r="K61" s="376">
        <f t="shared" si="3"/>
        <v>53.804705739250799</v>
      </c>
      <c r="L61" s="150">
        <f>'As-Filed Schedule 4'!H61</f>
        <v>0</v>
      </c>
      <c r="M61" s="388">
        <f>SUMIFS(Adjustments!$G:$G,Adjustments!$H:$H,"4",Adjustments!$I:$I,'Schedule 4 Adjustments'!$L$14,Adjustments!$J:$J,'Schedule 4 Adjustments'!$A61)</f>
        <v>0</v>
      </c>
      <c r="N61" s="380">
        <f t="shared" si="4"/>
        <v>0</v>
      </c>
      <c r="O61" s="410">
        <v>0.26</v>
      </c>
      <c r="P61" s="47">
        <f t="shared" si="9"/>
        <v>0</v>
      </c>
      <c r="Q61" s="378">
        <f t="shared" si="5"/>
        <v>0</v>
      </c>
      <c r="R61" s="21">
        <f t="shared" si="6"/>
        <v>19.841022439185455</v>
      </c>
      <c r="S61" s="376">
        <f t="shared" si="7"/>
        <v>19.984604988864586</v>
      </c>
    </row>
    <row r="62" spans="1:19" s="22" customFormat="1" x14ac:dyDescent="0.35">
      <c r="A62" s="19">
        <v>50</v>
      </c>
      <c r="B62" s="19">
        <v>99212</v>
      </c>
      <c r="C62" s="20" t="s">
        <v>155</v>
      </c>
      <c r="D62" s="116">
        <f>'As-Filed Schedule 4'!D62</f>
        <v>274</v>
      </c>
      <c r="E62" s="388">
        <f>SUMIFS(Adjustments!$G:$G,Adjustments!$H:$H,"4",Adjustments!$I:$I,'Schedule 4 Adjustments'!$D$14,Adjustments!$J:$J,'Schedule 4 Adjustments'!$A62)</f>
        <v>0</v>
      </c>
      <c r="F62" s="380">
        <f t="shared" si="0"/>
        <v>274</v>
      </c>
      <c r="G62" s="410">
        <v>1.7</v>
      </c>
      <c r="H62" s="47">
        <f t="shared" si="8"/>
        <v>465.8</v>
      </c>
      <c r="I62" s="378">
        <f t="shared" si="1"/>
        <v>465.8</v>
      </c>
      <c r="J62" s="21">
        <f t="shared" si="2"/>
        <v>129.72976210236644</v>
      </c>
      <c r="K62" s="376">
        <f t="shared" si="3"/>
        <v>130.66857108103767</v>
      </c>
      <c r="L62" s="150">
        <f>'As-Filed Schedule 4'!H62</f>
        <v>29</v>
      </c>
      <c r="M62" s="388">
        <f>SUMIFS(Adjustments!$G:$G,Adjustments!$H:$H,"4",Adjustments!$I:$I,'Schedule 4 Adjustments'!$L$14,Adjustments!$J:$J,'Schedule 4 Adjustments'!$A62)</f>
        <v>0</v>
      </c>
      <c r="N62" s="380">
        <f t="shared" si="4"/>
        <v>29</v>
      </c>
      <c r="O62" s="410">
        <v>1.05</v>
      </c>
      <c r="P62" s="47">
        <f t="shared" si="9"/>
        <v>30.450000000000003</v>
      </c>
      <c r="Q62" s="378">
        <f t="shared" si="5"/>
        <v>30.450000000000003</v>
      </c>
      <c r="R62" s="21">
        <f t="shared" si="6"/>
        <v>80.127206004402808</v>
      </c>
      <c r="S62" s="376">
        <f t="shared" si="7"/>
        <v>80.70705860887621</v>
      </c>
    </row>
    <row r="63" spans="1:19" s="22" customFormat="1" x14ac:dyDescent="0.35">
      <c r="A63" s="19">
        <v>51</v>
      </c>
      <c r="B63" s="19">
        <v>99213</v>
      </c>
      <c r="C63" s="20" t="s">
        <v>155</v>
      </c>
      <c r="D63" s="116">
        <f>'As-Filed Schedule 4'!D63</f>
        <v>2214</v>
      </c>
      <c r="E63" s="388">
        <f>SUMIFS(Adjustments!$G:$G,Adjustments!$H:$H,"4",Adjustments!$I:$I,'Schedule 4 Adjustments'!$D$14,Adjustments!$J:$J,'Schedule 4 Adjustments'!$A63)</f>
        <v>0</v>
      </c>
      <c r="F63" s="380">
        <f t="shared" si="0"/>
        <v>2214</v>
      </c>
      <c r="G63" s="410">
        <v>2.73</v>
      </c>
      <c r="H63" s="47">
        <f t="shared" si="8"/>
        <v>6044.22</v>
      </c>
      <c r="I63" s="378">
        <f t="shared" si="1"/>
        <v>6044.22</v>
      </c>
      <c r="J63" s="21">
        <f t="shared" si="2"/>
        <v>208.3307356114473</v>
      </c>
      <c r="K63" s="376">
        <f t="shared" si="3"/>
        <v>209.83835238307813</v>
      </c>
      <c r="L63" s="150">
        <f>'As-Filed Schedule 4'!H63</f>
        <v>139</v>
      </c>
      <c r="M63" s="388">
        <f>SUMIFS(Adjustments!$G:$G,Adjustments!$H:$H,"4",Adjustments!$I:$I,'Schedule 4 Adjustments'!$L$14,Adjustments!$J:$J,'Schedule 4 Adjustments'!$A63)</f>
        <v>0</v>
      </c>
      <c r="N63" s="380">
        <f t="shared" si="4"/>
        <v>139</v>
      </c>
      <c r="O63" s="410">
        <v>1.96</v>
      </c>
      <c r="P63" s="47">
        <f t="shared" si="9"/>
        <v>272.44</v>
      </c>
      <c r="Q63" s="378">
        <f t="shared" si="5"/>
        <v>272.44</v>
      </c>
      <c r="R63" s="21">
        <f t="shared" si="6"/>
        <v>149.57078454155189</v>
      </c>
      <c r="S63" s="376">
        <f t="shared" si="7"/>
        <v>150.65317606990226</v>
      </c>
    </row>
    <row r="64" spans="1:19" s="22" customFormat="1" x14ac:dyDescent="0.35">
      <c r="A64" s="19">
        <v>52</v>
      </c>
      <c r="B64" s="19">
        <v>99214</v>
      </c>
      <c r="C64" s="20" t="s">
        <v>155</v>
      </c>
      <c r="D64" s="116">
        <f>'As-Filed Schedule 4'!D64</f>
        <v>13376</v>
      </c>
      <c r="E64" s="388">
        <f>SUMIFS(Adjustments!$G:$G,Adjustments!$H:$H,"4",Adjustments!$I:$I,'Schedule 4 Adjustments'!$D$14,Adjustments!$J:$J,'Schedule 4 Adjustments'!$A64)</f>
        <v>0</v>
      </c>
      <c r="F64" s="380">
        <f t="shared" si="0"/>
        <v>13376</v>
      </c>
      <c r="G64" s="410">
        <v>3.85</v>
      </c>
      <c r="H64" s="47">
        <f t="shared" si="8"/>
        <v>51497.599999999999</v>
      </c>
      <c r="I64" s="378">
        <f t="shared" si="1"/>
        <v>51497.599999999999</v>
      </c>
      <c r="J64" s="21">
        <f t="shared" si="2"/>
        <v>293.79975534947692</v>
      </c>
      <c r="K64" s="376">
        <f t="shared" si="3"/>
        <v>295.92588156587942</v>
      </c>
      <c r="L64" s="150">
        <f>'As-Filed Schedule 4'!H64</f>
        <v>3134</v>
      </c>
      <c r="M64" s="388">
        <f>SUMIFS(Adjustments!$G:$G,Adjustments!$H:$H,"4",Adjustments!$I:$I,'Schedule 4 Adjustments'!$L$14,Adjustments!$J:$J,'Schedule 4 Adjustments'!$A64)</f>
        <v>0</v>
      </c>
      <c r="N64" s="380">
        <f t="shared" si="4"/>
        <v>3134</v>
      </c>
      <c r="O64" s="410">
        <v>2.89</v>
      </c>
      <c r="P64" s="47">
        <f t="shared" si="9"/>
        <v>9057.26</v>
      </c>
      <c r="Q64" s="378">
        <f t="shared" si="5"/>
        <v>9057.26</v>
      </c>
      <c r="R64" s="21">
        <f t="shared" si="6"/>
        <v>220.54059557402297</v>
      </c>
      <c r="S64" s="376">
        <f t="shared" si="7"/>
        <v>222.13657083776405</v>
      </c>
    </row>
    <row r="65" spans="1:19" s="22" customFormat="1" x14ac:dyDescent="0.35">
      <c r="A65" s="19">
        <v>53</v>
      </c>
      <c r="B65" s="19">
        <v>99215</v>
      </c>
      <c r="C65" s="20" t="s">
        <v>155</v>
      </c>
      <c r="D65" s="116">
        <f>'As-Filed Schedule 4'!D65</f>
        <v>1540</v>
      </c>
      <c r="E65" s="388">
        <f>SUMIFS(Adjustments!$G:$G,Adjustments!$H:$H,"4",Adjustments!$I:$I,'Schedule 4 Adjustments'!$D$14,Adjustments!$J:$J,'Schedule 4 Adjustments'!$A65)</f>
        <v>0</v>
      </c>
      <c r="F65" s="380">
        <f t="shared" si="0"/>
        <v>1540</v>
      </c>
      <c r="G65" s="410">
        <v>5.42</v>
      </c>
      <c r="H65" s="47">
        <f t="shared" si="8"/>
        <v>8346.7999999999993</v>
      </c>
      <c r="I65" s="378">
        <f t="shared" si="1"/>
        <v>8346.7999999999993</v>
      </c>
      <c r="J65" s="21">
        <f t="shared" si="2"/>
        <v>413.60900623225064</v>
      </c>
      <c r="K65" s="376">
        <f t="shared" si="3"/>
        <v>416.6021501524848</v>
      </c>
      <c r="L65" s="150">
        <f>'As-Filed Schedule 4'!H65</f>
        <v>238</v>
      </c>
      <c r="M65" s="388">
        <f>SUMIFS(Adjustments!$G:$G,Adjustments!$H:$H,"4",Adjustments!$I:$I,'Schedule 4 Adjustments'!$L$14,Adjustments!$J:$J,'Schedule 4 Adjustments'!$A65)</f>
        <v>0</v>
      </c>
      <c r="N65" s="380">
        <f t="shared" si="4"/>
        <v>238</v>
      </c>
      <c r="O65" s="410">
        <v>4.29</v>
      </c>
      <c r="P65" s="47">
        <f t="shared" si="9"/>
        <v>1021.02</v>
      </c>
      <c r="Q65" s="378">
        <f t="shared" si="5"/>
        <v>1021.02</v>
      </c>
      <c r="R65" s="21">
        <f t="shared" si="6"/>
        <v>327.37687024656003</v>
      </c>
      <c r="S65" s="376">
        <f t="shared" si="7"/>
        <v>329.74598231626567</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187.72659692460084</v>
      </c>
      <c r="K66" s="376">
        <f t="shared" si="3"/>
        <v>189.08510874079568</v>
      </c>
      <c r="L66" s="150">
        <f>'As-Filed Schedule 4'!H66</f>
        <v>56</v>
      </c>
      <c r="M66" s="388">
        <f>SUMIFS(Adjustments!$G:$G,Adjustments!$H:$H,"4",Adjustments!$I:$I,'Schedule 4 Adjustments'!$L$14,Adjustments!$J:$J,'Schedule 4 Adjustments'!$A66)</f>
        <v>0</v>
      </c>
      <c r="N66" s="380">
        <f t="shared" si="4"/>
        <v>56</v>
      </c>
      <c r="O66" s="410">
        <v>2.46</v>
      </c>
      <c r="P66" s="47">
        <f t="shared" si="9"/>
        <v>137.76</v>
      </c>
      <c r="Q66" s="378">
        <f t="shared" si="5"/>
        <v>137.76</v>
      </c>
      <c r="R66" s="21">
        <f t="shared" si="6"/>
        <v>187.72659692460084</v>
      </c>
      <c r="S66" s="376">
        <f t="shared" si="7"/>
        <v>189.08510874079568</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296.08910409245988</v>
      </c>
      <c r="K67" s="376">
        <f t="shared" si="3"/>
        <v>298.23179752613299</v>
      </c>
      <c r="L67" s="150">
        <f>'As-Filed Schedule 4'!H67</f>
        <v>153</v>
      </c>
      <c r="M67" s="388">
        <f>SUMIFS(Adjustments!$G:$G,Adjustments!$H:$H,"4",Adjustments!$I:$I,'Schedule 4 Adjustments'!$L$14,Adjustments!$J:$J,'Schedule 4 Adjustments'!$A67)</f>
        <v>0</v>
      </c>
      <c r="N67" s="380">
        <f t="shared" si="4"/>
        <v>153</v>
      </c>
      <c r="O67" s="410">
        <v>3.88</v>
      </c>
      <c r="P67" s="47">
        <f t="shared" si="9"/>
        <v>593.64</v>
      </c>
      <c r="Q67" s="378">
        <f t="shared" si="5"/>
        <v>593.64</v>
      </c>
      <c r="R67" s="21">
        <f t="shared" si="6"/>
        <v>296.08910409245988</v>
      </c>
      <c r="S67" s="376">
        <f t="shared" si="7"/>
        <v>298.23179752613299</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392.24175129774324</v>
      </c>
      <c r="K68" s="376">
        <f t="shared" si="3"/>
        <v>395.08026785678447</v>
      </c>
      <c r="L68" s="150">
        <f>'As-Filed Schedule 4'!H68</f>
        <v>1654</v>
      </c>
      <c r="M68" s="388">
        <f>SUMIFS(Adjustments!$G:$G,Adjustments!$H:$H,"4",Adjustments!$I:$I,'Schedule 4 Adjustments'!$L$14,Adjustments!$J:$J,'Schedule 4 Adjustments'!$A68)</f>
        <v>0</v>
      </c>
      <c r="N68" s="380">
        <f t="shared" si="4"/>
        <v>1654</v>
      </c>
      <c r="O68" s="410">
        <v>5.14</v>
      </c>
      <c r="P68" s="47">
        <f t="shared" si="9"/>
        <v>8501.56</v>
      </c>
      <c r="Q68" s="378">
        <f t="shared" si="5"/>
        <v>8501.56</v>
      </c>
      <c r="R68" s="21">
        <f t="shared" si="6"/>
        <v>392.24175129774324</v>
      </c>
      <c r="S68" s="376">
        <f t="shared" si="7"/>
        <v>395.08026785678447</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112.17808840616392</v>
      </c>
      <c r="K69" s="376">
        <f t="shared" si="3"/>
        <v>112.98988205242668</v>
      </c>
      <c r="L69" s="150">
        <f>'As-Filed Schedule 4'!H69</f>
        <v>2399</v>
      </c>
      <c r="M69" s="388">
        <f>SUMIFS(Adjustments!$G:$G,Adjustments!$H:$H,"4",Adjustments!$I:$I,'Schedule 4 Adjustments'!$L$14,Adjustments!$J:$J,'Schedule 4 Adjustments'!$A69)</f>
        <v>0</v>
      </c>
      <c r="N69" s="380">
        <f t="shared" si="4"/>
        <v>2399</v>
      </c>
      <c r="O69" s="410">
        <v>1.47</v>
      </c>
      <c r="P69" s="47">
        <f t="shared" si="9"/>
        <v>3526.5299999999997</v>
      </c>
      <c r="Q69" s="378">
        <f t="shared" si="5"/>
        <v>3526.5299999999997</v>
      </c>
      <c r="R69" s="21">
        <f t="shared" si="6"/>
        <v>112.17808840616392</v>
      </c>
      <c r="S69" s="376">
        <f t="shared" si="7"/>
        <v>112.98988205242668</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178.56920195266909</v>
      </c>
      <c r="K70" s="376">
        <f t="shared" si="3"/>
        <v>179.86144489978125</v>
      </c>
      <c r="L70" s="150">
        <f>'As-Filed Schedule 4'!H70</f>
        <v>3416</v>
      </c>
      <c r="M70" s="388">
        <f>SUMIFS(Adjustments!$G:$G,Adjustments!$H:$H,"4",Adjustments!$I:$I,'Schedule 4 Adjustments'!$L$14,Adjustments!$J:$J,'Schedule 4 Adjustments'!$A70)</f>
        <v>0</v>
      </c>
      <c r="N70" s="380">
        <f t="shared" si="4"/>
        <v>3416</v>
      </c>
      <c r="O70" s="410">
        <v>2.34</v>
      </c>
      <c r="P70" s="47">
        <f t="shared" si="9"/>
        <v>7993.44</v>
      </c>
      <c r="Q70" s="378">
        <f t="shared" si="5"/>
        <v>7993.44</v>
      </c>
      <c r="R70" s="21">
        <f t="shared" si="6"/>
        <v>178.56920195266909</v>
      </c>
      <c r="S70" s="376">
        <f t="shared" si="7"/>
        <v>179.86144489978125</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268.61691917666462</v>
      </c>
      <c r="K71" s="376">
        <f t="shared" si="3"/>
        <v>270.56080600308974</v>
      </c>
      <c r="L71" s="150">
        <f>'As-Filed Schedule 4'!H71</f>
        <v>403</v>
      </c>
      <c r="M71" s="388">
        <f>SUMIFS(Adjustments!$G:$G,Adjustments!$H:$H,"4",Adjustments!$I:$I,'Schedule 4 Adjustments'!$L$14,Adjustments!$J:$J,'Schedule 4 Adjustments'!$A71)</f>
        <v>0</v>
      </c>
      <c r="N71" s="380">
        <f t="shared" si="4"/>
        <v>403</v>
      </c>
      <c r="O71" s="410">
        <v>3.52</v>
      </c>
      <c r="P71" s="47">
        <f t="shared" si="9"/>
        <v>1418.56</v>
      </c>
      <c r="Q71" s="378">
        <f t="shared" si="5"/>
        <v>1418.56</v>
      </c>
      <c r="R71" s="21">
        <f t="shared" si="6"/>
        <v>268.61691917666462</v>
      </c>
      <c r="S71" s="376">
        <f t="shared" si="7"/>
        <v>270.56080600308974</v>
      </c>
    </row>
    <row r="72" spans="1:19" s="22" customFormat="1" ht="29" x14ac:dyDescent="0.35">
      <c r="A72" s="19">
        <v>60</v>
      </c>
      <c r="B72" s="19">
        <v>99234</v>
      </c>
      <c r="C72" s="20" t="s">
        <v>359</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221.30371182168392</v>
      </c>
      <c r="K72" s="376">
        <f t="shared" si="3"/>
        <v>222.90520949118189</v>
      </c>
      <c r="L72" s="150">
        <f>'As-Filed Schedule 4'!H72</f>
        <v>1</v>
      </c>
      <c r="M72" s="388">
        <f>SUMIFS(Adjustments!$G:$G,Adjustments!$H:$H,"4",Adjustments!$I:$I,'Schedule 4 Adjustments'!$L$14,Adjustments!$J:$J,'Schedule 4 Adjustments'!$A72)</f>
        <v>0</v>
      </c>
      <c r="N72" s="380">
        <f t="shared" si="4"/>
        <v>1</v>
      </c>
      <c r="O72" s="410">
        <v>2.9</v>
      </c>
      <c r="P72" s="47">
        <f t="shared" si="9"/>
        <v>2.9</v>
      </c>
      <c r="Q72" s="378">
        <f t="shared" si="5"/>
        <v>2.9</v>
      </c>
      <c r="R72" s="21">
        <f t="shared" si="6"/>
        <v>221.30371182168392</v>
      </c>
      <c r="S72" s="376">
        <f t="shared" si="7"/>
        <v>222.90520949118189</v>
      </c>
    </row>
    <row r="73" spans="1:19" s="22" customFormat="1" ht="29" x14ac:dyDescent="0.35">
      <c r="A73" s="19">
        <v>61</v>
      </c>
      <c r="B73" s="19">
        <v>99235</v>
      </c>
      <c r="C73" s="20" t="s">
        <v>360</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360.95398514364314</v>
      </c>
      <c r="K73" s="376">
        <f t="shared" si="3"/>
        <v>363.56608306665191</v>
      </c>
      <c r="L73" s="150">
        <f>'As-Filed Schedule 4'!H73</f>
        <v>6</v>
      </c>
      <c r="M73" s="388">
        <f>SUMIFS(Adjustments!$G:$G,Adjustments!$H:$H,"4",Adjustments!$I:$I,'Schedule 4 Adjustments'!$L$14,Adjustments!$J:$J,'Schedule 4 Adjustments'!$A73)</f>
        <v>0</v>
      </c>
      <c r="N73" s="380">
        <f t="shared" si="4"/>
        <v>6</v>
      </c>
      <c r="O73" s="410">
        <v>4.7300000000000004</v>
      </c>
      <c r="P73" s="47">
        <f t="shared" si="9"/>
        <v>28.380000000000003</v>
      </c>
      <c r="Q73" s="378">
        <f t="shared" si="5"/>
        <v>28.380000000000003</v>
      </c>
      <c r="R73" s="21">
        <f t="shared" si="6"/>
        <v>360.95398514364314</v>
      </c>
      <c r="S73" s="376">
        <f t="shared" si="7"/>
        <v>363.56608306665191</v>
      </c>
    </row>
    <row r="74" spans="1:19" s="22" customFormat="1" ht="29" x14ac:dyDescent="0.35">
      <c r="A74" s="19">
        <v>62</v>
      </c>
      <c r="B74" s="19">
        <v>99236</v>
      </c>
      <c r="C74" s="20" t="s">
        <v>361</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471.60584105448504</v>
      </c>
      <c r="K74" s="376">
        <f t="shared" si="3"/>
        <v>475.01868781224277</v>
      </c>
      <c r="L74" s="150">
        <f>'As-Filed Schedule 4'!H74</f>
        <v>2</v>
      </c>
      <c r="M74" s="388">
        <f>SUMIFS(Adjustments!$G:$G,Adjustments!$H:$H,"4",Adjustments!$I:$I,'Schedule 4 Adjustments'!$L$14,Adjustments!$J:$J,'Schedule 4 Adjustments'!$A74)</f>
        <v>0</v>
      </c>
      <c r="N74" s="380">
        <f t="shared" si="4"/>
        <v>2</v>
      </c>
      <c r="O74" s="410">
        <v>6.18</v>
      </c>
      <c r="P74" s="47">
        <f t="shared" si="9"/>
        <v>12.36</v>
      </c>
      <c r="Q74" s="378">
        <f t="shared" si="5"/>
        <v>12.36</v>
      </c>
      <c r="R74" s="21">
        <f t="shared" si="6"/>
        <v>471.60584105448504</v>
      </c>
      <c r="S74" s="376">
        <f t="shared" si="7"/>
        <v>475.01868781224277</v>
      </c>
    </row>
    <row r="75" spans="1:19" s="22" customFormat="1" x14ac:dyDescent="0.35">
      <c r="A75" s="19">
        <v>63</v>
      </c>
      <c r="B75" s="19">
        <v>99238</v>
      </c>
      <c r="C75" s="20" t="s">
        <v>345</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183.91101568629597</v>
      </c>
      <c r="K75" s="376">
        <f t="shared" si="3"/>
        <v>185.24191547370634</v>
      </c>
      <c r="L75" s="150">
        <f>'As-Filed Schedule 4'!H75</f>
        <v>1290</v>
      </c>
      <c r="M75" s="388">
        <f>SUMIFS(Adjustments!$G:$G,Adjustments!$H:$H,"4",Adjustments!$I:$I,'Schedule 4 Adjustments'!$L$14,Adjustments!$J:$J,'Schedule 4 Adjustments'!$A75)</f>
        <v>0</v>
      </c>
      <c r="N75" s="380">
        <f t="shared" si="4"/>
        <v>1290</v>
      </c>
      <c r="O75" s="410">
        <v>2.41</v>
      </c>
      <c r="P75" s="47">
        <f t="shared" si="9"/>
        <v>3108.9</v>
      </c>
      <c r="Q75" s="378">
        <f t="shared" si="5"/>
        <v>3108.9</v>
      </c>
      <c r="R75" s="21">
        <f t="shared" si="6"/>
        <v>183.91101568629597</v>
      </c>
      <c r="S75" s="376">
        <f t="shared" si="7"/>
        <v>185.24191547370634</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259.45952420473287</v>
      </c>
      <c r="K76" s="376">
        <f t="shared" si="3"/>
        <v>261.33714216207534</v>
      </c>
      <c r="L76" s="150">
        <f>'As-Filed Schedule 4'!H76</f>
        <v>450</v>
      </c>
      <c r="M76" s="388">
        <f>SUMIFS(Adjustments!$G:$G,Adjustments!$H:$H,"4",Adjustments!$I:$I,'Schedule 4 Adjustments'!$L$14,Adjustments!$J:$J,'Schedule 4 Adjustments'!$A76)</f>
        <v>0</v>
      </c>
      <c r="N76" s="380">
        <f t="shared" si="4"/>
        <v>450</v>
      </c>
      <c r="O76" s="410">
        <v>3.4</v>
      </c>
      <c r="P76" s="47">
        <f t="shared" si="9"/>
        <v>1530</v>
      </c>
      <c r="Q76" s="378">
        <f t="shared" si="5"/>
        <v>1530</v>
      </c>
      <c r="R76" s="21">
        <f t="shared" si="6"/>
        <v>259.45952420473287</v>
      </c>
      <c r="S76" s="376">
        <f t="shared" si="7"/>
        <v>261.33714216207534</v>
      </c>
    </row>
    <row r="77" spans="1:19" s="22" customFormat="1" x14ac:dyDescent="0.35">
      <c r="A77" s="19">
        <v>65</v>
      </c>
      <c r="B77" s="19">
        <v>99242</v>
      </c>
      <c r="C77" s="20" t="s">
        <v>346</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171.70115572372029</v>
      </c>
      <c r="K77" s="376">
        <f t="shared" si="3"/>
        <v>172.94369701902045</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126.67729711172252</v>
      </c>
      <c r="S77" s="376">
        <f t="shared" si="7"/>
        <v>127.59401646736619</v>
      </c>
    </row>
    <row r="78" spans="1:19" s="22" customFormat="1" x14ac:dyDescent="0.35">
      <c r="A78" s="19">
        <v>66</v>
      </c>
      <c r="B78" s="19">
        <v>99243</v>
      </c>
      <c r="C78" s="20" t="s">
        <v>347</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257.17017546174998</v>
      </c>
      <c r="K78" s="376">
        <f t="shared" si="3"/>
        <v>259.03122620182171</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199.93645688717652</v>
      </c>
      <c r="S78" s="376">
        <f t="shared" si="7"/>
        <v>201.3833271954816</v>
      </c>
    </row>
    <row r="79" spans="1:19" s="22" customFormat="1" x14ac:dyDescent="0.35">
      <c r="A79" s="19">
        <v>67</v>
      </c>
      <c r="B79" s="19">
        <v>99244</v>
      </c>
      <c r="C79" s="20" t="s">
        <v>348</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367.05891512493088</v>
      </c>
      <c r="K79" s="376">
        <f t="shared" si="3"/>
        <v>369.71519229399479</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304.48338281673068</v>
      </c>
      <c r="S79" s="376">
        <f t="shared" si="7"/>
        <v>306.68682271372961</v>
      </c>
    </row>
    <row r="80" spans="1:19" s="22" customFormat="1" x14ac:dyDescent="0.35">
      <c r="A80" s="19">
        <v>68</v>
      </c>
      <c r="B80" s="19">
        <v>99245</v>
      </c>
      <c r="C80" s="20" t="s">
        <v>349</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479.2370035310949</v>
      </c>
      <c r="K80" s="376">
        <f t="shared" si="3"/>
        <v>482.7050743464215</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409.03030874628479</v>
      </c>
      <c r="S80" s="376">
        <f t="shared" si="7"/>
        <v>411.9903182319776</v>
      </c>
    </row>
    <row r="81" spans="1:19" s="22" customFormat="1" x14ac:dyDescent="0.35">
      <c r="A81" s="19">
        <v>69</v>
      </c>
      <c r="B81" s="19">
        <v>99252</v>
      </c>
      <c r="C81" s="20" t="s">
        <v>350</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161.01752825646656</v>
      </c>
      <c r="K81" s="376">
        <f t="shared" si="3"/>
        <v>162.18275587117026</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161.01752825646656</v>
      </c>
      <c r="S81" s="376">
        <f t="shared" si="7"/>
        <v>162.18275587117026</v>
      </c>
    </row>
    <row r="82" spans="1:19" s="22" customFormat="1" x14ac:dyDescent="0.35">
      <c r="A82" s="19">
        <v>70</v>
      </c>
      <c r="B82" s="19">
        <v>99253</v>
      </c>
      <c r="C82" s="20" t="s">
        <v>351</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225.88240930764979</v>
      </c>
      <c r="K82" s="376">
        <f t="shared" si="3"/>
        <v>227.51704141168912</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225.88240930764979</v>
      </c>
      <c r="S82" s="376">
        <f t="shared" si="7"/>
        <v>227.51704141168912</v>
      </c>
    </row>
    <row r="83" spans="1:19" s="22" customFormat="1" x14ac:dyDescent="0.35">
      <c r="A83" s="19">
        <v>71</v>
      </c>
      <c r="B83" s="19">
        <v>99254</v>
      </c>
      <c r="C83" s="20" t="s">
        <v>352</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313.64077778866243</v>
      </c>
      <c r="K83" s="376">
        <f t="shared" ref="K83:K146" si="14">G83*$I$12</f>
        <v>315.91048655474401</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313.64077778866243</v>
      </c>
      <c r="S83" s="376">
        <f t="shared" ref="S83:S146" si="18">O83*$I$12</f>
        <v>315.91048655474401</v>
      </c>
    </row>
    <row r="84" spans="1:19" s="22" customFormat="1" x14ac:dyDescent="0.35">
      <c r="A84" s="19">
        <v>72</v>
      </c>
      <c r="B84" s="19">
        <v>99255</v>
      </c>
      <c r="C84" s="20" t="s">
        <v>353</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422.00328495652144</v>
      </c>
      <c r="K84" s="376">
        <f t="shared" si="14"/>
        <v>425.05717534008136</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422.00328495652144</v>
      </c>
      <c r="S84" s="376">
        <f t="shared" si="18"/>
        <v>425.05717534008136</v>
      </c>
    </row>
    <row r="85" spans="1:19" s="22" customFormat="1" x14ac:dyDescent="0.35">
      <c r="A85" s="19">
        <v>73</v>
      </c>
      <c r="B85" s="19">
        <v>99281</v>
      </c>
      <c r="C85" s="20" t="s">
        <v>354</v>
      </c>
      <c r="D85" s="116">
        <f>'As-Filed Schedule 4'!D85</f>
        <v>8</v>
      </c>
      <c r="E85" s="388">
        <f>SUMIFS(Adjustments!$G:$G,Adjustments!$H:$H,"4",Adjustments!$I:$I,'Schedule 4 Adjustments'!$D$14,Adjustments!$J:$J,'Schedule 4 Adjustments'!$A85)</f>
        <v>0</v>
      </c>
      <c r="F85" s="380">
        <f t="shared" si="12"/>
        <v>8</v>
      </c>
      <c r="G85" s="410">
        <v>0.34</v>
      </c>
      <c r="H85" s="47">
        <f t="shared" si="19"/>
        <v>2.72</v>
      </c>
      <c r="I85" s="378">
        <f t="shared" si="13"/>
        <v>2.72</v>
      </c>
      <c r="J85" s="21">
        <f t="shared" si="10"/>
        <v>25.94595242047329</v>
      </c>
      <c r="K85" s="376">
        <f t="shared" si="14"/>
        <v>26.133714216207537</v>
      </c>
      <c r="L85" s="150">
        <f>'As-Filed Schedule 4'!H85</f>
        <v>66</v>
      </c>
      <c r="M85" s="388">
        <f>SUMIFS(Adjustments!$G:$G,Adjustments!$H:$H,"4",Adjustments!$I:$I,'Schedule 4 Adjustments'!$L$14,Adjustments!$J:$J,'Schedule 4 Adjustments'!$A85)</f>
        <v>0</v>
      </c>
      <c r="N85" s="380">
        <f t="shared" si="15"/>
        <v>66</v>
      </c>
      <c r="O85" s="410">
        <v>0.34</v>
      </c>
      <c r="P85" s="47">
        <f t="shared" si="16"/>
        <v>22.44</v>
      </c>
      <c r="Q85" s="378">
        <f t="shared" si="17"/>
        <v>22.44</v>
      </c>
      <c r="R85" s="21">
        <f t="shared" si="11"/>
        <v>25.94595242047329</v>
      </c>
      <c r="S85" s="376">
        <f t="shared" si="18"/>
        <v>26.133714216207537</v>
      </c>
    </row>
    <row r="86" spans="1:19" s="22" customFormat="1" x14ac:dyDescent="0.35">
      <c r="A86" s="19">
        <v>74</v>
      </c>
      <c r="B86" s="19">
        <v>99282</v>
      </c>
      <c r="C86" s="20" t="s">
        <v>355</v>
      </c>
      <c r="D86" s="116">
        <f>'As-Filed Schedule 4'!D86</f>
        <v>75</v>
      </c>
      <c r="E86" s="388">
        <f>SUMIFS(Adjustments!$G:$G,Adjustments!$H:$H,"4",Adjustments!$I:$I,'Schedule 4 Adjustments'!$D$14,Adjustments!$J:$J,'Schedule 4 Adjustments'!$A86)</f>
        <v>0</v>
      </c>
      <c r="F86" s="380">
        <f t="shared" si="12"/>
        <v>75</v>
      </c>
      <c r="G86" s="410">
        <v>1.24</v>
      </c>
      <c r="H86" s="47">
        <f t="shared" si="19"/>
        <v>93</v>
      </c>
      <c r="I86" s="378">
        <f t="shared" si="13"/>
        <v>93</v>
      </c>
      <c r="J86" s="21">
        <f t="shared" si="10"/>
        <v>94.626414709961409</v>
      </c>
      <c r="K86" s="376">
        <f t="shared" si="14"/>
        <v>95.311193023815704</v>
      </c>
      <c r="L86" s="150">
        <f>'As-Filed Schedule 4'!H86</f>
        <v>1032</v>
      </c>
      <c r="M86" s="388">
        <f>SUMIFS(Adjustments!$G:$G,Adjustments!$H:$H,"4",Adjustments!$I:$I,'Schedule 4 Adjustments'!$L$14,Adjustments!$J:$J,'Schedule 4 Adjustments'!$A86)</f>
        <v>0</v>
      </c>
      <c r="N86" s="380">
        <f t="shared" si="15"/>
        <v>1032</v>
      </c>
      <c r="O86" s="410">
        <v>1.24</v>
      </c>
      <c r="P86" s="47">
        <f t="shared" si="16"/>
        <v>1279.68</v>
      </c>
      <c r="Q86" s="378">
        <f t="shared" si="17"/>
        <v>1279.68</v>
      </c>
      <c r="R86" s="21">
        <f t="shared" si="11"/>
        <v>94.626414709961409</v>
      </c>
      <c r="S86" s="376">
        <f t="shared" si="18"/>
        <v>95.311193023815704</v>
      </c>
    </row>
    <row r="87" spans="1:19" s="22" customFormat="1" x14ac:dyDescent="0.35">
      <c r="A87" s="19">
        <v>75</v>
      </c>
      <c r="B87" s="19">
        <v>99283</v>
      </c>
      <c r="C87" s="20" t="s">
        <v>356</v>
      </c>
      <c r="D87" s="116">
        <f>'As-Filed Schedule 4'!D87</f>
        <v>297</v>
      </c>
      <c r="E87" s="388">
        <f>SUMIFS(Adjustments!$G:$G,Adjustments!$H:$H,"4",Adjustments!$I:$I,'Schedule 4 Adjustments'!$D$14,Adjustments!$J:$J,'Schedule 4 Adjustments'!$A87)</f>
        <v>0</v>
      </c>
      <c r="F87" s="380">
        <f t="shared" si="12"/>
        <v>297</v>
      </c>
      <c r="G87" s="410">
        <v>2.11</v>
      </c>
      <c r="H87" s="47">
        <f t="shared" si="19"/>
        <v>626.66999999999996</v>
      </c>
      <c r="I87" s="378">
        <f t="shared" si="13"/>
        <v>626.66999999999996</v>
      </c>
      <c r="J87" s="21">
        <f t="shared" si="10"/>
        <v>161.01752825646656</v>
      </c>
      <c r="K87" s="376">
        <f t="shared" si="14"/>
        <v>162.18275587117026</v>
      </c>
      <c r="L87" s="150">
        <f>'As-Filed Schedule 4'!H87</f>
        <v>477</v>
      </c>
      <c r="M87" s="388">
        <f>SUMIFS(Adjustments!$G:$G,Adjustments!$H:$H,"4",Adjustments!$I:$I,'Schedule 4 Adjustments'!$L$14,Adjustments!$J:$J,'Schedule 4 Adjustments'!$A87)</f>
        <v>0</v>
      </c>
      <c r="N87" s="380">
        <f t="shared" si="15"/>
        <v>477</v>
      </c>
      <c r="O87" s="410">
        <v>2.11</v>
      </c>
      <c r="P87" s="47">
        <f t="shared" si="16"/>
        <v>1006.4699999999999</v>
      </c>
      <c r="Q87" s="378">
        <f t="shared" si="17"/>
        <v>1006.4699999999999</v>
      </c>
      <c r="R87" s="21">
        <f t="shared" si="11"/>
        <v>161.01752825646656</v>
      </c>
      <c r="S87" s="376">
        <f t="shared" si="18"/>
        <v>162.18275587117026</v>
      </c>
    </row>
    <row r="88" spans="1:19" s="22" customFormat="1" x14ac:dyDescent="0.35">
      <c r="A88" s="19">
        <v>76</v>
      </c>
      <c r="B88" s="19">
        <v>99284</v>
      </c>
      <c r="C88" s="20" t="s">
        <v>357</v>
      </c>
      <c r="D88" s="116">
        <f>'As-Filed Schedule 4'!D88</f>
        <v>165</v>
      </c>
      <c r="E88" s="388">
        <f>SUMIFS(Adjustments!$G:$G,Adjustments!$H:$H,"4",Adjustments!$I:$I,'Schedule 4 Adjustments'!$D$14,Adjustments!$J:$J,'Schedule 4 Adjustments'!$A88)</f>
        <v>0</v>
      </c>
      <c r="F88" s="380">
        <f t="shared" si="12"/>
        <v>165</v>
      </c>
      <c r="G88" s="410">
        <v>3.59</v>
      </c>
      <c r="H88" s="47">
        <f t="shared" si="19"/>
        <v>592.35</v>
      </c>
      <c r="I88" s="378">
        <f t="shared" si="13"/>
        <v>592.35</v>
      </c>
      <c r="J88" s="21">
        <f t="shared" si="10"/>
        <v>273.95873291029147</v>
      </c>
      <c r="K88" s="376">
        <f t="shared" si="14"/>
        <v>275.94127657701483</v>
      </c>
      <c r="L88" s="150">
        <f>'As-Filed Schedule 4'!H88</f>
        <v>297</v>
      </c>
      <c r="M88" s="388">
        <f>SUMIFS(Adjustments!$G:$G,Adjustments!$H:$H,"4",Adjustments!$I:$I,'Schedule 4 Adjustments'!$L$14,Adjustments!$J:$J,'Schedule 4 Adjustments'!$A88)</f>
        <v>0</v>
      </c>
      <c r="N88" s="380">
        <f t="shared" si="15"/>
        <v>297</v>
      </c>
      <c r="O88" s="410">
        <v>3.59</v>
      </c>
      <c r="P88" s="47">
        <f t="shared" si="16"/>
        <v>1066.23</v>
      </c>
      <c r="Q88" s="378">
        <f t="shared" si="17"/>
        <v>1066.23</v>
      </c>
      <c r="R88" s="21">
        <f t="shared" si="11"/>
        <v>273.95873291029147</v>
      </c>
      <c r="S88" s="376">
        <f t="shared" si="18"/>
        <v>275.94127657701483</v>
      </c>
    </row>
    <row r="89" spans="1:19" s="22" customFormat="1" x14ac:dyDescent="0.35">
      <c r="A89" s="19">
        <v>77</v>
      </c>
      <c r="B89" s="19">
        <v>99285</v>
      </c>
      <c r="C89" s="20" t="s">
        <v>358</v>
      </c>
      <c r="D89" s="116">
        <f>'As-Filed Schedule 4'!D89</f>
        <v>42</v>
      </c>
      <c r="E89" s="388">
        <f>SUMIFS(Adjustments!$G:$G,Adjustments!$H:$H,"4",Adjustments!$I:$I,'Schedule 4 Adjustments'!$D$14,Adjustments!$J:$J,'Schedule 4 Adjustments'!$A89)</f>
        <v>0</v>
      </c>
      <c r="F89" s="380">
        <f t="shared" si="12"/>
        <v>42</v>
      </c>
      <c r="G89" s="410">
        <v>5.2</v>
      </c>
      <c r="H89" s="47">
        <f t="shared" si="19"/>
        <v>218.4</v>
      </c>
      <c r="I89" s="378">
        <f t="shared" si="13"/>
        <v>218.4</v>
      </c>
      <c r="J89" s="21">
        <f t="shared" si="10"/>
        <v>396.82044878370914</v>
      </c>
      <c r="K89" s="376">
        <f t="shared" si="14"/>
        <v>399.69209977729167</v>
      </c>
      <c r="L89" s="150">
        <f>'As-Filed Schedule 4'!H89</f>
        <v>22</v>
      </c>
      <c r="M89" s="388">
        <f>SUMIFS(Adjustments!$G:$G,Adjustments!$H:$H,"4",Adjustments!$I:$I,'Schedule 4 Adjustments'!$L$14,Adjustments!$J:$J,'Schedule 4 Adjustments'!$A89)</f>
        <v>0</v>
      </c>
      <c r="N89" s="380">
        <f t="shared" si="15"/>
        <v>22</v>
      </c>
      <c r="O89" s="410">
        <v>5.2</v>
      </c>
      <c r="P89" s="47">
        <f t="shared" si="16"/>
        <v>114.4</v>
      </c>
      <c r="Q89" s="378">
        <f t="shared" si="17"/>
        <v>114.4</v>
      </c>
      <c r="R89" s="21">
        <f t="shared" si="11"/>
        <v>396.82044878370914</v>
      </c>
      <c r="S89" s="376">
        <f t="shared" si="18"/>
        <v>399.69209977729167</v>
      </c>
    </row>
    <row r="90" spans="1:19" s="22" customFormat="1" x14ac:dyDescent="0.35">
      <c r="A90" s="19">
        <v>78</v>
      </c>
      <c r="B90" s="19">
        <v>99304</v>
      </c>
      <c r="C90" s="20" t="s">
        <v>362</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182.38478319097402</v>
      </c>
      <c r="K90" s="376">
        <f t="shared" si="14"/>
        <v>183.70463816687061</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182.38478319097402</v>
      </c>
      <c r="S90" s="376">
        <f t="shared" si="18"/>
        <v>183.70463816687061</v>
      </c>
    </row>
    <row r="91" spans="1:19" s="22" customFormat="1" x14ac:dyDescent="0.35">
      <c r="A91" s="19">
        <v>79</v>
      </c>
      <c r="B91" s="19">
        <v>99305</v>
      </c>
      <c r="C91" s="20" t="s">
        <v>363</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302.95715032140873</v>
      </c>
      <c r="K91" s="376">
        <f t="shared" si="14"/>
        <v>305.14954540689388</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302.95715032140873</v>
      </c>
      <c r="S91" s="376">
        <f t="shared" si="18"/>
        <v>305.14954540689388</v>
      </c>
    </row>
    <row r="92" spans="1:19" s="22" customFormat="1" x14ac:dyDescent="0.35">
      <c r="A92" s="19">
        <v>80</v>
      </c>
      <c r="B92" s="19">
        <v>99306</v>
      </c>
      <c r="C92" s="20" t="s">
        <v>364</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413.60900623225064</v>
      </c>
      <c r="K92" s="376">
        <f t="shared" si="14"/>
        <v>416.6021501524848</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413.60900623225064</v>
      </c>
      <c r="S92" s="376">
        <f t="shared" si="18"/>
        <v>416.6021501524848</v>
      </c>
    </row>
    <row r="93" spans="1:19" s="22" customFormat="1" x14ac:dyDescent="0.35">
      <c r="A93" s="19">
        <v>81</v>
      </c>
      <c r="B93" s="19">
        <v>99307</v>
      </c>
      <c r="C93" s="20" t="s">
        <v>365</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91.573949719317483</v>
      </c>
      <c r="K93" s="376">
        <f t="shared" si="14"/>
        <v>92.236638410144238</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91.573949719317483</v>
      </c>
      <c r="S93" s="376">
        <f t="shared" si="18"/>
        <v>92.236638410144238</v>
      </c>
    </row>
    <row r="94" spans="1:19" s="22" customFormat="1" x14ac:dyDescent="0.35">
      <c r="A94" s="19">
        <v>82</v>
      </c>
      <c r="B94" s="19">
        <v>99308</v>
      </c>
      <c r="C94" s="20" t="s">
        <v>366</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169.41180698073737</v>
      </c>
      <c r="K94" s="376">
        <f t="shared" si="14"/>
        <v>170.63778105876685</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169.41180698073737</v>
      </c>
      <c r="S94" s="376">
        <f t="shared" si="18"/>
        <v>170.63778105876685</v>
      </c>
    </row>
    <row r="95" spans="1:19" s="22" customFormat="1" x14ac:dyDescent="0.35">
      <c r="A95" s="19">
        <v>83</v>
      </c>
      <c r="B95" s="19">
        <v>99309</v>
      </c>
      <c r="C95" s="20" t="s">
        <v>367</v>
      </c>
      <c r="D95" s="116">
        <f>'As-Filed Schedule 4'!D95</f>
        <v>0</v>
      </c>
      <c r="E95" s="388">
        <f>SUMIFS(Adjustments!$G:$G,Adjustments!$H:$H,"4",Adjustments!$I:$I,'Schedule 4 Adjustments'!$D$14,Adjustments!$J:$J,'Schedule 4 Adjustments'!$A95)</f>
        <v>0</v>
      </c>
      <c r="F95" s="380">
        <f t="shared" si="12"/>
        <v>0</v>
      </c>
      <c r="G95" s="410">
        <v>3.21</v>
      </c>
      <c r="H95" s="47">
        <f t="shared" si="19"/>
        <v>0</v>
      </c>
      <c r="I95" s="378">
        <f t="shared" si="13"/>
        <v>0</v>
      </c>
      <c r="J95" s="21">
        <f t="shared" si="10"/>
        <v>244.96031549917427</v>
      </c>
      <c r="K95" s="376">
        <f t="shared" si="14"/>
        <v>246.73300774713582</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244.96031549917427</v>
      </c>
      <c r="S95" s="376">
        <f t="shared" si="18"/>
        <v>246.73300774713582</v>
      </c>
    </row>
    <row r="96" spans="1:19" s="22" customFormat="1" x14ac:dyDescent="0.35">
      <c r="A96" s="19">
        <v>84</v>
      </c>
      <c r="B96" s="19">
        <v>99310</v>
      </c>
      <c r="C96" s="20" t="s">
        <v>368</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349.50724142872843</v>
      </c>
      <c r="K96" s="376">
        <f t="shared" si="14"/>
        <v>352.03650326538383</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349.50724142872843</v>
      </c>
      <c r="S96" s="376">
        <f t="shared" si="18"/>
        <v>352.03650326538383</v>
      </c>
    </row>
    <row r="97" spans="1:19" s="22" customFormat="1" x14ac:dyDescent="0.35">
      <c r="A97" s="19">
        <v>85</v>
      </c>
      <c r="B97" s="19">
        <v>99315</v>
      </c>
      <c r="C97" s="20" t="s">
        <v>369</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185.43724818161792</v>
      </c>
      <c r="K97" s="376">
        <f t="shared" si="14"/>
        <v>186.77919278054208</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185.43724818161792</v>
      </c>
      <c r="S97" s="376">
        <f t="shared" si="18"/>
        <v>186.77919278054208</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297.61533658778183</v>
      </c>
      <c r="K98" s="376">
        <f t="shared" si="14"/>
        <v>299.76907483296878</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297.61533658778183</v>
      </c>
      <c r="S98" s="376">
        <f t="shared" si="18"/>
        <v>299.76907483296878</v>
      </c>
    </row>
    <row r="99" spans="1:19" s="22" customFormat="1" x14ac:dyDescent="0.35">
      <c r="A99" s="19">
        <v>87</v>
      </c>
      <c r="B99" s="19">
        <v>99341</v>
      </c>
      <c r="C99" s="20" t="s">
        <v>370</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112.17808840616392</v>
      </c>
      <c r="K99" s="376">
        <f t="shared" si="14"/>
        <v>112.98988205242668</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112.17808840616392</v>
      </c>
      <c r="S99" s="376">
        <f t="shared" si="18"/>
        <v>112.98988205242668</v>
      </c>
    </row>
    <row r="100" spans="1:19" s="22" customFormat="1" x14ac:dyDescent="0.35">
      <c r="A100" s="19">
        <v>88</v>
      </c>
      <c r="B100" s="19">
        <v>99342</v>
      </c>
      <c r="C100" s="20" t="s">
        <v>371</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177.80608570500812</v>
      </c>
      <c r="K100" s="376">
        <f t="shared" si="14"/>
        <v>179.09280624636341</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177.80608570500812</v>
      </c>
      <c r="S100" s="376">
        <f t="shared" si="18"/>
        <v>179.09280624636341</v>
      </c>
    </row>
    <row r="101" spans="1:19" s="22" customFormat="1" x14ac:dyDescent="0.35">
      <c r="A101" s="19">
        <v>89</v>
      </c>
      <c r="B101" s="19">
        <v>99344</v>
      </c>
      <c r="C101" s="20" t="s">
        <v>372</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322.79817276059418</v>
      </c>
      <c r="K101" s="376">
        <f t="shared" si="14"/>
        <v>325.13415039575847</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322.79817276059418</v>
      </c>
      <c r="S101" s="376">
        <f t="shared" si="18"/>
        <v>325.13415039575847</v>
      </c>
    </row>
    <row r="102" spans="1:19" s="22" customFormat="1" x14ac:dyDescent="0.35">
      <c r="A102" s="19">
        <v>90</v>
      </c>
      <c r="B102" s="19">
        <v>99345</v>
      </c>
      <c r="C102" s="20" t="s">
        <v>373</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458.63286484424839</v>
      </c>
      <c r="K102" s="376">
        <f t="shared" si="14"/>
        <v>461.95183070413901</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458.63286484424839</v>
      </c>
      <c r="S102" s="376">
        <f t="shared" si="18"/>
        <v>461.95183070413901</v>
      </c>
    </row>
    <row r="103" spans="1:19" s="22" customFormat="1" x14ac:dyDescent="0.35">
      <c r="A103" s="19">
        <v>91</v>
      </c>
      <c r="B103" s="19">
        <v>99347</v>
      </c>
      <c r="C103" s="20" t="s">
        <v>374</v>
      </c>
      <c r="D103" s="116">
        <f>'As-Filed Schedule 4'!D103</f>
        <v>15</v>
      </c>
      <c r="E103" s="388">
        <f>SUMIFS(Adjustments!$G:$G,Adjustments!$H:$H,"4",Adjustments!$I:$I,'Schedule 4 Adjustments'!$D$14,Adjustments!$J:$J,'Schedule 4 Adjustments'!$A103)</f>
        <v>0</v>
      </c>
      <c r="F103" s="380">
        <f t="shared" si="12"/>
        <v>15</v>
      </c>
      <c r="G103" s="410">
        <v>1.35</v>
      </c>
      <c r="H103" s="47">
        <f t="shared" si="19"/>
        <v>20.25</v>
      </c>
      <c r="I103" s="378">
        <f t="shared" si="13"/>
        <v>20.25</v>
      </c>
      <c r="J103" s="21">
        <f t="shared" si="10"/>
        <v>103.02069343423219</v>
      </c>
      <c r="K103" s="376">
        <f t="shared" si="14"/>
        <v>103.76621821141227</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103.02069343423219</v>
      </c>
      <c r="S103" s="376">
        <f t="shared" si="18"/>
        <v>103.76621821141227</v>
      </c>
    </row>
    <row r="104" spans="1:19" s="22" customFormat="1" x14ac:dyDescent="0.35">
      <c r="A104" s="19">
        <v>92</v>
      </c>
      <c r="B104" s="19">
        <v>99348</v>
      </c>
      <c r="C104" s="20" t="s">
        <v>375</v>
      </c>
      <c r="D104" s="116">
        <f>'As-Filed Schedule 4'!D104</f>
        <v>2</v>
      </c>
      <c r="E104" s="388">
        <f>SUMIFS(Adjustments!$G:$G,Adjustments!$H:$H,"4",Adjustments!$I:$I,'Schedule 4 Adjustments'!$D$14,Adjustments!$J:$J,'Schedule 4 Adjustments'!$A104)</f>
        <v>0</v>
      </c>
      <c r="F104" s="380">
        <f t="shared" si="12"/>
        <v>2</v>
      </c>
      <c r="G104" s="410">
        <v>2.2799999999999998</v>
      </c>
      <c r="H104" s="47">
        <f t="shared" si="19"/>
        <v>4.5599999999999996</v>
      </c>
      <c r="I104" s="378">
        <f t="shared" si="13"/>
        <v>4.5599999999999996</v>
      </c>
      <c r="J104" s="21">
        <f t="shared" si="10"/>
        <v>173.99050446670321</v>
      </c>
      <c r="K104" s="376">
        <f t="shared" si="14"/>
        <v>175.24961297927402</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173.99050446670321</v>
      </c>
      <c r="S104" s="376">
        <f t="shared" si="18"/>
        <v>175.24961297927402</v>
      </c>
    </row>
    <row r="105" spans="1:19" s="22" customFormat="1" x14ac:dyDescent="0.35">
      <c r="A105" s="19">
        <v>93</v>
      </c>
      <c r="B105" s="19">
        <v>99349</v>
      </c>
      <c r="C105" s="20" t="s">
        <v>376</v>
      </c>
      <c r="D105" s="116">
        <f>'As-Filed Schedule 4'!D105</f>
        <v>91</v>
      </c>
      <c r="E105" s="388">
        <f>SUMIFS(Adjustments!$G:$G,Adjustments!$H:$H,"4",Adjustments!$I:$I,'Schedule 4 Adjustments'!$D$14,Adjustments!$J:$J,'Schedule 4 Adjustments'!$A105)</f>
        <v>0</v>
      </c>
      <c r="F105" s="380">
        <f t="shared" si="12"/>
        <v>91</v>
      </c>
      <c r="G105" s="410">
        <v>3.79</v>
      </c>
      <c r="H105" s="47">
        <f t="shared" si="19"/>
        <v>344.89</v>
      </c>
      <c r="I105" s="378">
        <f t="shared" si="13"/>
        <v>344.89</v>
      </c>
      <c r="J105" s="21">
        <f t="shared" si="10"/>
        <v>289.22105786351108</v>
      </c>
      <c r="K105" s="376">
        <f t="shared" si="14"/>
        <v>291.31404964537222</v>
      </c>
      <c r="L105" s="150">
        <f>'As-Filed Schedule 4'!H105</f>
        <v>1</v>
      </c>
      <c r="M105" s="388">
        <f>SUMIFS(Adjustments!$G:$G,Adjustments!$H:$H,"4",Adjustments!$I:$I,'Schedule 4 Adjustments'!$L$14,Adjustments!$J:$J,'Schedule 4 Adjustments'!$A105)</f>
        <v>0</v>
      </c>
      <c r="N105" s="380">
        <f t="shared" si="15"/>
        <v>1</v>
      </c>
      <c r="O105" s="410">
        <v>3.79</v>
      </c>
      <c r="P105" s="47">
        <f t="shared" si="16"/>
        <v>3.79</v>
      </c>
      <c r="Q105" s="378">
        <f t="shared" si="17"/>
        <v>3.79</v>
      </c>
      <c r="R105" s="21">
        <f t="shared" si="11"/>
        <v>289.22105786351108</v>
      </c>
      <c r="S105" s="376">
        <f t="shared" si="18"/>
        <v>291.31404964537222</v>
      </c>
    </row>
    <row r="106" spans="1:19" s="22" customFormat="1" x14ac:dyDescent="0.35">
      <c r="A106" s="19">
        <v>94</v>
      </c>
      <c r="B106" s="19">
        <v>99350</v>
      </c>
      <c r="C106" s="20" t="s">
        <v>377</v>
      </c>
      <c r="D106" s="116">
        <f>'As-Filed Schedule 4'!D106</f>
        <v>3</v>
      </c>
      <c r="E106" s="388">
        <f>SUMIFS(Adjustments!$G:$G,Adjustments!$H:$H,"4",Adjustments!$I:$I,'Schedule 4 Adjustments'!$D$14,Adjustments!$J:$J,'Schedule 4 Adjustments'!$A106)</f>
        <v>0</v>
      </c>
      <c r="F106" s="380">
        <f t="shared" si="12"/>
        <v>3</v>
      </c>
      <c r="G106" s="410">
        <v>5.52</v>
      </c>
      <c r="H106" s="47">
        <f t="shared" si="19"/>
        <v>16.559999999999999</v>
      </c>
      <c r="I106" s="378">
        <f t="shared" si="13"/>
        <v>16.559999999999999</v>
      </c>
      <c r="J106" s="21">
        <f t="shared" si="10"/>
        <v>421.24016870886044</v>
      </c>
      <c r="K106" s="376">
        <f t="shared" si="14"/>
        <v>424.28853668666346</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421.24016870886044</v>
      </c>
      <c r="S106" s="376">
        <f t="shared" si="18"/>
        <v>424.28853668666346</v>
      </c>
    </row>
    <row r="107" spans="1:19" s="22" customFormat="1" x14ac:dyDescent="0.35">
      <c r="A107" s="19">
        <v>95</v>
      </c>
      <c r="B107" s="19">
        <v>99366</v>
      </c>
      <c r="C107" s="20" t="s">
        <v>378</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93.100182214639446</v>
      </c>
      <c r="K107" s="376">
        <f t="shared" si="14"/>
        <v>93.773915716979971</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90.810833471656508</v>
      </c>
      <c r="S107" s="376">
        <f t="shared" si="18"/>
        <v>91.467999756726357</v>
      </c>
    </row>
    <row r="108" spans="1:19" s="22" customFormat="1" x14ac:dyDescent="0.35">
      <c r="A108" s="19">
        <v>96</v>
      </c>
      <c r="B108" s="19">
        <v>99367</v>
      </c>
      <c r="C108" s="20" t="s">
        <v>379</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122.09859962575666</v>
      </c>
      <c r="K108" s="376">
        <f t="shared" si="14"/>
        <v>122.98218454685899</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122.09859962575666</v>
      </c>
      <c r="S108" s="376">
        <f t="shared" si="18"/>
        <v>122.98218454685899</v>
      </c>
    </row>
    <row r="109" spans="1:19" s="22" customFormat="1" x14ac:dyDescent="0.35">
      <c r="A109" s="19">
        <v>97</v>
      </c>
      <c r="B109" s="19">
        <v>99368</v>
      </c>
      <c r="C109" s="20" t="s">
        <v>380</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79.364089756741819</v>
      </c>
      <c r="K109" s="376">
        <f t="shared" si="14"/>
        <v>79.938419955458343</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79.364089756741819</v>
      </c>
      <c r="S109" s="376">
        <f t="shared" si="18"/>
        <v>79.938419955458343</v>
      </c>
    </row>
    <row r="110" spans="1:19" s="22" customFormat="1" x14ac:dyDescent="0.35">
      <c r="A110" s="19">
        <v>98</v>
      </c>
      <c r="B110" s="19">
        <v>99441</v>
      </c>
      <c r="C110" s="20" t="s">
        <v>381</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128.96664585470546</v>
      </c>
      <c r="K110" s="376">
        <f t="shared" si="14"/>
        <v>129.8999324276198</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79.364089756741819</v>
      </c>
      <c r="S110" s="376">
        <f t="shared" si="18"/>
        <v>79.938419955458343</v>
      </c>
    </row>
    <row r="111" spans="1:19" s="22" customFormat="1" x14ac:dyDescent="0.35">
      <c r="A111" s="19">
        <v>99</v>
      </c>
      <c r="B111" s="19">
        <v>99442</v>
      </c>
      <c r="C111" s="20" t="s">
        <v>382</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207.56761936378632</v>
      </c>
      <c r="K111" s="376">
        <f t="shared" si="14"/>
        <v>209.06971372966029</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148.80766829389091</v>
      </c>
      <c r="S111" s="376">
        <f t="shared" si="18"/>
        <v>149.88453741648439</v>
      </c>
    </row>
    <row r="112" spans="1:19" s="22" customFormat="1" x14ac:dyDescent="0.35">
      <c r="A112" s="19">
        <v>100</v>
      </c>
      <c r="B112" s="19">
        <v>99443</v>
      </c>
      <c r="C112" s="20" t="s">
        <v>383</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293.79975534947692</v>
      </c>
      <c r="K112" s="376">
        <f t="shared" si="14"/>
        <v>295.92588156587942</v>
      </c>
      <c r="L112" s="150">
        <f>'As-Filed Schedule 4'!H112</f>
        <v>0</v>
      </c>
      <c r="M112" s="388">
        <f>SUMIFS(Adjustments!$G:$G,Adjustments!$H:$H,"4",Adjustments!$I:$I,'Schedule 4 Adjustments'!$L$14,Adjustments!$J:$J,'Schedule 4 Adjustments'!$A112)</f>
        <v>0</v>
      </c>
      <c r="N112" s="380">
        <f t="shared" si="15"/>
        <v>0</v>
      </c>
      <c r="O112" s="410">
        <v>2.89</v>
      </c>
      <c r="P112" s="47">
        <f t="shared" si="16"/>
        <v>0</v>
      </c>
      <c r="Q112" s="378">
        <f t="shared" si="17"/>
        <v>0</v>
      </c>
      <c r="R112" s="21">
        <f t="shared" si="11"/>
        <v>220.54059557402297</v>
      </c>
      <c r="S112" s="376">
        <f t="shared" si="18"/>
        <v>222.13657083776405</v>
      </c>
    </row>
    <row r="113" spans="1:19" s="22" customFormat="1" ht="34.5" customHeight="1" x14ac:dyDescent="0.35">
      <c r="A113" s="19">
        <v>101</v>
      </c>
      <c r="B113" s="19" t="s">
        <v>42</v>
      </c>
      <c r="C113" s="20" t="s">
        <v>384</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96.915763452944347</v>
      </c>
      <c r="K113" s="376">
        <f t="shared" si="14"/>
        <v>97.617108984069318</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84.705903490368684</v>
      </c>
      <c r="S113" s="376">
        <f t="shared" si="18"/>
        <v>85.318890529383424</v>
      </c>
    </row>
    <row r="114" spans="1:19" s="22" customFormat="1" ht="29" x14ac:dyDescent="0.35">
      <c r="A114" s="19">
        <v>102</v>
      </c>
      <c r="B114" s="19" t="s">
        <v>43</v>
      </c>
      <c r="C114" s="20" t="s">
        <v>385</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57.23371857457343</v>
      </c>
      <c r="K114" s="376">
        <f t="shared" si="14"/>
        <v>57.647899006340147</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28.235301163456224</v>
      </c>
      <c r="S114" s="376">
        <f t="shared" si="18"/>
        <v>28.43963017646114</v>
      </c>
    </row>
    <row r="115" spans="1:19" s="22" customFormat="1" x14ac:dyDescent="0.35">
      <c r="A115" s="19">
        <v>103</v>
      </c>
      <c r="B115" s="19" t="s">
        <v>44</v>
      </c>
      <c r="C115" s="20" t="s">
        <v>129</v>
      </c>
      <c r="D115" s="116">
        <f>'As-Filed Schedule 4'!D115</f>
        <v>68</v>
      </c>
      <c r="E115" s="388">
        <f>SUMIFS(Adjustments!$G:$G,Adjustments!$H:$H,"4",Adjustments!$I:$I,'Schedule 4 Adjustments'!$D$14,Adjustments!$J:$J,'Schedule 4 Adjustments'!$A115)</f>
        <v>0</v>
      </c>
      <c r="F115" s="380">
        <f t="shared" si="12"/>
        <v>68</v>
      </c>
      <c r="G115" s="410">
        <v>5.17</v>
      </c>
      <c r="H115" s="47">
        <f t="shared" si="19"/>
        <v>351.56</v>
      </c>
      <c r="I115" s="378">
        <f t="shared" si="13"/>
        <v>351.56</v>
      </c>
      <c r="J115" s="21">
        <f t="shared" si="10"/>
        <v>394.53110004072619</v>
      </c>
      <c r="K115" s="376">
        <f t="shared" si="14"/>
        <v>397.38618381703805</v>
      </c>
      <c r="L115" s="150">
        <f>'As-Filed Schedule 4'!H115</f>
        <v>112</v>
      </c>
      <c r="M115" s="388">
        <f>SUMIFS(Adjustments!$G:$G,Adjustments!$H:$H,"4",Adjustments!$I:$I,'Schedule 4 Adjustments'!$L$14,Adjustments!$J:$J,'Schedule 4 Adjustments'!$A115)</f>
        <v>0</v>
      </c>
      <c r="N115" s="380">
        <f t="shared" si="15"/>
        <v>112</v>
      </c>
      <c r="O115" s="410">
        <v>4.43</v>
      </c>
      <c r="P115" s="47">
        <f t="shared" si="16"/>
        <v>496.15999999999997</v>
      </c>
      <c r="Q115" s="378">
        <f t="shared" si="17"/>
        <v>496.15999999999997</v>
      </c>
      <c r="R115" s="21">
        <f t="shared" si="11"/>
        <v>338.06049771381373</v>
      </c>
      <c r="S115" s="376">
        <f t="shared" si="18"/>
        <v>340.5069234641158</v>
      </c>
    </row>
    <row r="116" spans="1:19" s="22" customFormat="1" x14ac:dyDescent="0.35">
      <c r="A116" s="19">
        <v>104</v>
      </c>
      <c r="B116" s="19" t="s">
        <v>45</v>
      </c>
      <c r="C116" s="20" t="s">
        <v>386</v>
      </c>
      <c r="D116" s="116">
        <f>'As-Filed Schedule 4'!D116</f>
        <v>936</v>
      </c>
      <c r="E116" s="388">
        <f>SUMIFS(Adjustments!$G:$G,Adjustments!$H:$H,"4",Adjustments!$I:$I,'Schedule 4 Adjustments'!$D$14,Adjustments!$J:$J,'Schedule 4 Adjustments'!$A116)</f>
        <v>0</v>
      </c>
      <c r="F116" s="380">
        <f t="shared" si="12"/>
        <v>936</v>
      </c>
      <c r="G116" s="410">
        <v>0.72</v>
      </c>
      <c r="H116" s="47">
        <f t="shared" si="19"/>
        <v>673.92</v>
      </c>
      <c r="I116" s="378">
        <f t="shared" si="13"/>
        <v>673.92</v>
      </c>
      <c r="J116" s="21">
        <f t="shared" si="10"/>
        <v>54.944369831590492</v>
      </c>
      <c r="K116" s="376">
        <f t="shared" si="14"/>
        <v>55.34198304608654</v>
      </c>
      <c r="L116" s="150">
        <f>'As-Filed Schedule 4'!H116</f>
        <v>1937</v>
      </c>
      <c r="M116" s="388">
        <f>SUMIFS(Adjustments!$G:$G,Adjustments!$H:$H,"4",Adjustments!$I:$I,'Schedule 4 Adjustments'!$L$14,Adjustments!$J:$J,'Schedule 4 Adjustments'!$A116)</f>
        <v>0</v>
      </c>
      <c r="N116" s="380">
        <f t="shared" si="15"/>
        <v>1937</v>
      </c>
      <c r="O116" s="410">
        <v>0.66</v>
      </c>
      <c r="P116" s="47">
        <f t="shared" si="16"/>
        <v>1278.42</v>
      </c>
      <c r="Q116" s="378">
        <f t="shared" si="17"/>
        <v>1278.42</v>
      </c>
      <c r="R116" s="21">
        <f t="shared" si="11"/>
        <v>50.365672345624624</v>
      </c>
      <c r="S116" s="376">
        <f t="shared" si="18"/>
        <v>50.730151125579333</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17678</v>
      </c>
      <c r="E118" s="388">
        <f>SUMIFS(Adjustments!$G:$G,Adjustments!$H:$H,"4",Adjustments!$I:$I,'Schedule 4 Adjustments'!$D$14,Adjustments!$J:$J,'Schedule 4 Adjustments'!$A118)</f>
        <v>0</v>
      </c>
      <c r="F118" s="380">
        <f t="shared" si="12"/>
        <v>17678</v>
      </c>
      <c r="G118" s="410">
        <v>1.18</v>
      </c>
      <c r="H118" s="47">
        <f t="shared" si="19"/>
        <v>20860.039999999997</v>
      </c>
      <c r="I118" s="378">
        <f t="shared" si="13"/>
        <v>20860.039999999997</v>
      </c>
      <c r="J118" s="21">
        <f t="shared" si="10"/>
        <v>90.047717223995519</v>
      </c>
      <c r="K118" s="376">
        <f t="shared" si="14"/>
        <v>90.69936110330849</v>
      </c>
      <c r="L118" s="150">
        <f>'As-Filed Schedule 4'!H118</f>
        <v>16968</v>
      </c>
      <c r="M118" s="388">
        <f>SUMIFS(Adjustments!$G:$G,Adjustments!$H:$H,"4",Adjustments!$I:$I,'Schedule 4 Adjustments'!$L$14,Adjustments!$J:$J,'Schedule 4 Adjustments'!$A118)</f>
        <v>0</v>
      </c>
      <c r="N118" s="380">
        <f t="shared" si="15"/>
        <v>16968</v>
      </c>
      <c r="O118" s="410">
        <v>1.03</v>
      </c>
      <c r="P118" s="47">
        <f t="shared" si="16"/>
        <v>17477.04</v>
      </c>
      <c r="Q118" s="378">
        <f t="shared" si="17"/>
        <v>17477.04</v>
      </c>
      <c r="R118" s="21">
        <f t="shared" si="11"/>
        <v>78.600973509080845</v>
      </c>
      <c r="S118" s="376">
        <f t="shared" si="18"/>
        <v>79.169781302040477</v>
      </c>
    </row>
    <row r="119" spans="1:19" s="22" customFormat="1" x14ac:dyDescent="0.35">
      <c r="A119" s="19">
        <v>107</v>
      </c>
      <c r="B119" s="19" t="s">
        <v>47</v>
      </c>
      <c r="C119" s="20" t="s">
        <v>131</v>
      </c>
      <c r="D119" s="116">
        <f>'As-Filed Schedule 4'!D119</f>
        <v>4389</v>
      </c>
      <c r="E119" s="388">
        <f>SUMIFS(Adjustments!$G:$G,Adjustments!$H:$H,"4",Adjustments!$I:$I,'Schedule 4 Adjustments'!$D$14,Adjustments!$J:$J,'Schedule 4 Adjustments'!$A119)</f>
        <v>0</v>
      </c>
      <c r="F119" s="380">
        <f t="shared" si="12"/>
        <v>4389</v>
      </c>
      <c r="G119" s="410">
        <v>0.83</v>
      </c>
      <c r="H119" s="47">
        <f t="shared" si="19"/>
        <v>3642.87</v>
      </c>
      <c r="I119" s="378">
        <f t="shared" si="13"/>
        <v>3642.87</v>
      </c>
      <c r="J119" s="21">
        <f t="shared" si="10"/>
        <v>63.338648555861262</v>
      </c>
      <c r="K119" s="376">
        <f t="shared" si="14"/>
        <v>63.797008233683094</v>
      </c>
      <c r="L119" s="150">
        <f>'As-Filed Schedule 4'!H119</f>
        <v>12769</v>
      </c>
      <c r="M119" s="388">
        <f>SUMIFS(Adjustments!$G:$G,Adjustments!$H:$H,"4",Adjustments!$I:$I,'Schedule 4 Adjustments'!$L$14,Adjustments!$J:$J,'Schedule 4 Adjustments'!$A119)</f>
        <v>0</v>
      </c>
      <c r="N119" s="380">
        <f t="shared" si="15"/>
        <v>12769</v>
      </c>
      <c r="O119" s="410">
        <v>0.72</v>
      </c>
      <c r="P119" s="47">
        <f t="shared" si="16"/>
        <v>9193.68</v>
      </c>
      <c r="Q119" s="378">
        <f t="shared" si="17"/>
        <v>9193.68</v>
      </c>
      <c r="R119" s="21">
        <f t="shared" si="11"/>
        <v>54.944369831590492</v>
      </c>
      <c r="S119" s="376">
        <f t="shared" si="18"/>
        <v>55.34198304608654</v>
      </c>
    </row>
    <row r="120" spans="1:19" s="22" customFormat="1" x14ac:dyDescent="0.35">
      <c r="A120" s="19">
        <v>108</v>
      </c>
      <c r="B120" s="19" t="s">
        <v>48</v>
      </c>
      <c r="C120" s="20" t="s">
        <v>132</v>
      </c>
      <c r="D120" s="116">
        <f>'As-Filed Schedule 4'!D120</f>
        <v>498</v>
      </c>
      <c r="E120" s="388">
        <f>SUMIFS(Adjustments!$G:$G,Adjustments!$H:$H,"4",Adjustments!$I:$I,'Schedule 4 Adjustments'!$D$14,Adjustments!$J:$J,'Schedule 4 Adjustments'!$A120)</f>
        <v>0</v>
      </c>
      <c r="F120" s="380">
        <f t="shared" si="12"/>
        <v>498</v>
      </c>
      <c r="G120" s="410">
        <v>0.64</v>
      </c>
      <c r="H120" s="47">
        <f t="shared" si="19"/>
        <v>318.72000000000003</v>
      </c>
      <c r="I120" s="378">
        <f t="shared" si="13"/>
        <v>318.72000000000003</v>
      </c>
      <c r="J120" s="21">
        <f t="shared" si="10"/>
        <v>48.839439850302661</v>
      </c>
      <c r="K120" s="376">
        <f t="shared" si="14"/>
        <v>49.192873818743593</v>
      </c>
      <c r="L120" s="150">
        <f>'As-Filed Schedule 4'!H120</f>
        <v>4179</v>
      </c>
      <c r="M120" s="388">
        <f>SUMIFS(Adjustments!$G:$G,Adjustments!$H:$H,"4",Adjustments!$I:$I,'Schedule 4 Adjustments'!$L$14,Adjustments!$J:$J,'Schedule 4 Adjustments'!$A120)</f>
        <v>0</v>
      </c>
      <c r="N120" s="380">
        <f t="shared" si="15"/>
        <v>4179</v>
      </c>
      <c r="O120" s="410">
        <v>0.6</v>
      </c>
      <c r="P120" s="47">
        <f t="shared" si="16"/>
        <v>2507.4</v>
      </c>
      <c r="Q120" s="378">
        <f t="shared" si="17"/>
        <v>2507.4</v>
      </c>
      <c r="R120" s="21">
        <f t="shared" si="11"/>
        <v>45.786974859658741</v>
      </c>
      <c r="S120" s="376">
        <f t="shared" si="18"/>
        <v>46.118319205072119</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387</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386</v>
      </c>
      <c r="M122" s="388">
        <f>SUMIFS(Adjustments!$G:$G,Adjustments!$H:$H,"4",Adjustments!$I:$I,'Schedule 4 Adjustments'!$L$14,Adjustments!$J:$J,'Schedule 4 Adjustments'!$A122)</f>
        <v>0</v>
      </c>
      <c r="N122" s="380">
        <f t="shared" si="15"/>
        <v>386</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388</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3736</v>
      </c>
      <c r="M123" s="388">
        <f>SUMIFS(Adjustments!$G:$G,Adjustments!$H:$H,"4",Adjustments!$I:$I,'Schedule 4 Adjustments'!$L$14,Adjustments!$J:$J,'Schedule 4 Adjustments'!$A123)</f>
        <v>0</v>
      </c>
      <c r="N123" s="380">
        <f t="shared" si="15"/>
        <v>3736</v>
      </c>
      <c r="O123" s="410">
        <v>0</v>
      </c>
      <c r="P123" s="47">
        <f t="shared" si="16"/>
        <v>0</v>
      </c>
      <c r="Q123" s="378">
        <f t="shared" si="17"/>
        <v>0</v>
      </c>
      <c r="R123" s="21">
        <f t="shared" si="11"/>
        <v>0</v>
      </c>
      <c r="S123" s="376">
        <f t="shared" si="18"/>
        <v>0</v>
      </c>
    </row>
    <row r="124" spans="1:19" s="22" customFormat="1" x14ac:dyDescent="0.35">
      <c r="A124" s="19">
        <v>112</v>
      </c>
      <c r="B124" s="19" t="s">
        <v>50</v>
      </c>
      <c r="C124" s="20" t="s">
        <v>389</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201.4626893824985</v>
      </c>
      <c r="K124" s="376">
        <f t="shared" si="14"/>
        <v>202.92060450231733</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201.4626893824985</v>
      </c>
      <c r="S124" s="376">
        <f t="shared" si="18"/>
        <v>202.92060450231733</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0</v>
      </c>
      <c r="M126" s="388">
        <f>SUMIFS(Adjustments!$G:$G,Adjustments!$H:$H,"4",Adjustments!$I:$I,'Schedule 4 Adjustments'!$L$14,Adjustments!$J:$J,'Schedule 4 Adjustments'!$A126)</f>
        <v>0</v>
      </c>
      <c r="N126" s="380">
        <f t="shared" si="15"/>
        <v>0</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390</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77.83785726141987</v>
      </c>
      <c r="K128" s="376">
        <f t="shared" si="14"/>
        <v>78.401142648622596</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71.732927280132031</v>
      </c>
      <c r="S128" s="376">
        <f t="shared" si="18"/>
        <v>72.252033421279648</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391</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9.1573949719317493</v>
      </c>
      <c r="K130" s="376">
        <f t="shared" si="14"/>
        <v>9.2236638410144227</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6.8680462289488116</v>
      </c>
      <c r="S130" s="376">
        <f t="shared" si="18"/>
        <v>6.9177478807608175</v>
      </c>
    </row>
    <row r="131" spans="1:19" s="22" customFormat="1" x14ac:dyDescent="0.35">
      <c r="A131" s="19">
        <v>119</v>
      </c>
      <c r="B131" s="19" t="s">
        <v>56</v>
      </c>
      <c r="C131" s="20" t="s">
        <v>392</v>
      </c>
      <c r="D131" s="116">
        <f>'As-Filed Schedule 4'!D131</f>
        <v>0</v>
      </c>
      <c r="E131" s="388">
        <f>SUMIFS(Adjustments!$G:$G,Adjustments!$H:$H,"4",Adjustments!$I:$I,'Schedule 4 Adjustments'!$D$14,Adjustments!$J:$J,'Schedule 4 Adjustments'!$A131)</f>
        <v>0</v>
      </c>
      <c r="F131" s="380">
        <f t="shared" si="12"/>
        <v>0</v>
      </c>
      <c r="G131" s="410">
        <v>0.59</v>
      </c>
      <c r="H131" s="47">
        <f t="shared" si="19"/>
        <v>0</v>
      </c>
      <c r="I131" s="378">
        <f t="shared" si="13"/>
        <v>0</v>
      </c>
      <c r="J131" s="21">
        <f t="shared" si="10"/>
        <v>45.02385861199776</v>
      </c>
      <c r="K131" s="376">
        <f t="shared" si="14"/>
        <v>45.349680551654245</v>
      </c>
      <c r="L131" s="150">
        <f>'As-Filed Schedule 4'!H131</f>
        <v>0</v>
      </c>
      <c r="M131" s="388">
        <f>SUMIFS(Adjustments!$G:$G,Adjustments!$H:$H,"4",Adjustments!$I:$I,'Schedule 4 Adjustments'!$L$14,Adjustments!$J:$J,'Schedule 4 Adjustments'!$A131)</f>
        <v>0</v>
      </c>
      <c r="N131" s="380">
        <f t="shared" si="15"/>
        <v>0</v>
      </c>
      <c r="O131" s="410">
        <v>0.55000000000000004</v>
      </c>
      <c r="P131" s="47">
        <f t="shared" si="16"/>
        <v>0</v>
      </c>
      <c r="Q131" s="378">
        <f t="shared" si="17"/>
        <v>0</v>
      </c>
      <c r="R131" s="21">
        <f t="shared" si="11"/>
        <v>41.971393621353855</v>
      </c>
      <c r="S131" s="376">
        <f t="shared" si="18"/>
        <v>42.275125937982779</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57.23371857457343</v>
      </c>
      <c r="K132" s="376">
        <f t="shared" si="14"/>
        <v>57.647899006340147</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28.235301163456224</v>
      </c>
      <c r="S132" s="376">
        <f t="shared" si="18"/>
        <v>28.43963017646114</v>
      </c>
    </row>
    <row r="133" spans="1:19" s="22" customFormat="1" ht="29" x14ac:dyDescent="0.35">
      <c r="A133" s="19">
        <v>121</v>
      </c>
      <c r="B133" s="19" t="s">
        <v>58</v>
      </c>
      <c r="C133" s="20" t="s">
        <v>137</v>
      </c>
      <c r="D133" s="116">
        <f>'As-Filed Schedule 4'!D133</f>
        <v>0</v>
      </c>
      <c r="E133" s="388">
        <f>SUMIFS(Adjustments!$G:$G,Adjustments!$H:$H,"4",Adjustments!$I:$I,'Schedule 4 Adjustments'!$D$14,Adjustments!$J:$J,'Schedule 4 Adjustments'!$A133)</f>
        <v>0</v>
      </c>
      <c r="F133" s="380">
        <f t="shared" si="12"/>
        <v>0</v>
      </c>
      <c r="G133" s="410">
        <v>0.75</v>
      </c>
      <c r="H133" s="47">
        <f t="shared" si="19"/>
        <v>0</v>
      </c>
      <c r="I133" s="378">
        <f t="shared" si="13"/>
        <v>0</v>
      </c>
      <c r="J133" s="21">
        <f t="shared" si="10"/>
        <v>57.23371857457343</v>
      </c>
      <c r="K133" s="376">
        <f t="shared" si="14"/>
        <v>57.647899006340147</v>
      </c>
      <c r="L133" s="150">
        <f>'As-Filed Schedule 4'!H133</f>
        <v>0</v>
      </c>
      <c r="M133" s="388">
        <f>SUMIFS(Adjustments!$G:$G,Adjustments!$H:$H,"4",Adjustments!$I:$I,'Schedule 4 Adjustments'!$L$14,Adjustments!$J:$J,'Schedule 4 Adjustments'!$A133)</f>
        <v>0</v>
      </c>
      <c r="N133" s="380">
        <f t="shared" si="15"/>
        <v>0</v>
      </c>
      <c r="O133" s="410">
        <v>0.37</v>
      </c>
      <c r="P133" s="47">
        <f t="shared" si="16"/>
        <v>0</v>
      </c>
      <c r="Q133" s="378">
        <f t="shared" si="17"/>
        <v>0</v>
      </c>
      <c r="R133" s="21">
        <f t="shared" si="11"/>
        <v>28.235301163456224</v>
      </c>
      <c r="S133" s="376">
        <f t="shared" si="18"/>
        <v>28.43963017646114</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394</v>
      </c>
      <c r="D138" s="116">
        <f>'As-Filed Schedule 4'!D138</f>
        <v>536</v>
      </c>
      <c r="E138" s="388">
        <f>SUMIFS(Adjustments!$G:$G,Adjustments!$H:$H,"4",Adjustments!$I:$I,'Schedule 4 Adjustments'!$D$14,Adjustments!$J:$J,'Schedule 4 Adjustments'!$A138)</f>
        <v>0</v>
      </c>
      <c r="F138" s="380">
        <f t="shared" si="12"/>
        <v>536</v>
      </c>
      <c r="G138" s="410">
        <v>3.27</v>
      </c>
      <c r="H138" s="47">
        <f t="shared" si="19"/>
        <v>1752.72</v>
      </c>
      <c r="I138" s="378">
        <f t="shared" si="13"/>
        <v>1752.72</v>
      </c>
      <c r="J138" s="21">
        <f t="shared" si="10"/>
        <v>249.53901298514015</v>
      </c>
      <c r="K138" s="376">
        <f t="shared" si="14"/>
        <v>251.34483966764304</v>
      </c>
      <c r="L138" s="150">
        <f>'As-Filed Schedule 4'!H138</f>
        <v>381</v>
      </c>
      <c r="M138" s="388">
        <f>SUMIFS(Adjustments!$G:$G,Adjustments!$H:$H,"4",Adjustments!$I:$I,'Schedule 4 Adjustments'!$L$14,Adjustments!$J:$J,'Schedule 4 Adjustments'!$A138)</f>
        <v>0</v>
      </c>
      <c r="N138" s="380">
        <f t="shared" si="15"/>
        <v>381</v>
      </c>
      <c r="O138" s="410">
        <v>2.17</v>
      </c>
      <c r="P138" s="47">
        <f t="shared" si="16"/>
        <v>826.77</v>
      </c>
      <c r="Q138" s="378">
        <f t="shared" si="17"/>
        <v>826.77</v>
      </c>
      <c r="R138" s="21">
        <f t="shared" si="11"/>
        <v>165.59622574243247</v>
      </c>
      <c r="S138" s="376">
        <f t="shared" si="18"/>
        <v>166.79458779167749</v>
      </c>
    </row>
    <row r="139" spans="1:19" s="22" customFormat="1" x14ac:dyDescent="0.35">
      <c r="A139" s="19">
        <v>127</v>
      </c>
      <c r="B139" s="19" t="s">
        <v>60</v>
      </c>
      <c r="C139" s="20" t="s">
        <v>393</v>
      </c>
      <c r="D139" s="116">
        <f>'As-Filed Schedule 4'!D139</f>
        <v>137</v>
      </c>
      <c r="E139" s="388">
        <f>SUMIFS(Adjustments!$G:$G,Adjustments!$H:$H,"4",Adjustments!$I:$I,'Schedule 4 Adjustments'!$D$14,Adjustments!$J:$J,'Schedule 4 Adjustments'!$A139)</f>
        <v>0</v>
      </c>
      <c r="F139" s="380">
        <f t="shared" si="12"/>
        <v>137</v>
      </c>
      <c r="G139" s="410">
        <v>1.1499999999999999</v>
      </c>
      <c r="H139" s="47">
        <f t="shared" si="19"/>
        <v>157.54999999999998</v>
      </c>
      <c r="I139" s="378">
        <f t="shared" si="13"/>
        <v>157.54999999999998</v>
      </c>
      <c r="J139" s="21">
        <f t="shared" si="10"/>
        <v>87.758368481012582</v>
      </c>
      <c r="K139" s="376">
        <f t="shared" si="14"/>
        <v>88.39344514305489</v>
      </c>
      <c r="L139" s="150">
        <f>'As-Filed Schedule 4'!H139</f>
        <v>76</v>
      </c>
      <c r="M139" s="388">
        <f>SUMIFS(Adjustments!$G:$G,Adjustments!$H:$H,"4",Adjustments!$I:$I,'Schedule 4 Adjustments'!$L$14,Adjustments!$J:$J,'Schedule 4 Adjustments'!$A139)</f>
        <v>0</v>
      </c>
      <c r="N139" s="380">
        <f t="shared" si="15"/>
        <v>76</v>
      </c>
      <c r="O139" s="410">
        <v>0.7</v>
      </c>
      <c r="P139" s="47">
        <f t="shared" si="16"/>
        <v>53.199999999999996</v>
      </c>
      <c r="Q139" s="378">
        <f t="shared" si="17"/>
        <v>53.199999999999996</v>
      </c>
      <c r="R139" s="21">
        <f t="shared" si="11"/>
        <v>53.418137336268529</v>
      </c>
      <c r="S139" s="376">
        <f t="shared" si="18"/>
        <v>53.804705739250799</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33.577114897083078</v>
      </c>
      <c r="K140" s="376">
        <f t="shared" si="14"/>
        <v>33.820100750386217</v>
      </c>
      <c r="L140" s="150">
        <f>'As-Filed Schedule 4'!H140</f>
        <v>0</v>
      </c>
      <c r="M140" s="388">
        <f>SUMIFS(Adjustments!$G:$G,Adjustments!$H:$H,"4",Adjustments!$I:$I,'Schedule 4 Adjustments'!$L$14,Adjustments!$J:$J,'Schedule 4 Adjustments'!$A140)</f>
        <v>0</v>
      </c>
      <c r="N140" s="380">
        <f t="shared" si="15"/>
        <v>0</v>
      </c>
      <c r="O140" s="410">
        <v>0.44</v>
      </c>
      <c r="P140" s="47">
        <f t="shared" si="16"/>
        <v>0</v>
      </c>
      <c r="Q140" s="378">
        <f t="shared" si="17"/>
        <v>0</v>
      </c>
      <c r="R140" s="21">
        <f t="shared" si="11"/>
        <v>33.577114897083078</v>
      </c>
      <c r="S140" s="376">
        <f t="shared" si="18"/>
        <v>33.820100750386217</v>
      </c>
    </row>
    <row r="141" spans="1:19" s="22" customFormat="1" x14ac:dyDescent="0.35">
      <c r="A141" s="19">
        <v>129</v>
      </c>
      <c r="B141" s="19" t="s">
        <v>62</v>
      </c>
      <c r="C141" s="20" t="s">
        <v>395</v>
      </c>
      <c r="D141" s="116">
        <f>'As-Filed Schedule 4'!D141</f>
        <v>0</v>
      </c>
      <c r="E141" s="388">
        <f>SUMIFS(Adjustments!$G:$G,Adjustments!$H:$H,"4",Adjustments!$I:$I,'Schedule 4 Adjustments'!$D$14,Adjustments!$J:$J,'Schedule 4 Adjustments'!$A141)</f>
        <v>0</v>
      </c>
      <c r="F141" s="380">
        <f t="shared" si="12"/>
        <v>0</v>
      </c>
      <c r="G141" s="410">
        <v>0.92</v>
      </c>
      <c r="H141" s="47">
        <f t="shared" si="19"/>
        <v>0</v>
      </c>
      <c r="I141" s="378">
        <f t="shared" si="13"/>
        <v>0</v>
      </c>
      <c r="J141" s="21">
        <f t="shared" si="10"/>
        <v>70.206694784810082</v>
      </c>
      <c r="K141" s="376">
        <f t="shared" si="14"/>
        <v>70.714756114443915</v>
      </c>
      <c r="L141" s="150">
        <f>'As-Filed Schedule 4'!H141</f>
        <v>0</v>
      </c>
      <c r="M141" s="388">
        <f>SUMIFS(Adjustments!$G:$G,Adjustments!$H:$H,"4",Adjustments!$I:$I,'Schedule 4 Adjustments'!$L$14,Adjustments!$J:$J,'Schedule 4 Adjustments'!$A141)</f>
        <v>0</v>
      </c>
      <c r="N141" s="380">
        <f t="shared" si="15"/>
        <v>0</v>
      </c>
      <c r="O141" s="410">
        <v>0.92</v>
      </c>
      <c r="P141" s="47">
        <f t="shared" si="16"/>
        <v>0</v>
      </c>
      <c r="Q141" s="378">
        <f t="shared" si="17"/>
        <v>0</v>
      </c>
      <c r="R141" s="21">
        <f t="shared" si="11"/>
        <v>70.206694784810082</v>
      </c>
      <c r="S141" s="376">
        <f t="shared" si="18"/>
        <v>70.714756114443915</v>
      </c>
    </row>
    <row r="142" spans="1:19" s="22" customFormat="1" x14ac:dyDescent="0.35">
      <c r="A142" s="19">
        <v>130</v>
      </c>
      <c r="B142" s="19" t="s">
        <v>63</v>
      </c>
      <c r="C142" s="20" t="s">
        <v>396</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402.92537876499699</v>
      </c>
      <c r="K142" s="376">
        <f t="shared" si="14"/>
        <v>405.84120900463466</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402.92537876499699</v>
      </c>
      <c r="S142" s="376">
        <f t="shared" si="18"/>
        <v>405.84120900463466</v>
      </c>
    </row>
    <row r="143" spans="1:19" s="22" customFormat="1" x14ac:dyDescent="0.35">
      <c r="A143" s="19">
        <v>131</v>
      </c>
      <c r="B143" s="19" t="s">
        <v>64</v>
      </c>
      <c r="C143" s="20" t="s">
        <v>398</v>
      </c>
      <c r="D143" s="116">
        <f>'As-Filed Schedule 4'!D143</f>
        <v>0</v>
      </c>
      <c r="E143" s="388">
        <f>SUMIFS(Adjustments!$G:$G,Adjustments!$H:$H,"4",Adjustments!$I:$I,'Schedule 4 Adjustments'!$D$14,Adjustments!$J:$J,'Schedule 4 Adjustments'!$A143)</f>
        <v>0</v>
      </c>
      <c r="F143" s="380">
        <f t="shared" si="12"/>
        <v>0</v>
      </c>
      <c r="G143" s="410">
        <v>0.44</v>
      </c>
      <c r="H143" s="47">
        <f t="shared" si="19"/>
        <v>0</v>
      </c>
      <c r="I143" s="378">
        <f t="shared" si="13"/>
        <v>0</v>
      </c>
      <c r="J143" s="21">
        <f t="shared" si="10"/>
        <v>33.577114897083078</v>
      </c>
      <c r="K143" s="376">
        <f t="shared" si="14"/>
        <v>33.820100750386217</v>
      </c>
      <c r="L143" s="150">
        <f>'As-Filed Schedule 4'!H143</f>
        <v>0</v>
      </c>
      <c r="M143" s="388">
        <f>SUMIFS(Adjustments!$G:$G,Adjustments!$H:$H,"4",Adjustments!$I:$I,'Schedule 4 Adjustments'!$L$14,Adjustments!$J:$J,'Schedule 4 Adjustments'!$A143)</f>
        <v>0</v>
      </c>
      <c r="N143" s="380">
        <f t="shared" si="15"/>
        <v>0</v>
      </c>
      <c r="O143" s="410">
        <v>0.44</v>
      </c>
      <c r="P143" s="47">
        <f t="shared" si="16"/>
        <v>0</v>
      </c>
      <c r="Q143" s="378">
        <f t="shared" si="17"/>
        <v>0</v>
      </c>
      <c r="R143" s="21">
        <f t="shared" si="11"/>
        <v>33.577114897083078</v>
      </c>
      <c r="S143" s="376">
        <f t="shared" si="18"/>
        <v>33.820100750386217</v>
      </c>
    </row>
    <row r="144" spans="1:19" s="22" customFormat="1" x14ac:dyDescent="0.35">
      <c r="A144" s="19">
        <v>132</v>
      </c>
      <c r="B144" s="19" t="s">
        <v>65</v>
      </c>
      <c r="C144" s="20" t="s">
        <v>397</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402.92537876499699</v>
      </c>
      <c r="K144" s="376">
        <f t="shared" si="14"/>
        <v>405.84120900463466</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402.92537876499699</v>
      </c>
      <c r="S144" s="376">
        <f t="shared" si="18"/>
        <v>405.84120900463466</v>
      </c>
    </row>
    <row r="145" spans="1:19" s="22" customFormat="1" x14ac:dyDescent="0.35">
      <c r="A145" s="19">
        <v>133</v>
      </c>
      <c r="B145" s="19" t="s">
        <v>66</v>
      </c>
      <c r="C145" s="20" t="s">
        <v>142</v>
      </c>
      <c r="D145" s="116">
        <f>'As-Filed Schedule 4'!D145</f>
        <v>4234</v>
      </c>
      <c r="E145" s="388">
        <f>SUMIFS(Adjustments!$G:$G,Adjustments!$H:$H,"4",Adjustments!$I:$I,'Schedule 4 Adjustments'!$D$14,Adjustments!$J:$J,'Schedule 4 Adjustments'!$A145)</f>
        <v>0</v>
      </c>
      <c r="F145" s="380">
        <f t="shared" si="12"/>
        <v>4234</v>
      </c>
      <c r="G145" s="410">
        <v>0.54</v>
      </c>
      <c r="H145" s="47">
        <f t="shared" si="19"/>
        <v>2286.36</v>
      </c>
      <c r="I145" s="378">
        <f t="shared" si="13"/>
        <v>2286.36</v>
      </c>
      <c r="J145" s="21">
        <f t="shared" si="10"/>
        <v>41.208277373692873</v>
      </c>
      <c r="K145" s="376">
        <f t="shared" si="14"/>
        <v>41.506487284564912</v>
      </c>
      <c r="L145" s="150">
        <f>'As-Filed Schedule 4'!H145</f>
        <v>9236</v>
      </c>
      <c r="M145" s="388">
        <f>SUMIFS(Adjustments!$G:$G,Adjustments!$H:$H,"4",Adjustments!$I:$I,'Schedule 4 Adjustments'!$L$14,Adjustments!$J:$J,'Schedule 4 Adjustments'!$A145)</f>
        <v>0</v>
      </c>
      <c r="N145" s="380">
        <f t="shared" si="15"/>
        <v>9236</v>
      </c>
      <c r="O145" s="410">
        <v>0.54</v>
      </c>
      <c r="P145" s="47">
        <f t="shared" si="16"/>
        <v>4987.4400000000005</v>
      </c>
      <c r="Q145" s="378">
        <f t="shared" si="17"/>
        <v>4987.4400000000005</v>
      </c>
      <c r="R145" s="21">
        <f t="shared" si="11"/>
        <v>41.208277373692873</v>
      </c>
      <c r="S145" s="376">
        <f t="shared" si="18"/>
        <v>41.506487284564912</v>
      </c>
    </row>
    <row r="146" spans="1:19" s="22" customFormat="1" x14ac:dyDescent="0.35">
      <c r="A146" s="19">
        <v>134</v>
      </c>
      <c r="B146" s="19" t="s">
        <v>67</v>
      </c>
      <c r="C146" s="20" t="s">
        <v>399</v>
      </c>
      <c r="D146" s="116">
        <f>'As-Filed Schedule 4'!D146</f>
        <v>2264</v>
      </c>
      <c r="E146" s="388">
        <f>SUMIFS(Adjustments!$G:$G,Adjustments!$H:$H,"4",Adjustments!$I:$I,'Schedule 4 Adjustments'!$D$14,Adjustments!$J:$J,'Schedule 4 Adjustments'!$A146)</f>
        <v>0</v>
      </c>
      <c r="F146" s="380">
        <f t="shared" si="12"/>
        <v>2264</v>
      </c>
      <c r="G146" s="410">
        <v>1.29</v>
      </c>
      <c r="H146" s="47">
        <f t="shared" si="19"/>
        <v>2920.56</v>
      </c>
      <c r="I146" s="378">
        <f t="shared" si="13"/>
        <v>2920.56</v>
      </c>
      <c r="J146" s="21">
        <f t="shared" ref="J146:J196" si="20">G146*$H$12</f>
        <v>98.441995948266296</v>
      </c>
      <c r="K146" s="376">
        <f t="shared" si="14"/>
        <v>99.154386290905052</v>
      </c>
      <c r="L146" s="150">
        <f>'As-Filed Schedule 4'!H146</f>
        <v>1274</v>
      </c>
      <c r="M146" s="388">
        <f>SUMIFS(Adjustments!$G:$G,Adjustments!$H:$H,"4",Adjustments!$I:$I,'Schedule 4 Adjustments'!$L$14,Adjustments!$J:$J,'Schedule 4 Adjustments'!$A146)</f>
        <v>0</v>
      </c>
      <c r="N146" s="380">
        <f t="shared" si="15"/>
        <v>1274</v>
      </c>
      <c r="O146" s="410">
        <v>1.1299999999999999</v>
      </c>
      <c r="P146" s="47">
        <f t="shared" si="16"/>
        <v>1439.62</v>
      </c>
      <c r="Q146" s="378">
        <f t="shared" si="17"/>
        <v>1439.62</v>
      </c>
      <c r="R146" s="21">
        <f t="shared" ref="R146:R196" si="21">O146*$H$12</f>
        <v>86.232135985690633</v>
      </c>
      <c r="S146" s="376">
        <f t="shared" si="18"/>
        <v>86.856167836219143</v>
      </c>
    </row>
    <row r="147" spans="1:19" s="22" customFormat="1" x14ac:dyDescent="0.35">
      <c r="A147" s="19">
        <v>135</v>
      </c>
      <c r="B147" s="19" t="s">
        <v>68</v>
      </c>
      <c r="C147" s="20" t="s">
        <v>400</v>
      </c>
      <c r="D147" s="116">
        <f>'As-Filed Schedule 4'!D147</f>
        <v>10</v>
      </c>
      <c r="E147" s="388">
        <f>SUMIFS(Adjustments!$G:$G,Adjustments!$H:$H,"4",Adjustments!$I:$I,'Schedule 4 Adjustments'!$D$14,Adjustments!$J:$J,'Schedule 4 Adjustments'!$A147)</f>
        <v>0</v>
      </c>
      <c r="F147" s="380">
        <f t="shared" ref="F147:F196" si="22">SUM(D147:E147)</f>
        <v>10</v>
      </c>
      <c r="G147" s="410">
        <v>5.28</v>
      </c>
      <c r="H147" s="47">
        <f t="shared" si="19"/>
        <v>52.800000000000004</v>
      </c>
      <c r="I147" s="378">
        <f t="shared" ref="I147:I196" si="23">F147*G147</f>
        <v>52.800000000000004</v>
      </c>
      <c r="J147" s="21">
        <f t="shared" si="20"/>
        <v>402.92537876499699</v>
      </c>
      <c r="K147" s="376">
        <f t="shared" ref="K147:K196" si="24">G147*$I$12</f>
        <v>405.84120900463466</v>
      </c>
      <c r="L147" s="150">
        <f>'As-Filed Schedule 4'!H147</f>
        <v>31</v>
      </c>
      <c r="M147" s="388">
        <f>SUMIFS(Adjustments!$G:$G,Adjustments!$H:$H,"4",Adjustments!$I:$I,'Schedule 4 Adjustments'!$L$14,Adjustments!$J:$J,'Schedule 4 Adjustments'!$A147)</f>
        <v>0</v>
      </c>
      <c r="N147" s="380">
        <f t="shared" ref="N147:N196" si="25">SUM(L147:M147)</f>
        <v>31</v>
      </c>
      <c r="O147" s="410">
        <v>5.28</v>
      </c>
      <c r="P147" s="47">
        <f t="shared" ref="P147:P196" si="26">L147*O147</f>
        <v>163.68</v>
      </c>
      <c r="Q147" s="378">
        <f t="shared" ref="Q147:Q196" si="27">N147*O147</f>
        <v>163.68</v>
      </c>
      <c r="R147" s="21">
        <f t="shared" si="21"/>
        <v>402.92537876499699</v>
      </c>
      <c r="S147" s="376">
        <f t="shared" ref="S147:S196" si="28">O147*$I$12</f>
        <v>405.84120900463466</v>
      </c>
    </row>
    <row r="148" spans="1:19" s="22" customFormat="1" x14ac:dyDescent="0.35">
      <c r="A148" s="19">
        <v>136</v>
      </c>
      <c r="B148" s="19" t="s">
        <v>69</v>
      </c>
      <c r="C148" s="20" t="s">
        <v>401</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10.683627467253707</v>
      </c>
      <c r="K148" s="376">
        <f t="shared" si="24"/>
        <v>10.760941147850161</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9.1573949719317493</v>
      </c>
      <c r="S148" s="376">
        <f t="shared" si="28"/>
        <v>9.2236638410144227</v>
      </c>
    </row>
    <row r="149" spans="1:19" s="22" customFormat="1" x14ac:dyDescent="0.35">
      <c r="A149" s="19">
        <v>137</v>
      </c>
      <c r="B149" s="19" t="s">
        <v>70</v>
      </c>
      <c r="C149" s="20" t="s">
        <v>402</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235.03980427958155</v>
      </c>
      <c r="K149" s="376">
        <f t="shared" si="24"/>
        <v>236.74070525270355</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201.46268938249844</v>
      </c>
      <c r="S149" s="376">
        <f t="shared" si="28"/>
        <v>202.9206045023173</v>
      </c>
    </row>
    <row r="150" spans="1:19" s="22" customFormat="1" x14ac:dyDescent="0.35">
      <c r="A150" s="19">
        <v>138</v>
      </c>
      <c r="B150" s="19" t="s">
        <v>71</v>
      </c>
      <c r="C150" s="20" t="s">
        <v>403</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402.92537876499699</v>
      </c>
      <c r="K150" s="376">
        <f t="shared" si="24"/>
        <v>405.84120900463466</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402.92537876499699</v>
      </c>
      <c r="S150" s="376">
        <f t="shared" si="28"/>
        <v>405.84120900463466</v>
      </c>
    </row>
    <row r="151" spans="1:19" s="22" customFormat="1" x14ac:dyDescent="0.35">
      <c r="A151" s="19">
        <v>139</v>
      </c>
      <c r="B151" s="19" t="s">
        <v>788</v>
      </c>
      <c r="C151" s="20" t="s">
        <v>789</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9.1573949719317493</v>
      </c>
      <c r="K151" s="376">
        <f t="shared" ref="K151" si="34">G151*$I$12</f>
        <v>9.2236638410144227</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6.8680462289488116</v>
      </c>
      <c r="S151" s="376">
        <f t="shared" ref="S151" si="39">O151*$I$12</f>
        <v>6.9177478807608175</v>
      </c>
    </row>
    <row r="152" spans="1:19" s="22" customFormat="1" x14ac:dyDescent="0.35">
      <c r="A152" s="19">
        <v>140</v>
      </c>
      <c r="B152" s="19" t="s">
        <v>72</v>
      </c>
      <c r="C152" s="20" t="s">
        <v>404</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77.83785726141987</v>
      </c>
      <c r="K152" s="376">
        <f t="shared" si="24"/>
        <v>78.401142648622596</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71.732927280132031</v>
      </c>
      <c r="S152" s="376">
        <f t="shared" si="28"/>
        <v>72.252033421279648</v>
      </c>
    </row>
    <row r="153" spans="1:19" s="22" customFormat="1" x14ac:dyDescent="0.35">
      <c r="A153" s="19">
        <v>141</v>
      </c>
      <c r="B153" s="19" t="s">
        <v>20</v>
      </c>
      <c r="C153" s="20" t="s">
        <v>405</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394.53110004072619</v>
      </c>
      <c r="K154" s="376">
        <f t="shared" si="24"/>
        <v>397.38618381703805</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338.06049771381373</v>
      </c>
      <c r="S154" s="376">
        <f t="shared" si="28"/>
        <v>340.5069234641158</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129.72976210236644</v>
      </c>
      <c r="K155" s="376">
        <f t="shared" si="24"/>
        <v>130.66857108103767</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80.127206004402808</v>
      </c>
      <c r="S155" s="376">
        <f t="shared" si="28"/>
        <v>80.70705860887621</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103.02069343423219</v>
      </c>
      <c r="K157" s="376">
        <f t="shared" si="24"/>
        <v>103.76621821141227</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103.02069343423219</v>
      </c>
      <c r="S157" s="376">
        <f t="shared" si="28"/>
        <v>103.76621821141227</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195.35775940121064</v>
      </c>
      <c r="K158" s="376">
        <f t="shared" si="24"/>
        <v>196.77149527497437</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163.30687699944954</v>
      </c>
      <c r="S158" s="376">
        <f t="shared" si="28"/>
        <v>164.48867183142389</v>
      </c>
    </row>
    <row r="159" spans="1:19" s="22" customFormat="1" x14ac:dyDescent="0.35">
      <c r="A159" s="19">
        <v>147</v>
      </c>
      <c r="B159" s="19" t="s">
        <v>77</v>
      </c>
      <c r="C159" s="20" t="s">
        <v>406</v>
      </c>
      <c r="D159" s="116">
        <f>'As-Filed Schedule 4'!D159</f>
        <v>0</v>
      </c>
      <c r="E159" s="388">
        <f>SUMIFS(Adjustments!$G:$G,Adjustments!$H:$H,"4",Adjustments!$I:$I,'Schedule 4 Adjustments'!$D$14,Adjustments!$J:$J,'Schedule 4 Adjustments'!$A159)</f>
        <v>0</v>
      </c>
      <c r="F159" s="380">
        <f t="shared" si="22"/>
        <v>0</v>
      </c>
      <c r="G159" s="410">
        <v>1.6</v>
      </c>
      <c r="H159" s="47">
        <f t="shared" si="29"/>
        <v>0</v>
      </c>
      <c r="I159" s="378">
        <f t="shared" si="23"/>
        <v>0</v>
      </c>
      <c r="J159" s="21">
        <f t="shared" si="20"/>
        <v>122.09859962575666</v>
      </c>
      <c r="K159" s="376">
        <f t="shared" si="24"/>
        <v>122.98218454685899</v>
      </c>
      <c r="L159" s="150">
        <f>'As-Filed Schedule 4'!H159</f>
        <v>0</v>
      </c>
      <c r="M159" s="388">
        <f>SUMIFS(Adjustments!$G:$G,Adjustments!$H:$H,"4",Adjustments!$I:$I,'Schedule 4 Adjustments'!$L$14,Adjustments!$J:$J,'Schedule 4 Adjustments'!$A159)</f>
        <v>0</v>
      </c>
      <c r="N159" s="380">
        <f t="shared" si="25"/>
        <v>0</v>
      </c>
      <c r="O159" s="410">
        <v>1.6</v>
      </c>
      <c r="P159" s="47">
        <f t="shared" si="26"/>
        <v>0</v>
      </c>
      <c r="Q159" s="378">
        <f t="shared" si="27"/>
        <v>0</v>
      </c>
      <c r="R159" s="21">
        <f t="shared" si="21"/>
        <v>122.09859962575666</v>
      </c>
      <c r="S159" s="376">
        <f t="shared" si="28"/>
        <v>122.98218454685899</v>
      </c>
    </row>
    <row r="160" spans="1:19" s="22" customFormat="1" x14ac:dyDescent="0.35">
      <c r="A160" s="19">
        <v>148</v>
      </c>
      <c r="B160" s="19" t="s">
        <v>78</v>
      </c>
      <c r="C160" s="20" t="s">
        <v>407</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201.4626893824985</v>
      </c>
      <c r="K160" s="376">
        <f t="shared" si="24"/>
        <v>202.92060450231733</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201.4626893824985</v>
      </c>
      <c r="S160" s="376">
        <f t="shared" si="28"/>
        <v>202.92060450231733</v>
      </c>
    </row>
    <row r="161" spans="1:19" s="22" customFormat="1" x14ac:dyDescent="0.35">
      <c r="A161" s="19">
        <v>149</v>
      </c>
      <c r="B161" s="19" t="s">
        <v>79</v>
      </c>
      <c r="C161" s="20" t="s">
        <v>408</v>
      </c>
      <c r="D161" s="116">
        <f>'As-Filed Schedule 4'!D161</f>
        <v>2983</v>
      </c>
      <c r="E161" s="388">
        <f>SUMIFS(Adjustments!$G:$G,Adjustments!$H:$H,"4",Adjustments!$I:$I,'Schedule 4 Adjustments'!$D$14,Adjustments!$J:$J,'Schedule 4 Adjustments'!$A161)</f>
        <v>0</v>
      </c>
      <c r="F161" s="380">
        <f t="shared" si="22"/>
        <v>2983</v>
      </c>
      <c r="G161" s="410">
        <v>1.24</v>
      </c>
      <c r="H161" s="47">
        <f t="shared" si="29"/>
        <v>3698.92</v>
      </c>
      <c r="I161" s="378">
        <f t="shared" si="23"/>
        <v>3698.92</v>
      </c>
      <c r="J161" s="21">
        <f t="shared" si="20"/>
        <v>94.626414709961409</v>
      </c>
      <c r="K161" s="376">
        <f t="shared" si="24"/>
        <v>95.311193023815704</v>
      </c>
      <c r="L161" s="150">
        <f>'As-Filed Schedule 4'!H161</f>
        <v>2952</v>
      </c>
      <c r="M161" s="388">
        <f>SUMIFS(Adjustments!$G:$G,Adjustments!$H:$H,"4",Adjustments!$I:$I,'Schedule 4 Adjustments'!$L$14,Adjustments!$J:$J,'Schedule 4 Adjustments'!$A161)</f>
        <v>0</v>
      </c>
      <c r="N161" s="380">
        <f t="shared" si="25"/>
        <v>2952</v>
      </c>
      <c r="O161" s="410">
        <v>1.24</v>
      </c>
      <c r="P161" s="47">
        <f t="shared" si="26"/>
        <v>3660.48</v>
      </c>
      <c r="Q161" s="378">
        <f t="shared" si="27"/>
        <v>3660.48</v>
      </c>
      <c r="R161" s="21">
        <f t="shared" si="21"/>
        <v>94.626414709961409</v>
      </c>
      <c r="S161" s="376">
        <f t="shared" si="28"/>
        <v>95.311193023815704</v>
      </c>
    </row>
    <row r="162" spans="1:19" s="22" customFormat="1" x14ac:dyDescent="0.35">
      <c r="A162" s="19">
        <v>150</v>
      </c>
      <c r="B162" s="19" t="s">
        <v>80</v>
      </c>
      <c r="C162" s="20" t="s">
        <v>409</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63.338648555861262</v>
      </c>
      <c r="K162" s="376">
        <f t="shared" si="24"/>
        <v>63.797008233683094</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54.944369831590492</v>
      </c>
      <c r="S162" s="376">
        <f t="shared" si="28"/>
        <v>55.34198304608654</v>
      </c>
    </row>
    <row r="163" spans="1:19" s="22" customFormat="1" x14ac:dyDescent="0.35">
      <c r="A163" s="19">
        <v>151</v>
      </c>
      <c r="B163" s="19" t="s">
        <v>81</v>
      </c>
      <c r="C163" s="20" t="s">
        <v>410</v>
      </c>
      <c r="D163" s="116">
        <f>'As-Filed Schedule 4'!D163</f>
        <v>57</v>
      </c>
      <c r="E163" s="388">
        <f>SUMIFS(Adjustments!$G:$G,Adjustments!$H:$H,"4",Adjustments!$I:$I,'Schedule 4 Adjustments'!$D$14,Adjustments!$J:$J,'Schedule 4 Adjustments'!$A163)</f>
        <v>0</v>
      </c>
      <c r="F163" s="380">
        <f t="shared" si="22"/>
        <v>57</v>
      </c>
      <c r="G163" s="410">
        <v>0.92</v>
      </c>
      <c r="H163" s="47">
        <f t="shared" si="29"/>
        <v>52.440000000000005</v>
      </c>
      <c r="I163" s="378">
        <f t="shared" si="23"/>
        <v>52.440000000000005</v>
      </c>
      <c r="J163" s="21">
        <f t="shared" si="20"/>
        <v>70.206694784810082</v>
      </c>
      <c r="K163" s="376">
        <f t="shared" si="24"/>
        <v>70.714756114443915</v>
      </c>
      <c r="L163" s="150">
        <f>'As-Filed Schedule 4'!H163</f>
        <v>87</v>
      </c>
      <c r="M163" s="388">
        <f>SUMIFS(Adjustments!$G:$G,Adjustments!$H:$H,"4",Adjustments!$I:$I,'Schedule 4 Adjustments'!$L$14,Adjustments!$J:$J,'Schedule 4 Adjustments'!$A163)</f>
        <v>0</v>
      </c>
      <c r="N163" s="380">
        <f t="shared" si="25"/>
        <v>87</v>
      </c>
      <c r="O163" s="410">
        <v>0.92</v>
      </c>
      <c r="P163" s="47">
        <f t="shared" si="26"/>
        <v>80.040000000000006</v>
      </c>
      <c r="Q163" s="378">
        <f t="shared" si="27"/>
        <v>80.040000000000006</v>
      </c>
      <c r="R163" s="21">
        <f t="shared" si="21"/>
        <v>70.206694784810082</v>
      </c>
      <c r="S163" s="376">
        <f t="shared" si="28"/>
        <v>70.714756114443915</v>
      </c>
    </row>
    <row r="164" spans="1:19" s="22" customFormat="1" x14ac:dyDescent="0.35">
      <c r="A164" s="19">
        <v>152</v>
      </c>
      <c r="B164" s="19" t="s">
        <v>82</v>
      </c>
      <c r="C164" s="20" t="s">
        <v>411</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10.683627467253707</v>
      </c>
      <c r="K164" s="376">
        <f t="shared" si="24"/>
        <v>10.760941147850161</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9.1573949719317493</v>
      </c>
      <c r="S164" s="376">
        <f t="shared" si="28"/>
        <v>9.2236638410144227</v>
      </c>
    </row>
    <row r="165" spans="1:19" s="22" customFormat="1" x14ac:dyDescent="0.35">
      <c r="A165" s="19">
        <v>153</v>
      </c>
      <c r="B165" s="19" t="s">
        <v>83</v>
      </c>
      <c r="C165" s="20" t="s">
        <v>416</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256.40705921408897</v>
      </c>
      <c r="K165" s="376">
        <f t="shared" si="24"/>
        <v>258.26258754840387</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219.77747932636197</v>
      </c>
      <c r="S165" s="376">
        <f t="shared" si="28"/>
        <v>221.36793218434616</v>
      </c>
    </row>
    <row r="166" spans="1:19" s="22" customFormat="1" x14ac:dyDescent="0.35">
      <c r="A166" s="19">
        <v>154</v>
      </c>
      <c r="B166" s="19" t="s">
        <v>84</v>
      </c>
      <c r="C166" s="20" t="s">
        <v>414</v>
      </c>
      <c r="D166" s="116">
        <f>'As-Filed Schedule 4'!D166</f>
        <v>1326</v>
      </c>
      <c r="E166" s="388">
        <f>SUMIFS(Adjustments!$G:$G,Adjustments!$H:$H,"4",Adjustments!$I:$I,'Schedule 4 Adjustments'!$D$14,Adjustments!$J:$J,'Schedule 4 Adjustments'!$A166)</f>
        <v>0</v>
      </c>
      <c r="F166" s="380">
        <f t="shared" si="22"/>
        <v>1326</v>
      </c>
      <c r="G166" s="410">
        <v>0.44</v>
      </c>
      <c r="H166" s="47">
        <f t="shared" si="29"/>
        <v>583.44000000000005</v>
      </c>
      <c r="I166" s="378">
        <f t="shared" si="23"/>
        <v>583.44000000000005</v>
      </c>
      <c r="J166" s="21">
        <f t="shared" si="20"/>
        <v>33.577114897083078</v>
      </c>
      <c r="K166" s="376">
        <f t="shared" si="24"/>
        <v>33.820100750386217</v>
      </c>
      <c r="L166" s="150">
        <f>'As-Filed Schedule 4'!H166</f>
        <v>1509</v>
      </c>
      <c r="M166" s="388">
        <f>SUMIFS(Adjustments!$G:$G,Adjustments!$H:$H,"4",Adjustments!$I:$I,'Schedule 4 Adjustments'!$L$14,Adjustments!$J:$J,'Schedule 4 Adjustments'!$A166)</f>
        <v>0</v>
      </c>
      <c r="N166" s="380">
        <f t="shared" si="25"/>
        <v>1509</v>
      </c>
      <c r="O166" s="410">
        <v>0.44</v>
      </c>
      <c r="P166" s="47">
        <f t="shared" si="26"/>
        <v>663.96</v>
      </c>
      <c r="Q166" s="378">
        <f t="shared" si="27"/>
        <v>663.96</v>
      </c>
      <c r="R166" s="21">
        <f t="shared" si="21"/>
        <v>33.577114897083078</v>
      </c>
      <c r="S166" s="376">
        <f t="shared" si="28"/>
        <v>33.820100750386217</v>
      </c>
    </row>
    <row r="167" spans="1:19" s="22" customFormat="1" x14ac:dyDescent="0.35">
      <c r="A167" s="19">
        <v>155</v>
      </c>
      <c r="B167" s="19" t="s">
        <v>85</v>
      </c>
      <c r="C167" s="20" t="s">
        <v>415</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402.92537876499699</v>
      </c>
      <c r="K167" s="376">
        <f t="shared" si="24"/>
        <v>405.84120900463466</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402.92537876499699</v>
      </c>
      <c r="S167" s="376">
        <f t="shared" si="28"/>
        <v>405.84120900463466</v>
      </c>
    </row>
    <row r="168" spans="1:19" s="22" customFormat="1" x14ac:dyDescent="0.35">
      <c r="A168" s="19">
        <v>156</v>
      </c>
      <c r="B168" s="19" t="s">
        <v>86</v>
      </c>
      <c r="C168" s="20" t="s">
        <v>413</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33.577114897083078</v>
      </c>
      <c r="K168" s="376">
        <f t="shared" si="24"/>
        <v>33.820100750386217</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33.577114897083078</v>
      </c>
      <c r="S168" s="376">
        <f t="shared" si="28"/>
        <v>33.820100750386217</v>
      </c>
    </row>
    <row r="169" spans="1:19" s="22" customFormat="1" x14ac:dyDescent="0.35">
      <c r="A169" s="19">
        <v>157</v>
      </c>
      <c r="B169" s="19" t="s">
        <v>87</v>
      </c>
      <c r="C169" s="20" t="s">
        <v>412</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402.92537876499699</v>
      </c>
      <c r="K169" s="376">
        <f t="shared" si="24"/>
        <v>405.84120900463466</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402.92537876499699</v>
      </c>
      <c r="S169" s="376">
        <f t="shared" si="28"/>
        <v>405.84120900463466</v>
      </c>
    </row>
    <row r="170" spans="1:19" s="22" customFormat="1" x14ac:dyDescent="0.35">
      <c r="A170" s="19">
        <v>158</v>
      </c>
      <c r="B170" s="19" t="s">
        <v>88</v>
      </c>
      <c r="C170" s="20" t="s">
        <v>417</v>
      </c>
      <c r="D170" s="116">
        <f>'As-Filed Schedule 4'!D170</f>
        <v>0</v>
      </c>
      <c r="E170" s="388">
        <f>SUMIFS(Adjustments!$G:$G,Adjustments!$H:$H,"4",Adjustments!$I:$I,'Schedule 4 Adjustments'!$D$14,Adjustments!$J:$J,'Schedule 4 Adjustments'!$A170)</f>
        <v>0</v>
      </c>
      <c r="F170" s="380">
        <f t="shared" si="22"/>
        <v>0</v>
      </c>
      <c r="G170" s="410">
        <v>0.14000000000000001</v>
      </c>
      <c r="H170" s="47">
        <f t="shared" si="29"/>
        <v>0</v>
      </c>
      <c r="I170" s="378">
        <f t="shared" si="23"/>
        <v>0</v>
      </c>
      <c r="J170" s="21">
        <f t="shared" si="20"/>
        <v>10.683627467253707</v>
      </c>
      <c r="K170" s="376">
        <f t="shared" si="24"/>
        <v>10.760941147850161</v>
      </c>
      <c r="L170" s="150">
        <f>'As-Filed Schedule 4'!H170</f>
        <v>2486</v>
      </c>
      <c r="M170" s="388">
        <f>SUMIFS(Adjustments!$G:$G,Adjustments!$H:$H,"4",Adjustments!$I:$I,'Schedule 4 Adjustments'!$L$14,Adjustments!$J:$J,'Schedule 4 Adjustments'!$A170)</f>
        <v>0</v>
      </c>
      <c r="N170" s="380">
        <f t="shared" si="25"/>
        <v>2486</v>
      </c>
      <c r="O170" s="410">
        <v>0.12</v>
      </c>
      <c r="P170" s="47">
        <f t="shared" si="26"/>
        <v>298.32</v>
      </c>
      <c r="Q170" s="378">
        <f t="shared" si="27"/>
        <v>298.32</v>
      </c>
      <c r="R170" s="21">
        <f t="shared" si="21"/>
        <v>9.1573949719317493</v>
      </c>
      <c r="S170" s="376">
        <f t="shared" si="28"/>
        <v>9.2236638410144227</v>
      </c>
    </row>
    <row r="171" spans="1:19" s="22" customFormat="1" x14ac:dyDescent="0.35">
      <c r="A171" s="19">
        <v>159</v>
      </c>
      <c r="B171" s="19" t="s">
        <v>89</v>
      </c>
      <c r="C171" s="20" t="s">
        <v>418</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256.40705921408897</v>
      </c>
      <c r="K171" s="376">
        <f t="shared" si="24"/>
        <v>258.26258754840387</v>
      </c>
      <c r="L171" s="150">
        <f>'As-Filed Schedule 4'!H171</f>
        <v>133</v>
      </c>
      <c r="M171" s="388">
        <f>SUMIFS(Adjustments!$G:$G,Adjustments!$H:$H,"4",Adjustments!$I:$I,'Schedule 4 Adjustments'!$L$14,Adjustments!$J:$J,'Schedule 4 Adjustments'!$A171)</f>
        <v>0</v>
      </c>
      <c r="N171" s="380">
        <f t="shared" si="25"/>
        <v>133</v>
      </c>
      <c r="O171" s="410">
        <v>2.88</v>
      </c>
      <c r="P171" s="47">
        <f t="shared" si="26"/>
        <v>383.03999999999996</v>
      </c>
      <c r="Q171" s="378">
        <f t="shared" si="27"/>
        <v>383.03999999999996</v>
      </c>
      <c r="R171" s="21">
        <f t="shared" si="21"/>
        <v>219.77747932636197</v>
      </c>
      <c r="S171" s="376">
        <f t="shared" si="28"/>
        <v>221.36793218434616</v>
      </c>
    </row>
    <row r="172" spans="1:19" s="22" customFormat="1" x14ac:dyDescent="0.35">
      <c r="A172" s="19">
        <v>160</v>
      </c>
      <c r="B172" s="19" t="s">
        <v>90</v>
      </c>
      <c r="C172" s="20" t="s">
        <v>419</v>
      </c>
      <c r="D172" s="116">
        <f>'As-Filed Schedule 4'!D172</f>
        <v>1970</v>
      </c>
      <c r="E172" s="388">
        <f>SUMIFS(Adjustments!$G:$G,Adjustments!$H:$H,"4",Adjustments!$I:$I,'Schedule 4 Adjustments'!$D$14,Adjustments!$J:$J,'Schedule 4 Adjustments'!$A172)</f>
        <v>0</v>
      </c>
      <c r="F172" s="380">
        <f t="shared" si="22"/>
        <v>1970</v>
      </c>
      <c r="G172" s="410">
        <v>0.14000000000000001</v>
      </c>
      <c r="H172" s="47">
        <f t="shared" si="29"/>
        <v>275.8</v>
      </c>
      <c r="I172" s="378">
        <f t="shared" si="23"/>
        <v>275.8</v>
      </c>
      <c r="J172" s="21">
        <f t="shared" si="20"/>
        <v>10.683627467253707</v>
      </c>
      <c r="K172" s="376">
        <f t="shared" si="24"/>
        <v>10.760941147850161</v>
      </c>
      <c r="L172" s="150">
        <f>'As-Filed Schedule 4'!H172</f>
        <v>65</v>
      </c>
      <c r="M172" s="388">
        <f>SUMIFS(Adjustments!$G:$G,Adjustments!$H:$H,"4",Adjustments!$I:$I,'Schedule 4 Adjustments'!$L$14,Adjustments!$J:$J,'Schedule 4 Adjustments'!$A172)</f>
        <v>0</v>
      </c>
      <c r="N172" s="380">
        <f t="shared" si="25"/>
        <v>65</v>
      </c>
      <c r="O172" s="410">
        <v>0.12</v>
      </c>
      <c r="P172" s="47">
        <f t="shared" si="26"/>
        <v>7.8</v>
      </c>
      <c r="Q172" s="378">
        <f t="shared" si="27"/>
        <v>7.8</v>
      </c>
      <c r="R172" s="21">
        <f t="shared" si="21"/>
        <v>9.1573949719317493</v>
      </c>
      <c r="S172" s="376">
        <f t="shared" si="28"/>
        <v>9.2236638410144227</v>
      </c>
    </row>
    <row r="173" spans="1:19" s="22" customFormat="1" x14ac:dyDescent="0.35">
      <c r="A173" s="19">
        <v>161</v>
      </c>
      <c r="B173" s="19" t="s">
        <v>91</v>
      </c>
      <c r="C173" s="20" t="s">
        <v>420</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256.40705921408897</v>
      </c>
      <c r="K173" s="376">
        <f t="shared" si="24"/>
        <v>258.26258754840387</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219.77747932636197</v>
      </c>
      <c r="S173" s="376">
        <f t="shared" si="28"/>
        <v>221.36793218434616</v>
      </c>
    </row>
    <row r="174" spans="1:19" s="22" customFormat="1" x14ac:dyDescent="0.35">
      <c r="A174" s="19">
        <v>162</v>
      </c>
      <c r="B174" s="19" t="s">
        <v>92</v>
      </c>
      <c r="C174" s="20" t="s">
        <v>421</v>
      </c>
      <c r="D174" s="116">
        <f>'As-Filed Schedule 4'!D174</f>
        <v>231</v>
      </c>
      <c r="E174" s="388">
        <f>SUMIFS(Adjustments!$G:$G,Adjustments!$H:$H,"4",Adjustments!$I:$I,'Schedule 4 Adjustments'!$D$14,Adjustments!$J:$J,'Schedule 4 Adjustments'!$A174)</f>
        <v>0</v>
      </c>
      <c r="F174" s="380">
        <f t="shared" si="22"/>
        <v>231</v>
      </c>
      <c r="G174" s="410">
        <v>0.14000000000000001</v>
      </c>
      <c r="H174" s="47">
        <f t="shared" si="29"/>
        <v>32.340000000000003</v>
      </c>
      <c r="I174" s="378">
        <f t="shared" si="23"/>
        <v>32.340000000000003</v>
      </c>
      <c r="J174" s="21">
        <f t="shared" si="20"/>
        <v>10.683627467253707</v>
      </c>
      <c r="K174" s="376">
        <f t="shared" si="24"/>
        <v>10.760941147850161</v>
      </c>
      <c r="L174" s="150">
        <f>'As-Filed Schedule 4'!H174</f>
        <v>520</v>
      </c>
      <c r="M174" s="388">
        <f>SUMIFS(Adjustments!$G:$G,Adjustments!$H:$H,"4",Adjustments!$I:$I,'Schedule 4 Adjustments'!$L$14,Adjustments!$J:$J,'Schedule 4 Adjustments'!$A174)</f>
        <v>0</v>
      </c>
      <c r="N174" s="380">
        <f t="shared" si="25"/>
        <v>520</v>
      </c>
      <c r="O174" s="410">
        <v>0.12</v>
      </c>
      <c r="P174" s="47">
        <f t="shared" si="26"/>
        <v>62.4</v>
      </c>
      <c r="Q174" s="378">
        <f t="shared" si="27"/>
        <v>62.4</v>
      </c>
      <c r="R174" s="21">
        <f t="shared" si="21"/>
        <v>9.1573949719317493</v>
      </c>
      <c r="S174" s="376">
        <f t="shared" si="28"/>
        <v>9.2236638410144227</v>
      </c>
    </row>
    <row r="175" spans="1:19" s="22" customFormat="1" x14ac:dyDescent="0.35">
      <c r="A175" s="19">
        <v>163</v>
      </c>
      <c r="B175" s="19" t="s">
        <v>93</v>
      </c>
      <c r="C175" s="20" t="s">
        <v>422</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10.683627467253707</v>
      </c>
      <c r="K175" s="376">
        <f t="shared" si="24"/>
        <v>10.760941147850161</v>
      </c>
      <c r="L175" s="150">
        <f>'As-Filed Schedule 4'!H175</f>
        <v>8850</v>
      </c>
      <c r="M175" s="388">
        <f>SUMIFS(Adjustments!$G:$G,Adjustments!$H:$H,"4",Adjustments!$I:$I,'Schedule 4 Adjustments'!$L$14,Adjustments!$J:$J,'Schedule 4 Adjustments'!$A175)</f>
        <v>0</v>
      </c>
      <c r="N175" s="380">
        <f t="shared" si="25"/>
        <v>8850</v>
      </c>
      <c r="O175" s="410">
        <v>0.12</v>
      </c>
      <c r="P175" s="47">
        <f t="shared" si="26"/>
        <v>1062</v>
      </c>
      <c r="Q175" s="378">
        <f t="shared" si="27"/>
        <v>1062</v>
      </c>
      <c r="R175" s="21">
        <f t="shared" si="21"/>
        <v>9.1573949719317493</v>
      </c>
      <c r="S175" s="376">
        <f t="shared" si="28"/>
        <v>9.2236638410144227</v>
      </c>
    </row>
    <row r="176" spans="1:19" s="22" customFormat="1" x14ac:dyDescent="0.35">
      <c r="A176" s="19">
        <v>164</v>
      </c>
      <c r="B176" s="19" t="s">
        <v>94</v>
      </c>
      <c r="C176" s="20" t="s">
        <v>423</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256.40705921408897</v>
      </c>
      <c r="K176" s="376">
        <f t="shared" si="24"/>
        <v>258.26258754840387</v>
      </c>
      <c r="L176" s="150">
        <f>'As-Filed Schedule 4'!H176</f>
        <v>729</v>
      </c>
      <c r="M176" s="388">
        <f>SUMIFS(Adjustments!$G:$G,Adjustments!$H:$H,"4",Adjustments!$I:$I,'Schedule 4 Adjustments'!$L$14,Adjustments!$J:$J,'Schedule 4 Adjustments'!$A176)</f>
        <v>0</v>
      </c>
      <c r="N176" s="380">
        <f t="shared" si="25"/>
        <v>729</v>
      </c>
      <c r="O176" s="410">
        <v>2.88</v>
      </c>
      <c r="P176" s="47">
        <f t="shared" si="26"/>
        <v>2099.52</v>
      </c>
      <c r="Q176" s="378">
        <f t="shared" si="27"/>
        <v>2099.52</v>
      </c>
      <c r="R176" s="21">
        <f t="shared" si="21"/>
        <v>219.77747932636197</v>
      </c>
      <c r="S176" s="376">
        <f t="shared" si="28"/>
        <v>221.36793218434616</v>
      </c>
    </row>
    <row r="177" spans="1:19" s="22" customFormat="1" x14ac:dyDescent="0.35">
      <c r="A177" s="19">
        <v>165</v>
      </c>
      <c r="B177" s="19" t="s">
        <v>95</v>
      </c>
      <c r="C177" s="20" t="s">
        <v>424</v>
      </c>
      <c r="D177" s="116">
        <f>'As-Filed Schedule 4'!D177</f>
        <v>0</v>
      </c>
      <c r="E177" s="388">
        <f>SUMIFS(Adjustments!$G:$G,Adjustments!$H:$H,"4",Adjustments!$I:$I,'Schedule 4 Adjustments'!$D$14,Adjustments!$J:$J,'Schedule 4 Adjustments'!$A177)</f>
        <v>0</v>
      </c>
      <c r="F177" s="380">
        <f t="shared" si="22"/>
        <v>0</v>
      </c>
      <c r="G177" s="410">
        <v>0.14000000000000001</v>
      </c>
      <c r="H177" s="47">
        <f t="shared" si="29"/>
        <v>0</v>
      </c>
      <c r="I177" s="378">
        <f t="shared" si="23"/>
        <v>0</v>
      </c>
      <c r="J177" s="21">
        <f t="shared" si="20"/>
        <v>10.683627467253707</v>
      </c>
      <c r="K177" s="376">
        <f t="shared" si="24"/>
        <v>10.760941147850161</v>
      </c>
      <c r="L177" s="150">
        <f>'As-Filed Schedule 4'!H177</f>
        <v>0</v>
      </c>
      <c r="M177" s="388">
        <f>SUMIFS(Adjustments!$G:$G,Adjustments!$H:$H,"4",Adjustments!$I:$I,'Schedule 4 Adjustments'!$L$14,Adjustments!$J:$J,'Schedule 4 Adjustments'!$A177)</f>
        <v>0</v>
      </c>
      <c r="N177" s="380">
        <f t="shared" si="25"/>
        <v>0</v>
      </c>
      <c r="O177" s="410">
        <v>0.12</v>
      </c>
      <c r="P177" s="47">
        <f t="shared" si="26"/>
        <v>0</v>
      </c>
      <c r="Q177" s="378">
        <f t="shared" si="27"/>
        <v>0</v>
      </c>
      <c r="R177" s="21">
        <f t="shared" si="21"/>
        <v>9.1573949719317493</v>
      </c>
      <c r="S177" s="376">
        <f t="shared" si="28"/>
        <v>9.2236638410144227</v>
      </c>
    </row>
    <row r="178" spans="1:19" s="22" customFormat="1" x14ac:dyDescent="0.35">
      <c r="A178" s="19">
        <v>166</v>
      </c>
      <c r="B178" s="19" t="s">
        <v>96</v>
      </c>
      <c r="C178" s="20" t="s">
        <v>425</v>
      </c>
      <c r="D178" s="116">
        <f>'As-Filed Schedule 4'!D178</f>
        <v>1600</v>
      </c>
      <c r="E178" s="388">
        <f>SUMIFS(Adjustments!$G:$G,Adjustments!$H:$H,"4",Adjustments!$I:$I,'Schedule 4 Adjustments'!$D$14,Adjustments!$J:$J,'Schedule 4 Adjustments'!$A178)</f>
        <v>0</v>
      </c>
      <c r="F178" s="380">
        <f t="shared" si="22"/>
        <v>1600</v>
      </c>
      <c r="G178" s="410">
        <v>1.29</v>
      </c>
      <c r="H178" s="47">
        <f t="shared" si="29"/>
        <v>2064</v>
      </c>
      <c r="I178" s="378">
        <f t="shared" si="23"/>
        <v>2064</v>
      </c>
      <c r="J178" s="21">
        <f t="shared" si="20"/>
        <v>98.441995948266296</v>
      </c>
      <c r="K178" s="376">
        <f t="shared" si="24"/>
        <v>99.154386290905052</v>
      </c>
      <c r="L178" s="150">
        <f>'As-Filed Schedule 4'!H178</f>
        <v>26</v>
      </c>
      <c r="M178" s="388">
        <f>SUMIFS(Adjustments!$G:$G,Adjustments!$H:$H,"4",Adjustments!$I:$I,'Schedule 4 Adjustments'!$L$14,Adjustments!$J:$J,'Schedule 4 Adjustments'!$A178)</f>
        <v>0</v>
      </c>
      <c r="N178" s="380">
        <f t="shared" si="25"/>
        <v>26</v>
      </c>
      <c r="O178" s="410">
        <v>1.1299999999999999</v>
      </c>
      <c r="P178" s="47">
        <f t="shared" si="26"/>
        <v>29.379999999999995</v>
      </c>
      <c r="Q178" s="378">
        <f t="shared" si="27"/>
        <v>29.379999999999995</v>
      </c>
      <c r="R178" s="21">
        <f t="shared" si="21"/>
        <v>86.232135985690633</v>
      </c>
      <c r="S178" s="376">
        <f t="shared" si="28"/>
        <v>86.856167836219143</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426</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9375</v>
      </c>
      <c r="M180" s="388">
        <f>SUMIFS(Adjustments!$G:$G,Adjustments!$H:$H,"4",Adjustments!$I:$I,'Schedule 4 Adjustments'!$L$14,Adjustments!$J:$J,'Schedule 4 Adjustments'!$A180)</f>
        <v>0</v>
      </c>
      <c r="N180" s="380">
        <f t="shared" si="25"/>
        <v>9375</v>
      </c>
      <c r="O180" s="410">
        <v>0</v>
      </c>
      <c r="P180" s="47">
        <f t="shared" si="26"/>
        <v>0</v>
      </c>
      <c r="Q180" s="378">
        <f t="shared" si="27"/>
        <v>0</v>
      </c>
      <c r="R180" s="21">
        <f t="shared" si="21"/>
        <v>0</v>
      </c>
      <c r="S180" s="376">
        <f t="shared" si="28"/>
        <v>0</v>
      </c>
    </row>
    <row r="181" spans="1:19" s="22" customFormat="1" x14ac:dyDescent="0.35">
      <c r="A181" s="19">
        <v>169</v>
      </c>
      <c r="B181" s="19" t="s">
        <v>98</v>
      </c>
      <c r="C181" s="20" t="s">
        <v>427</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16.788557448541539</v>
      </c>
      <c r="K181" s="376">
        <f t="shared" si="24"/>
        <v>16.910050375193109</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16.788557448541539</v>
      </c>
      <c r="S181" s="376">
        <f t="shared" si="28"/>
        <v>16.910050375193109</v>
      </c>
    </row>
    <row r="182" spans="1:19" s="22" customFormat="1" x14ac:dyDescent="0.35">
      <c r="A182" s="19">
        <v>170</v>
      </c>
      <c r="B182" s="19" t="s">
        <v>99</v>
      </c>
      <c r="C182" s="20" t="s">
        <v>428</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335.77114897083084</v>
      </c>
      <c r="K182" s="376">
        <f t="shared" si="24"/>
        <v>338.20100750386223</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335.77114897083084</v>
      </c>
      <c r="S182" s="376">
        <f t="shared" si="28"/>
        <v>338.20100750386223</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77.83785726141987</v>
      </c>
      <c r="K183" s="376">
        <f t="shared" si="24"/>
        <v>78.401142648622596</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71.732927280132031</v>
      </c>
      <c r="S183" s="376">
        <f t="shared" si="28"/>
        <v>72.252033421279648</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57.23371857457343</v>
      </c>
      <c r="K184" s="376">
        <f t="shared" si="24"/>
        <v>57.647899006340147</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28.235301163456224</v>
      </c>
      <c r="S184" s="376">
        <f t="shared" si="28"/>
        <v>28.43963017646114</v>
      </c>
    </row>
    <row r="185" spans="1:19" s="22" customFormat="1" x14ac:dyDescent="0.35">
      <c r="A185" s="19">
        <v>173</v>
      </c>
      <c r="B185" s="19" t="s">
        <v>102</v>
      </c>
      <c r="C185" s="20" t="s">
        <v>429</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57.23371857457343</v>
      </c>
      <c r="K185" s="376">
        <f t="shared" si="24"/>
        <v>57.647899006340147</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28.235301163456224</v>
      </c>
      <c r="S185" s="376">
        <f t="shared" si="28"/>
        <v>28.43963017646114</v>
      </c>
    </row>
    <row r="186" spans="1:19" s="22" customFormat="1" x14ac:dyDescent="0.35">
      <c r="A186" s="19">
        <v>174</v>
      </c>
      <c r="B186" s="19" t="s">
        <v>103</v>
      </c>
      <c r="C186" s="20" t="s">
        <v>430</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302.19403407374773</v>
      </c>
      <c r="K186" s="376">
        <f t="shared" si="24"/>
        <v>304.38090675347598</v>
      </c>
      <c r="L186" s="150">
        <f>'As-Filed Schedule 4'!H186</f>
        <v>73</v>
      </c>
      <c r="M186" s="388">
        <f>SUMIFS(Adjustments!$G:$G,Adjustments!$H:$H,"4",Adjustments!$I:$I,'Schedule 4 Adjustments'!$L$14,Adjustments!$J:$J,'Schedule 4 Adjustments'!$A186)</f>
        <v>0</v>
      </c>
      <c r="N186" s="380">
        <f t="shared" si="25"/>
        <v>73</v>
      </c>
      <c r="O186" s="410">
        <v>3.96</v>
      </c>
      <c r="P186" s="47">
        <f t="shared" si="26"/>
        <v>289.08</v>
      </c>
      <c r="Q186" s="378">
        <f t="shared" si="27"/>
        <v>289.08</v>
      </c>
      <c r="R186" s="21">
        <f t="shared" si="21"/>
        <v>302.19403407374773</v>
      </c>
      <c r="S186" s="376">
        <f t="shared" si="28"/>
        <v>304.38090675347598</v>
      </c>
    </row>
    <row r="187" spans="1:19" s="22" customFormat="1" x14ac:dyDescent="0.35">
      <c r="A187" s="19">
        <v>175</v>
      </c>
      <c r="B187" s="19" t="s">
        <v>104</v>
      </c>
      <c r="C187" s="20" t="s">
        <v>431</v>
      </c>
      <c r="D187" s="116">
        <f>'As-Filed Schedule 4'!D187</f>
        <v>0</v>
      </c>
      <c r="E187" s="388">
        <f>SUMIFS(Adjustments!$G:$G,Adjustments!$H:$H,"4",Adjustments!$I:$I,'Schedule 4 Adjustments'!$D$14,Adjustments!$J:$J,'Schedule 4 Adjustments'!$A187)</f>
        <v>0</v>
      </c>
      <c r="F187" s="380">
        <f t="shared" si="22"/>
        <v>0</v>
      </c>
      <c r="G187" s="410">
        <v>3.59</v>
      </c>
      <c r="H187" s="47">
        <f t="shared" si="29"/>
        <v>0</v>
      </c>
      <c r="I187" s="378">
        <f t="shared" si="23"/>
        <v>0</v>
      </c>
      <c r="J187" s="21">
        <f t="shared" si="20"/>
        <v>273.95873291029147</v>
      </c>
      <c r="K187" s="376">
        <f t="shared" si="24"/>
        <v>275.94127657701483</v>
      </c>
      <c r="L187" s="150">
        <f>'As-Filed Schedule 4'!H187</f>
        <v>0</v>
      </c>
      <c r="M187" s="388">
        <f>SUMIFS(Adjustments!$G:$G,Adjustments!$H:$H,"4",Adjustments!$I:$I,'Schedule 4 Adjustments'!$L$14,Adjustments!$J:$J,'Schedule 4 Adjustments'!$A187)</f>
        <v>0</v>
      </c>
      <c r="N187" s="380">
        <f t="shared" si="25"/>
        <v>0</v>
      </c>
      <c r="O187" s="410">
        <v>3.59</v>
      </c>
      <c r="P187" s="47">
        <f t="shared" si="26"/>
        <v>0</v>
      </c>
      <c r="Q187" s="378">
        <f t="shared" si="27"/>
        <v>0</v>
      </c>
      <c r="R187" s="21">
        <f t="shared" si="21"/>
        <v>273.95873291029147</v>
      </c>
      <c r="S187" s="376">
        <f t="shared" si="28"/>
        <v>275.94127657701483</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6069</v>
      </c>
      <c r="M188" s="388">
        <f>SUMIFS(Adjustments!$G:$G,Adjustments!$H:$H,"4",Adjustments!$I:$I,'Schedule 4 Adjustments'!$L$14,Adjustments!$J:$J,'Schedule 4 Adjustments'!$A188)</f>
        <v>0</v>
      </c>
      <c r="N188" s="380">
        <f t="shared" si="25"/>
        <v>6069</v>
      </c>
      <c r="O188" s="410">
        <v>0</v>
      </c>
      <c r="P188" s="47">
        <f t="shared" si="26"/>
        <v>0</v>
      </c>
      <c r="Q188" s="378">
        <f t="shared" si="27"/>
        <v>0</v>
      </c>
      <c r="R188" s="21">
        <f t="shared" si="21"/>
        <v>0</v>
      </c>
      <c r="S188" s="376">
        <f t="shared" si="28"/>
        <v>0</v>
      </c>
    </row>
    <row r="189" spans="1:19" s="22" customFormat="1" x14ac:dyDescent="0.35">
      <c r="A189" s="19">
        <v>177</v>
      </c>
      <c r="B189" s="19" t="s">
        <v>105</v>
      </c>
      <c r="C189" s="20" t="s">
        <v>432</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22.130371182168393</v>
      </c>
      <c r="K189" s="376">
        <f t="shared" si="24"/>
        <v>22.290520949118189</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22.130371182168393</v>
      </c>
      <c r="S189" s="376">
        <f t="shared" si="28"/>
        <v>22.290520949118189</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234.27668803192057</v>
      </c>
      <c r="K190" s="376">
        <f t="shared" si="24"/>
        <v>235.97206659928565</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232.75045553659859</v>
      </c>
      <c r="S190" s="376">
        <f t="shared" si="28"/>
        <v>234.43478929244992</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45.02385861199776</v>
      </c>
      <c r="K192" s="376">
        <f t="shared" si="24"/>
        <v>45.349680551654245</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41.971393621353855</v>
      </c>
      <c r="S192" s="376">
        <f t="shared" si="28"/>
        <v>42.275125937982779</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433</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48.839439850302661</v>
      </c>
      <c r="K194" s="376">
        <f t="shared" si="24"/>
        <v>49.192873818743593</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45.786974859658741</v>
      </c>
      <c r="S194" s="376">
        <f t="shared" si="28"/>
        <v>46.118319205072119</v>
      </c>
    </row>
    <row r="195" spans="1:19" s="22" customFormat="1" x14ac:dyDescent="0.35">
      <c r="A195" s="19">
        <v>183</v>
      </c>
      <c r="B195" s="19" t="s">
        <v>109</v>
      </c>
      <c r="C195" s="20" t="s">
        <v>151</v>
      </c>
      <c r="D195" s="116">
        <f>'As-Filed Schedule 4'!D195</f>
        <v>7323</v>
      </c>
      <c r="E195" s="388">
        <f>SUMIFS(Adjustments!$G:$G,Adjustments!$H:$H,"4",Adjustments!$I:$I,'Schedule 4 Adjustments'!$D$14,Adjustments!$J:$J,'Schedule 4 Adjustments'!$A195)</f>
        <v>0</v>
      </c>
      <c r="F195" s="380">
        <f t="shared" si="22"/>
        <v>7323</v>
      </c>
      <c r="G195" s="410">
        <v>0.65000000000000013</v>
      </c>
      <c r="H195" s="47">
        <f t="shared" si="29"/>
        <v>4759.9500000000007</v>
      </c>
      <c r="I195" s="378">
        <f t="shared" si="23"/>
        <v>4759.9500000000007</v>
      </c>
      <c r="J195" s="21">
        <f t="shared" si="20"/>
        <v>49.60255609796365</v>
      </c>
      <c r="K195" s="376">
        <f t="shared" si="24"/>
        <v>49.961512472161473</v>
      </c>
      <c r="L195" s="150">
        <f>'As-Filed Schedule 4'!H195</f>
        <v>13890</v>
      </c>
      <c r="M195" s="388">
        <f>SUMIFS(Adjustments!$G:$G,Adjustments!$H:$H,"4",Adjustments!$I:$I,'Schedule 4 Adjustments'!$L$14,Adjustments!$J:$J,'Schedule 4 Adjustments'!$A195)</f>
        <v>0</v>
      </c>
      <c r="N195" s="380">
        <f t="shared" si="25"/>
        <v>13890</v>
      </c>
      <c r="O195" s="410">
        <v>0.59999999999999987</v>
      </c>
      <c r="P195" s="47">
        <f t="shared" si="26"/>
        <v>8333.9999999999982</v>
      </c>
      <c r="Q195" s="378">
        <f t="shared" si="27"/>
        <v>8333.9999999999982</v>
      </c>
      <c r="R195" s="21">
        <f t="shared" si="21"/>
        <v>45.786974859658734</v>
      </c>
      <c r="S195" s="376">
        <f t="shared" si="28"/>
        <v>46.118319205072105</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73641</v>
      </c>
      <c r="E197" s="9">
        <f>SUM(E18:E196)</f>
        <v>0</v>
      </c>
      <c r="F197" s="379">
        <f>SUM(F18:F196)</f>
        <v>73641</v>
      </c>
      <c r="G197" s="13"/>
      <c r="H197" s="9">
        <f>SUM(H18:H196)</f>
        <v>151578.33999999997</v>
      </c>
      <c r="I197" s="379">
        <f>SUM(I18:I196)</f>
        <v>151578.33999999997</v>
      </c>
      <c r="L197" s="9">
        <f>SUM(L18:L196)</f>
        <v>121444</v>
      </c>
      <c r="M197" s="9">
        <f t="shared" ref="M197:N197" si="40">SUM(M18:M196)</f>
        <v>0</v>
      </c>
      <c r="N197" s="9">
        <f t="shared" si="40"/>
        <v>121444</v>
      </c>
      <c r="P197" s="9">
        <f>SUM(P18:P196)</f>
        <v>125369.76999999995</v>
      </c>
      <c r="Q197" s="379">
        <f>SUM(Q18:Q196)</f>
        <v>125369.76999999995</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customProperties>
    <customPr name="OrphanNamesChecked" r:id="rId4"/>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773</v>
      </c>
      <c r="I1" s="129"/>
    </row>
    <row r="2" spans="1:15" ht="21" x14ac:dyDescent="0.5">
      <c r="A2" s="2" t="s">
        <v>771</v>
      </c>
      <c r="J2" s="40"/>
      <c r="K2" s="40"/>
      <c r="L2" s="40"/>
      <c r="M2" s="40"/>
      <c r="N2" s="40"/>
      <c r="O2" s="40"/>
    </row>
    <row r="3" spans="1:15" ht="21" x14ac:dyDescent="0.5">
      <c r="A3" s="5" t="s">
        <v>866</v>
      </c>
      <c r="I3" s="130"/>
      <c r="J3" s="130"/>
      <c r="K3" s="130"/>
      <c r="L3" s="40"/>
      <c r="M3" s="40"/>
      <c r="N3" s="40"/>
      <c r="O3" s="40"/>
    </row>
    <row r="4" spans="1:15" x14ac:dyDescent="0.35">
      <c r="I4" s="40"/>
      <c r="J4" s="40"/>
      <c r="K4" s="40"/>
      <c r="L4" s="40"/>
      <c r="M4" s="40"/>
      <c r="N4" s="40"/>
      <c r="O4" s="40"/>
    </row>
    <row r="5" spans="1:15" x14ac:dyDescent="0.35">
      <c r="A5" s="1" t="s">
        <v>772</v>
      </c>
      <c r="C5" s="421" t="str">
        <f>Results!$C$6</f>
        <v>Mind Springs Health</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551</v>
      </c>
      <c r="F8" s="257" t="s">
        <v>552</v>
      </c>
      <c r="I8" s="40"/>
      <c r="J8" s="40"/>
      <c r="K8" s="40"/>
      <c r="L8" s="40"/>
      <c r="M8" s="40"/>
      <c r="N8" s="40"/>
      <c r="O8" s="40"/>
    </row>
    <row r="9" spans="1:15" s="6" customFormat="1" x14ac:dyDescent="0.35">
      <c r="A9" s="97"/>
      <c r="B9" s="510" t="s">
        <v>867</v>
      </c>
      <c r="C9" s="510"/>
      <c r="D9" s="151" t="s">
        <v>868</v>
      </c>
      <c r="E9" s="258" t="s">
        <v>899</v>
      </c>
      <c r="F9" s="259" t="s">
        <v>900</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90" t="s">
        <v>869</v>
      </c>
      <c r="B11" s="591"/>
      <c r="C11" s="591"/>
      <c r="D11" s="591"/>
      <c r="E11" s="591"/>
      <c r="F11" s="592"/>
      <c r="I11" s="128"/>
      <c r="J11" s="128"/>
      <c r="K11" s="128"/>
      <c r="L11" s="128"/>
      <c r="M11" s="128"/>
      <c r="N11" s="128"/>
      <c r="O11" s="128"/>
    </row>
    <row r="12" spans="1:15" s="22" customFormat="1" x14ac:dyDescent="0.35">
      <c r="A12" s="155">
        <v>1</v>
      </c>
      <c r="B12" s="497" t="s">
        <v>870</v>
      </c>
      <c r="C12" s="499"/>
      <c r="D12" s="157">
        <f>'As-Filed Schedule 5'!D12</f>
        <v>0</v>
      </c>
      <c r="E12" s="388">
        <f>SUMIFS(Adjustments!$G:$G,Adjustments!$H:$H,"5",Adjustments!$I:$I,'Schedule 5 Adjustments'!$D$8,Adjustments!$J:$J,A12)</f>
        <v>0</v>
      </c>
      <c r="F12" s="274">
        <f>SUM(D12:E12)</f>
        <v>0</v>
      </c>
      <c r="I12" s="140"/>
    </row>
    <row r="13" spans="1:15" s="22" customFormat="1" x14ac:dyDescent="0.35">
      <c r="A13" s="155">
        <v>2</v>
      </c>
      <c r="B13" s="497" t="s">
        <v>871</v>
      </c>
      <c r="C13" s="499"/>
      <c r="D13" s="157">
        <f>'As-Filed Schedule 5'!D13</f>
        <v>8712293.7599999998</v>
      </c>
      <c r="E13" s="388">
        <f>SUMIFS(Adjustments!$G:$G,Adjustments!$H:$H,"5",Adjustments!$I:$I,'Schedule 5 Adjustments'!$D$8,Adjustments!$J:$J,A13)</f>
        <v>0</v>
      </c>
      <c r="F13" s="274">
        <f t="shared" ref="F13:F18" si="0">SUM(D13:E13)</f>
        <v>8712293.7599999998</v>
      </c>
      <c r="I13" s="140"/>
    </row>
    <row r="14" spans="1:15" s="22" customFormat="1" x14ac:dyDescent="0.35">
      <c r="A14" s="155">
        <v>3</v>
      </c>
      <c r="B14" s="173" t="s">
        <v>872</v>
      </c>
      <c r="C14" s="168"/>
      <c r="D14" s="157">
        <f>'As-Filed Schedule 5'!D14</f>
        <v>2387637.54</v>
      </c>
      <c r="E14" s="388">
        <f>SUMIFS(Adjustments!$G:$G,Adjustments!$H:$H,"5",Adjustments!$I:$I,'Schedule 5 Adjustments'!$D$8,Adjustments!$J:$J,A14)</f>
        <v>0</v>
      </c>
      <c r="F14" s="274">
        <f t="shared" si="0"/>
        <v>2387637.54</v>
      </c>
      <c r="I14" s="140"/>
    </row>
    <row r="15" spans="1:15" s="22" customFormat="1" x14ac:dyDescent="0.35">
      <c r="A15" s="155">
        <v>4</v>
      </c>
      <c r="B15" s="173" t="s">
        <v>873</v>
      </c>
      <c r="C15" s="168"/>
      <c r="D15" s="157">
        <f>'As-Filed Schedule 5'!D15</f>
        <v>2456543.3199999998</v>
      </c>
      <c r="E15" s="388">
        <f>SUMIFS(Adjustments!$G:$G,Adjustments!$H:$H,"5",Adjustments!$I:$I,'Schedule 5 Adjustments'!$D$8,Adjustments!$J:$J,A15)</f>
        <v>0</v>
      </c>
      <c r="F15" s="274">
        <f t="shared" si="0"/>
        <v>2456543.3199999998</v>
      </c>
      <c r="I15" s="140"/>
    </row>
    <row r="16" spans="1:15" s="22" customFormat="1" x14ac:dyDescent="0.35">
      <c r="A16" s="155">
        <v>5</v>
      </c>
      <c r="B16" s="173" t="s">
        <v>874</v>
      </c>
      <c r="C16" s="168"/>
      <c r="D16" s="157">
        <f>'As-Filed Schedule 5'!D16</f>
        <v>0</v>
      </c>
      <c r="E16" s="388">
        <f>SUMIFS(Adjustments!$G:$G,Adjustments!$H:$H,"5",Adjustments!$I:$I,'Schedule 5 Adjustments'!$D$8,Adjustments!$J:$J,A16)</f>
        <v>0</v>
      </c>
      <c r="F16" s="274">
        <f t="shared" si="0"/>
        <v>0</v>
      </c>
      <c r="I16" s="140"/>
    </row>
    <row r="17" spans="1:9" s="22" customFormat="1" x14ac:dyDescent="0.35">
      <c r="A17" s="155">
        <v>6</v>
      </c>
      <c r="B17" s="173" t="s">
        <v>875</v>
      </c>
      <c r="C17" s="168"/>
      <c r="D17" s="157">
        <f>'As-Filed Schedule 5'!D17</f>
        <v>435582.29</v>
      </c>
      <c r="E17" s="388">
        <f>SUMIFS(Adjustments!$G:$G,Adjustments!$H:$H,"5",Adjustments!$I:$I,'Schedule 5 Adjustments'!$D$8,Adjustments!$J:$J,A17)</f>
        <v>0</v>
      </c>
      <c r="F17" s="274">
        <f>SUM(D17:E17)</f>
        <v>435582.29</v>
      </c>
      <c r="I17" s="140"/>
    </row>
    <row r="18" spans="1:9" s="22" customFormat="1" x14ac:dyDescent="0.35">
      <c r="A18" s="155">
        <v>7</v>
      </c>
      <c r="B18" s="497" t="s">
        <v>876</v>
      </c>
      <c r="C18" s="499"/>
      <c r="D18" s="157">
        <f>'As-Filed Schedule 5'!D18</f>
        <v>2655184.06</v>
      </c>
      <c r="E18" s="388">
        <f>SUMIFS(Adjustments!$G:$G,Adjustments!$H:$H,"5",Adjustments!$I:$I,'Schedule 5 Adjustments'!$D$8,Adjustments!$J:$J,A18)</f>
        <v>0</v>
      </c>
      <c r="F18" s="274">
        <f t="shared" si="0"/>
        <v>2655184.06</v>
      </c>
      <c r="I18" s="140"/>
    </row>
    <row r="19" spans="1:9" s="22" customFormat="1" x14ac:dyDescent="0.35">
      <c r="A19" s="155">
        <v>8</v>
      </c>
      <c r="B19" s="503" t="s">
        <v>877</v>
      </c>
      <c r="C19" s="505"/>
      <c r="D19" s="160">
        <f>SUM(D12:D18)</f>
        <v>16647240.970000001</v>
      </c>
      <c r="E19" s="266">
        <f t="shared" ref="E19:F19" si="1">SUM(E12:E18)</f>
        <v>0</v>
      </c>
      <c r="F19" s="275">
        <f t="shared" si="1"/>
        <v>16647240.970000001</v>
      </c>
      <c r="I19" s="140"/>
    </row>
    <row r="20" spans="1:9" s="22" customFormat="1" x14ac:dyDescent="0.35">
      <c r="A20" s="437"/>
      <c r="B20" s="438"/>
      <c r="C20" s="438"/>
      <c r="D20" s="439"/>
      <c r="E20" s="441"/>
      <c r="F20" s="445"/>
      <c r="I20" s="140"/>
    </row>
    <row r="21" spans="1:9" s="22" customFormat="1" x14ac:dyDescent="0.35">
      <c r="A21" s="590" t="s">
        <v>878</v>
      </c>
      <c r="B21" s="591"/>
      <c r="C21" s="591"/>
      <c r="D21" s="591"/>
      <c r="E21" s="591"/>
      <c r="F21" s="592"/>
      <c r="G21" s="140"/>
      <c r="H21" s="140"/>
      <c r="I21" s="140"/>
    </row>
    <row r="22" spans="1:9" s="22" customFormat="1" x14ac:dyDescent="0.35">
      <c r="A22" s="155">
        <v>9</v>
      </c>
      <c r="B22" s="497" t="s">
        <v>879</v>
      </c>
      <c r="C22" s="499"/>
      <c r="D22" s="157">
        <f>'As-Filed Schedule 5'!D22</f>
        <v>21404839.710000001</v>
      </c>
      <c r="E22" s="388">
        <f>SUMIFS(Adjustments!$G:$G,Adjustments!$H:$H,"5",Adjustments!$I:$I,'Schedule 5 Adjustments'!$D$8,Adjustments!$J:$J,A22)</f>
        <v>0</v>
      </c>
      <c r="F22" s="274">
        <f>SUM(D22:E22)</f>
        <v>21404839.710000001</v>
      </c>
      <c r="G22" s="140"/>
      <c r="H22" s="140"/>
      <c r="I22" s="140"/>
    </row>
    <row r="23" spans="1:9" s="22" customFormat="1" x14ac:dyDescent="0.35">
      <c r="A23" s="155">
        <v>10</v>
      </c>
      <c r="B23" s="173" t="s">
        <v>880</v>
      </c>
      <c r="C23" s="168"/>
      <c r="D23" s="157">
        <f>'As-Filed Schedule 5'!D23</f>
        <v>7931806.2000000002</v>
      </c>
      <c r="E23" s="388">
        <f>SUMIFS(Adjustments!$G:$G,Adjustments!$H:$H,"5",Adjustments!$I:$I,'Schedule 5 Adjustments'!$D$8,Adjustments!$J:$J,A23)</f>
        <v>0</v>
      </c>
      <c r="F23" s="274">
        <f t="shared" ref="F23:F26" si="2">SUM(D23:E23)</f>
        <v>7931806.2000000002</v>
      </c>
      <c r="G23" s="140"/>
      <c r="H23" s="140"/>
      <c r="I23" s="140"/>
    </row>
    <row r="24" spans="1:9" s="22" customFormat="1" x14ac:dyDescent="0.35">
      <c r="A24" s="155">
        <v>11</v>
      </c>
      <c r="B24" s="173" t="s">
        <v>881</v>
      </c>
      <c r="C24" s="168"/>
      <c r="D24" s="157">
        <f>'As-Filed Schedule 5'!D24</f>
        <v>2209979.0099999998</v>
      </c>
      <c r="E24" s="388">
        <f>SUMIFS(Adjustments!$G:$G,Adjustments!$H:$H,"5",Adjustments!$I:$I,'Schedule 5 Adjustments'!$D$8,Adjustments!$J:$J,A24)</f>
        <v>0</v>
      </c>
      <c r="F24" s="274">
        <f t="shared" si="2"/>
        <v>2209979.0099999998</v>
      </c>
      <c r="G24" s="140"/>
      <c r="H24" s="140"/>
      <c r="I24" s="140"/>
    </row>
    <row r="25" spans="1:9" s="22" customFormat="1" x14ac:dyDescent="0.35">
      <c r="A25" s="155">
        <v>12</v>
      </c>
      <c r="B25" s="173" t="s">
        <v>882</v>
      </c>
      <c r="C25" s="168"/>
      <c r="D25" s="157">
        <f>'As-Filed Schedule 5'!D25</f>
        <v>1578301.62</v>
      </c>
      <c r="E25" s="388">
        <f>SUMIFS(Adjustments!$G:$G,Adjustments!$H:$H,"5",Adjustments!$I:$I,'Schedule 5 Adjustments'!$D$8,Adjustments!$J:$J,A25)</f>
        <v>0</v>
      </c>
      <c r="F25" s="274">
        <f t="shared" si="2"/>
        <v>1578301.62</v>
      </c>
      <c r="G25" s="140"/>
      <c r="H25" s="140"/>
      <c r="I25" s="140"/>
    </row>
    <row r="26" spans="1:9" s="22" customFormat="1" x14ac:dyDescent="0.35">
      <c r="A26" s="155">
        <v>13</v>
      </c>
      <c r="B26" s="173" t="s">
        <v>883</v>
      </c>
      <c r="C26" s="168"/>
      <c r="D26" s="157">
        <f>'As-Filed Schedule 5'!D26</f>
        <v>409886.93</v>
      </c>
      <c r="E26" s="388">
        <f>SUMIFS(Adjustments!$G:$G,Adjustments!$H:$H,"5",Adjustments!$I:$I,'Schedule 5 Adjustments'!$D$8,Adjustments!$J:$J,A26)</f>
        <v>0</v>
      </c>
      <c r="F26" s="274">
        <f t="shared" si="2"/>
        <v>409886.93</v>
      </c>
      <c r="G26" s="140"/>
      <c r="H26" s="140"/>
      <c r="I26" s="140"/>
    </row>
    <row r="27" spans="1:9" s="22" customFormat="1" x14ac:dyDescent="0.35">
      <c r="A27" s="155">
        <v>14</v>
      </c>
      <c r="B27" s="503" t="s">
        <v>884</v>
      </c>
      <c r="C27" s="505"/>
      <c r="D27" s="160">
        <f>SUM(D22:D26)</f>
        <v>33534813.470000003</v>
      </c>
      <c r="E27" s="266">
        <f>SUM(E22:E26)</f>
        <v>0</v>
      </c>
      <c r="F27" s="275">
        <f t="shared" ref="F27" si="3">SUM(F22:F26)</f>
        <v>33534813.470000003</v>
      </c>
      <c r="G27" s="140"/>
      <c r="H27" s="140"/>
      <c r="I27" s="140"/>
    </row>
    <row r="28" spans="1:9" s="22" customFormat="1" x14ac:dyDescent="0.35">
      <c r="A28" s="437"/>
      <c r="B28" s="438"/>
      <c r="C28" s="438"/>
      <c r="D28" s="439"/>
      <c r="E28" s="441"/>
      <c r="F28" s="445"/>
      <c r="H28" s="140"/>
      <c r="I28" s="140"/>
    </row>
    <row r="29" spans="1:9" s="22" customFormat="1" x14ac:dyDescent="0.35">
      <c r="A29" s="590" t="s">
        <v>885</v>
      </c>
      <c r="B29" s="591"/>
      <c r="C29" s="591"/>
      <c r="D29" s="591"/>
      <c r="E29" s="591"/>
      <c r="F29" s="592"/>
      <c r="H29" s="140"/>
      <c r="I29" s="140"/>
    </row>
    <row r="30" spans="1:9" s="22" customFormat="1" x14ac:dyDescent="0.35">
      <c r="A30" s="440">
        <v>15</v>
      </c>
      <c r="B30" s="593" t="s">
        <v>886</v>
      </c>
      <c r="C30" s="595"/>
      <c r="D30" s="157">
        <f>'As-Filed Schedule 5'!D30</f>
        <v>-296611.74</v>
      </c>
      <c r="E30" s="388">
        <f>SUMIFS(Adjustments!$G:$G,Adjustments!$H:$H,"5",Adjustments!$I:$I,'Schedule 5 Adjustments'!$D$8,Adjustments!$J:$J,A30)</f>
        <v>0</v>
      </c>
      <c r="F30" s="274">
        <f t="shared" ref="F30:F34" si="4">SUM(D30:E30)</f>
        <v>-296611.74</v>
      </c>
      <c r="I30" s="140"/>
    </row>
    <row r="31" spans="1:9" s="22" customFormat="1" x14ac:dyDescent="0.35">
      <c r="A31" s="155">
        <v>16</v>
      </c>
      <c r="B31" s="173" t="s">
        <v>887</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888</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889</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890</v>
      </c>
      <c r="C34" s="168"/>
      <c r="D34" s="157">
        <f>'As-Filed Schedule 5'!D34</f>
        <v>457110.09</v>
      </c>
      <c r="E34" s="388">
        <f>SUMIFS(Adjustments!$G:$G,Adjustments!$H:$H,"5",Adjustments!$I:$I,'Schedule 5 Adjustments'!$D$8,Adjustments!$J:$J,A34)</f>
        <v>0</v>
      </c>
      <c r="F34" s="274">
        <f t="shared" si="4"/>
        <v>457110.09</v>
      </c>
      <c r="I34" s="140"/>
    </row>
    <row r="35" spans="1:9" s="22" customFormat="1" x14ac:dyDescent="0.35">
      <c r="A35" s="155">
        <v>20</v>
      </c>
      <c r="B35" s="503" t="s">
        <v>891</v>
      </c>
      <c r="C35" s="505"/>
      <c r="D35" s="160">
        <f>SUM(D30:D34)</f>
        <v>160498.35000000003</v>
      </c>
      <c r="E35" s="266">
        <f t="shared" ref="E35:F35" si="5">SUM(E30:E34)</f>
        <v>0</v>
      </c>
      <c r="F35" s="275">
        <f t="shared" si="5"/>
        <v>160498.35000000003</v>
      </c>
      <c r="I35" s="140"/>
    </row>
    <row r="36" spans="1:9" s="22" customFormat="1" x14ac:dyDescent="0.35">
      <c r="A36" s="437"/>
      <c r="B36" s="438"/>
      <c r="C36" s="438"/>
      <c r="D36" s="439"/>
      <c r="E36" s="441"/>
      <c r="F36" s="445"/>
      <c r="I36" s="140"/>
    </row>
    <row r="37" spans="1:9" s="22" customFormat="1" x14ac:dyDescent="0.35">
      <c r="A37" s="590" t="s">
        <v>892</v>
      </c>
      <c r="B37" s="591"/>
      <c r="C37" s="591"/>
      <c r="D37" s="591"/>
      <c r="E37" s="591"/>
      <c r="F37" s="592"/>
      <c r="I37" s="140"/>
    </row>
    <row r="38" spans="1:9" s="22" customFormat="1" x14ac:dyDescent="0.35">
      <c r="A38" s="440">
        <v>21</v>
      </c>
      <c r="B38" s="593" t="s">
        <v>303</v>
      </c>
      <c r="C38" s="594"/>
      <c r="D38" s="157">
        <f>'As-Filed Schedule 5'!D38</f>
        <v>879.01</v>
      </c>
      <c r="E38" s="388">
        <f>SUMIFS(Adjustments!$G:$G,Adjustments!$H:$H,"5",Adjustments!$I:$I,'Schedule 5 Adjustments'!$D$8,Adjustments!$J:$J,A38)</f>
        <v>0</v>
      </c>
      <c r="F38" s="274">
        <f t="shared" ref="F38" si="6">SUM(D38:E38)</f>
        <v>879.01</v>
      </c>
      <c r="I38" s="140"/>
    </row>
    <row r="39" spans="1:9" s="22" customFormat="1" x14ac:dyDescent="0.35">
      <c r="A39" s="155">
        <v>22</v>
      </c>
      <c r="B39" s="497" t="s">
        <v>893</v>
      </c>
      <c r="C39" s="498"/>
      <c r="D39" s="157">
        <f>'As-Filed Schedule 5'!D39</f>
        <v>0</v>
      </c>
      <c r="E39" s="388">
        <f>SUMIFS(Adjustments!$G:$G,Adjustments!$H:$H,"5",Adjustments!$I:$I,'Schedule 5 Adjustments'!$D$8,Adjustments!$J:$J,A39)</f>
        <v>0</v>
      </c>
      <c r="F39" s="274">
        <f>SUM(D39:E39)</f>
        <v>0</v>
      </c>
      <c r="I39" s="140"/>
    </row>
    <row r="40" spans="1:9" s="22" customFormat="1" x14ac:dyDescent="0.35">
      <c r="A40" s="155">
        <v>23</v>
      </c>
      <c r="B40" s="497" t="s">
        <v>894</v>
      </c>
      <c r="C40" s="498"/>
      <c r="D40" s="157">
        <f>'As-Filed Schedule 5'!D40</f>
        <v>2341123.8100000005</v>
      </c>
      <c r="E40" s="388">
        <f>SUMIFS(Adjustments!$G:$G,Adjustments!$H:$H,"5",Adjustments!$I:$I,'Schedule 5 Adjustments'!$D$8,Adjustments!$J:$J,A40)</f>
        <v>0</v>
      </c>
      <c r="F40" s="274">
        <f>SUM(D40:E40)</f>
        <v>2341123.8100000005</v>
      </c>
      <c r="I40" s="140"/>
    </row>
    <row r="41" spans="1:9" s="22" customFormat="1" x14ac:dyDescent="0.35">
      <c r="A41" s="155">
        <v>24</v>
      </c>
      <c r="B41" s="503" t="s">
        <v>895</v>
      </c>
      <c r="C41" s="504"/>
      <c r="D41" s="160">
        <f>SUM(D38:D40)</f>
        <v>2342002.8200000003</v>
      </c>
      <c r="E41" s="266">
        <f t="shared" ref="E41:F41" si="7">SUM(E38:E40)</f>
        <v>0</v>
      </c>
      <c r="F41" s="275">
        <f t="shared" si="7"/>
        <v>2342002.8200000003</v>
      </c>
      <c r="I41" s="140"/>
    </row>
    <row r="42" spans="1:9" s="22" customFormat="1" x14ac:dyDescent="0.35">
      <c r="A42" s="161"/>
      <c r="B42" s="162"/>
      <c r="C42" s="162"/>
      <c r="D42" s="164"/>
      <c r="E42" s="441"/>
      <c r="F42" s="445"/>
      <c r="I42" s="140"/>
    </row>
    <row r="43" spans="1:9" s="63" customFormat="1" ht="15.5" x14ac:dyDescent="0.35">
      <c r="A43" s="155">
        <v>25</v>
      </c>
      <c r="B43" s="500" t="s">
        <v>896</v>
      </c>
      <c r="C43" s="502"/>
      <c r="D43" s="169">
        <f>SUM(D19,D27,D35,D41)</f>
        <v>52684555.610000007</v>
      </c>
      <c r="E43" s="442">
        <f t="shared" ref="E43" si="8">SUM(E19,E27,E35,E41)</f>
        <v>0</v>
      </c>
      <c r="F43" s="446">
        <f>SUM(F19,F27,F35,F41)</f>
        <v>52684555.610000007</v>
      </c>
      <c r="I43" s="141"/>
    </row>
    <row r="44" spans="1:9" s="22" customFormat="1" x14ac:dyDescent="0.35">
      <c r="A44" s="170"/>
      <c r="B44" s="170"/>
      <c r="C44" s="170"/>
      <c r="D44" s="170"/>
      <c r="E44" s="265"/>
      <c r="F44" s="140"/>
      <c r="I44" s="140"/>
    </row>
    <row r="45" spans="1:9" s="22" customFormat="1" x14ac:dyDescent="0.35">
      <c r="A45" s="155">
        <v>26</v>
      </c>
      <c r="B45" s="496" t="s">
        <v>897</v>
      </c>
      <c r="C45" s="496"/>
      <c r="D45" s="157">
        <f>'As-Filed Schedule 5'!D45</f>
        <v>52684556</v>
      </c>
      <c r="E45" s="443"/>
      <c r="F45" s="274">
        <f>'As-Filed Schedule 5'!D45</f>
        <v>52684556</v>
      </c>
      <c r="I45" s="140"/>
    </row>
    <row r="46" spans="1:9" s="22" customFormat="1" ht="15.5" x14ac:dyDescent="0.35">
      <c r="A46" s="155">
        <v>27</v>
      </c>
      <c r="B46" s="496" t="s">
        <v>10</v>
      </c>
      <c r="C46" s="496"/>
      <c r="D46" s="169">
        <f>D43-D45</f>
        <v>-0.38999999314546585</v>
      </c>
      <c r="E46" s="444"/>
      <c r="F46" s="446">
        <f>F43-F45</f>
        <v>-0.38999999314546585</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2025-03-17T17:37:04Z</dcterms:modified>
</cp:coreProperties>
</file>