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6-17\12 June 2017\"/>
    </mc:Choice>
  </mc:AlternateContent>
  <bookViews>
    <workbookView xWindow="0" yWindow="0" windowWidth="15360" windowHeight="6255" tabRatio="692" firstSheet="3" activeTab="9"/>
  </bookViews>
  <sheets>
    <sheet name="Premiums Expend" sheetId="30" r:id="rId1"/>
    <sheet name="Premiums Approp" sheetId="11" r:id="rId2"/>
    <sheet name="Hospital Supplemental Payments" sheetId="25" r:id="rId3"/>
    <sheet name="Medicaid Caseload" sheetId="34" r:id="rId4"/>
    <sheet name="Caseload by Program" sheetId="26" r:id="rId5"/>
    <sheet name="ACC RCCO County" sheetId="27" r:id="rId6"/>
    <sheet name="MH Expend" sheetId="31" r:id="rId7"/>
    <sheet name="MH by BHO" sheetId="32" r:id="rId8"/>
    <sheet name="CBHP Expend" sheetId="33" r:id="rId9"/>
    <sheet name="CBHP Caseload" sheetId="3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9">'[1]% Cost Covd'!#REF!</definedName>
    <definedName name="_ra1" localSheetId="8">'[1]% Cost Covd'!#REF!</definedName>
    <definedName name="_ra1" localSheetId="2">'[1]% Cost Covd'!#REF!</definedName>
    <definedName name="_ra1" localSheetId="3">'[1]% Cost Covd'!#REF!</definedName>
    <definedName name="_ra1" localSheetId="7">'[1]% Cost Covd'!#REF!</definedName>
    <definedName name="_ra1" localSheetId="6">'[1]% Cost Covd'!#REF!</definedName>
    <definedName name="_ra1" localSheetId="0">'[1]% Cost Covd'!#REF!</definedName>
    <definedName name="_ra1">'[1]% Cost Covd'!#REF!</definedName>
    <definedName name="mec" localSheetId="9">'[1]% Cost Covd'!#REF!</definedName>
    <definedName name="mec" localSheetId="8">'[1]% Cost Covd'!#REF!</definedName>
    <definedName name="mec" localSheetId="2">'[1]% Cost Covd'!#REF!</definedName>
    <definedName name="mec" localSheetId="3">'[1]% Cost Covd'!#REF!</definedName>
    <definedName name="mec" localSheetId="7">'[1]% Cost Covd'!#REF!</definedName>
    <definedName name="mec" localSheetId="6">'[1]% Cost Covd'!#REF!</definedName>
    <definedName name="mec" localSheetId="0">'[1]% Cost Covd'!#REF!</definedName>
    <definedName name="mec">'[1]% Cost Covd'!#REF!</definedName>
    <definedName name="MedEdCap" localSheetId="9">'[2]% Cost Covd'!#REF!</definedName>
    <definedName name="MedEdCap" localSheetId="8">'[2]% Cost Covd'!#REF!</definedName>
    <definedName name="MedEdCap" localSheetId="3">'[2]% Cost Covd'!#REF!</definedName>
    <definedName name="MedEdCap" localSheetId="7">'[2]% Cost Covd'!#REF!</definedName>
    <definedName name="MedEdCap" localSheetId="6">'[2]% Cost Covd'!#REF!</definedName>
    <definedName name="MedEdCap" localSheetId="0">'[2]% Cost Covd'!#REF!</definedName>
    <definedName name="MedEdCap">'[2]% Cost Covd'!#REF!</definedName>
    <definedName name="mm" localSheetId="9">'[1]% Cost Covd'!#REF!</definedName>
    <definedName name="mm" localSheetId="8">'[1]% Cost Covd'!#REF!</definedName>
    <definedName name="mm" localSheetId="3">'[1]% Cost Covd'!#REF!</definedName>
    <definedName name="mm" localSheetId="7">'[1]% Cost Covd'!#REF!</definedName>
    <definedName name="mm" localSheetId="6">'[1]% Cost Covd'!#REF!</definedName>
    <definedName name="mm" localSheetId="0">'[1]% Cost Covd'!#REF!</definedName>
    <definedName name="mm">'[1]% Cost Covd'!#REF!</definedName>
    <definedName name="nn" localSheetId="9">'[1]% Cost Covd'!#REF!</definedName>
    <definedName name="nn" localSheetId="8">'[1]% Cost Covd'!#REF!</definedName>
    <definedName name="nn" localSheetId="3">'[1]% Cost Covd'!#REF!</definedName>
    <definedName name="nn" localSheetId="7">'[1]% Cost Covd'!#REF!</definedName>
    <definedName name="nn" localSheetId="6">'[1]% Cost Covd'!#REF!</definedName>
    <definedName name="nn" localSheetId="0">'[1]% Cost Covd'!#REF!</definedName>
    <definedName name="nn">'[1]% Cost Covd'!#REF!</definedName>
    <definedName name="_xlnm.Print_Area" localSheetId="5">'ACC RCCO County'!$B$2:$P$85</definedName>
    <definedName name="_xlnm.Print_Area" localSheetId="4">'Caseload by Program'!$A$1:$Q$122</definedName>
    <definedName name="_xlnm.Print_Area" localSheetId="9">'CBHP Caseload'!$B$1:$J$116</definedName>
    <definedName name="_xlnm.Print_Area" localSheetId="8">'CBHP Expend'!$A$1:$E$20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Caseload'!$B$1:$R$122</definedName>
    <definedName name="_xlnm.Print_Area" localSheetId="7">'MH by BHO'!$A$1:$I$42</definedName>
    <definedName name="_xlnm.Print_Area" localSheetId="6">'MH Expend'!$A$1:$D$21</definedName>
    <definedName name="_xlnm.Print_Area" localSheetId="12">'MMA Expend and Caseload'!$A$1:$C$22</definedName>
    <definedName name="_xlnm.Print_Area" localSheetId="11">'OAP Expend and Caseload'!$A$1:$C$36</definedName>
    <definedName name="_xlnm.Print_Area" localSheetId="1">'Premiums Approp'!$B$3:$C$12</definedName>
    <definedName name="_xlnm.Print_Area" localSheetId="0">'Premiums Expend'!$A$1:$O$62</definedName>
    <definedName name="_xlnm.Print_Titles" localSheetId="5">'ACC RCCO County'!$2:$3</definedName>
    <definedName name="_xlnm.Print_Titles" localSheetId="4">'Caseload by Program'!$2:$2</definedName>
    <definedName name="rahc" localSheetId="9">'[1]% Cost Covd'!#REF!</definedName>
    <definedName name="rahc" localSheetId="8">'[1]% Cost Covd'!#REF!</definedName>
    <definedName name="rahc" localSheetId="2">'[1]% Cost Covd'!#REF!</definedName>
    <definedName name="rahc" localSheetId="3">'[1]% Cost Covd'!#REF!</definedName>
    <definedName name="rahc" localSheetId="7">'[1]% Cost Covd'!#REF!</definedName>
    <definedName name="rahc" localSheetId="6">'[1]% Cost Covd'!#REF!</definedName>
    <definedName name="rahc" localSheetId="0">'[1]% Cost Covd'!#REF!</definedName>
    <definedName name="rahc">'[1]% Cost Covd'!#REF!</definedName>
    <definedName name="rcap1" localSheetId="9">'[1]% Cost Covd'!#REF!</definedName>
    <definedName name="rcap1" localSheetId="8">'[1]% Cost Covd'!#REF!</definedName>
    <definedName name="rcap1" localSheetId="2">'[1]% Cost Covd'!#REF!</definedName>
    <definedName name="rcap1" localSheetId="3">'[1]% Cost Covd'!#REF!</definedName>
    <definedName name="rcap1" localSheetId="7">'[1]% Cost Covd'!#REF!</definedName>
    <definedName name="rcap1" localSheetId="6">'[1]% Cost Covd'!#REF!</definedName>
    <definedName name="rcap1" localSheetId="0">'[1]% Cost Covd'!#REF!</definedName>
    <definedName name="rcap1">'[1]% Cost Covd'!#REF!</definedName>
    <definedName name="rcc" localSheetId="9">'[1]% Cost Covd'!#REF!</definedName>
    <definedName name="rcc" localSheetId="8">'[1]% Cost Covd'!#REF!</definedName>
    <definedName name="rcc" localSheetId="2">'[1]% Cost Covd'!#REF!</definedName>
    <definedName name="rcc" localSheetId="3">'[1]% Cost Covd'!#REF!</definedName>
    <definedName name="rcc" localSheetId="7">'[1]% Cost Covd'!#REF!</definedName>
    <definedName name="rcc" localSheetId="6">'[1]% Cost Covd'!#REF!</definedName>
    <definedName name="rcc" localSheetId="0">'[1]% Cost Covd'!#REF!</definedName>
    <definedName name="rcc">'[1]% Cost Covd'!#REF!</definedName>
    <definedName name="rr" localSheetId="9">'[1]% Cost Covd'!#REF!</definedName>
    <definedName name="rr" localSheetId="8">'[1]% Cost Covd'!#REF!</definedName>
    <definedName name="rr" localSheetId="2">'[1]% Cost Covd'!#REF!</definedName>
    <definedName name="rr" localSheetId="3">'[1]% Cost Covd'!#REF!</definedName>
    <definedName name="rr" localSheetId="7">'[1]% Cost Covd'!#REF!</definedName>
    <definedName name="rr" localSheetId="6">'[1]% Cost Covd'!#REF!</definedName>
    <definedName name="rr" localSheetId="0">'[1]% Cost Covd'!#REF!</definedName>
    <definedName name="rr">'[1]% Cost Covd'!#REF!</definedName>
    <definedName name="RurAncil1" localSheetId="9">'[2]% Cost Covd'!#REF!</definedName>
    <definedName name="RurAncil1" localSheetId="8">'[2]% Cost Covd'!#REF!</definedName>
    <definedName name="RurAncil1" localSheetId="3">'[2]% Cost Covd'!#REF!</definedName>
    <definedName name="RurAncil1" localSheetId="7">'[2]% Cost Covd'!#REF!</definedName>
    <definedName name="RurAncil1" localSheetId="6">'[2]% Cost Covd'!#REF!</definedName>
    <definedName name="RurAncil1" localSheetId="0">'[2]% Cost Covd'!#REF!</definedName>
    <definedName name="RurAncil1">'[2]% Cost Covd'!#REF!</definedName>
    <definedName name="RurAncilHospCap" localSheetId="9">'[2]% Cost Covd'!#REF!</definedName>
    <definedName name="RurAncilHospCap" localSheetId="8">'[2]% Cost Covd'!#REF!</definedName>
    <definedName name="RurAncilHospCap" localSheetId="3">'[2]% Cost Covd'!#REF!</definedName>
    <definedName name="RurAncilHospCap" localSheetId="7">'[2]% Cost Covd'!#REF!</definedName>
    <definedName name="RurAncilHospCap" localSheetId="6">'[2]% Cost Covd'!#REF!</definedName>
    <definedName name="RurAncilHospCap" localSheetId="0">'[2]% Cost Covd'!#REF!</definedName>
    <definedName name="RurAncilHospCap">'[2]% Cost Covd'!#REF!</definedName>
    <definedName name="RurCaptl1" localSheetId="9">'[2]% Cost Covd'!#REF!</definedName>
    <definedName name="RurCaptl1" localSheetId="8">'[2]% Cost Covd'!#REF!</definedName>
    <definedName name="RurCaptl1" localSheetId="3">'[2]% Cost Covd'!#REF!</definedName>
    <definedName name="RurCaptl1" localSheetId="7">'[2]% Cost Covd'!#REF!</definedName>
    <definedName name="RurCaptl1" localSheetId="6">'[2]% Cost Covd'!#REF!</definedName>
    <definedName name="RurCaptl1" localSheetId="0">'[2]% Cost Covd'!#REF!</definedName>
    <definedName name="RurCaptl1">'[2]% Cost Covd'!#REF!</definedName>
    <definedName name="RurCaptlHospCap" localSheetId="9">'[2]% Cost Covd'!#REF!</definedName>
    <definedName name="RurCaptlHospCap" localSheetId="8">'[2]% Cost Covd'!#REF!</definedName>
    <definedName name="RurCaptlHospCap" localSheetId="3">'[2]% Cost Covd'!#REF!</definedName>
    <definedName name="RurCaptlHospCap" localSheetId="7">'[2]% Cost Covd'!#REF!</definedName>
    <definedName name="RurCaptlHospCap" localSheetId="6">'[2]% Cost Covd'!#REF!</definedName>
    <definedName name="RurCaptlHospCap" localSheetId="0">'[2]% Cost Covd'!#REF!</definedName>
    <definedName name="RurCaptlHospCap">'[2]% Cost Covd'!#REF!</definedName>
    <definedName name="RurMeded1" localSheetId="9">'[2]% Cost Covd'!#REF!</definedName>
    <definedName name="RurMeded1" localSheetId="8">'[2]% Cost Covd'!#REF!</definedName>
    <definedName name="RurMeded1" localSheetId="3">'[2]% Cost Covd'!#REF!</definedName>
    <definedName name="RurMeded1" localSheetId="7">'[2]% Cost Covd'!#REF!</definedName>
    <definedName name="RurMeded1" localSheetId="6">'[2]% Cost Covd'!#REF!</definedName>
    <definedName name="RurMeded1" localSheetId="0">'[2]% Cost Covd'!#REF!</definedName>
    <definedName name="RurMeded1">'[2]% Cost Covd'!#REF!</definedName>
    <definedName name="RurMededHospCap" localSheetId="9">'[2]% Cost Covd'!#REF!</definedName>
    <definedName name="RurMededHospCap" localSheetId="8">'[2]% Cost Covd'!#REF!</definedName>
    <definedName name="RurMededHospCap" localSheetId="3">'[2]% Cost Covd'!#REF!</definedName>
    <definedName name="RurMededHospCap" localSheetId="7">'[2]% Cost Covd'!#REF!</definedName>
    <definedName name="RurMededHospCap" localSheetId="6">'[2]% Cost Covd'!#REF!</definedName>
    <definedName name="RurMededHospCap" localSheetId="0">'[2]% Cost Covd'!#REF!</definedName>
    <definedName name="RurMededHospCap">'[2]% Cost Covd'!#REF!</definedName>
    <definedName name="RurRout1" localSheetId="9">'[2]% Cost Covd'!#REF!</definedName>
    <definedName name="RurRout1" localSheetId="8">'[2]% Cost Covd'!#REF!</definedName>
    <definedName name="RurRout1" localSheetId="3">'[2]% Cost Covd'!#REF!</definedName>
    <definedName name="RurRout1" localSheetId="7">'[2]% Cost Covd'!#REF!</definedName>
    <definedName name="RurRout1" localSheetId="6">'[2]% Cost Covd'!#REF!</definedName>
    <definedName name="RurRout1" localSheetId="0">'[2]% Cost Covd'!#REF!</definedName>
    <definedName name="RurRout1">'[2]% Cost Covd'!#REF!</definedName>
    <definedName name="RurRoutHospCap" localSheetId="9">'[2]% Cost Covd'!#REF!</definedName>
    <definedName name="RurRoutHospCap" localSheetId="8">'[2]% Cost Covd'!#REF!</definedName>
    <definedName name="RurRoutHospCap" localSheetId="3">'[2]% Cost Covd'!#REF!</definedName>
    <definedName name="RurRoutHospCap" localSheetId="7">'[2]% Cost Covd'!#REF!</definedName>
    <definedName name="RurRoutHospCap" localSheetId="6">'[2]% Cost Covd'!#REF!</definedName>
    <definedName name="RurRoutHospCap" localSheetId="0">'[2]% Cost Covd'!#REF!</definedName>
    <definedName name="RurRoutHospCap">'[2]% Cost Covd'!#REF!</definedName>
    <definedName name="trwe" localSheetId="9">'[1]% Cost Covd'!#REF!</definedName>
    <definedName name="trwe" localSheetId="8">'[1]% Cost Covd'!#REF!</definedName>
    <definedName name="trwe" localSheetId="3">'[1]% Cost Covd'!#REF!</definedName>
    <definedName name="trwe" localSheetId="7">'[1]% Cost Covd'!#REF!</definedName>
    <definedName name="trwe" localSheetId="6">'[1]% Cost Covd'!#REF!</definedName>
    <definedName name="trwe" localSheetId="0">'[1]% Cost Covd'!#REF!</definedName>
    <definedName name="trwe">'[1]% Cost Covd'!#REF!</definedName>
  </definedNames>
  <calcPr calcId="171027"/>
</workbook>
</file>

<file path=xl/calcChain.xml><?xml version="1.0" encoding="utf-8"?>
<calcChain xmlns="http://schemas.openxmlformats.org/spreadsheetml/2006/main">
  <c r="B26" i="32" l="1"/>
  <c r="B27" i="32"/>
  <c r="B28" i="32"/>
  <c r="B29" i="32"/>
  <c r="B30" i="32"/>
  <c r="B31" i="32"/>
  <c r="B32" i="32"/>
  <c r="B33" i="32"/>
  <c r="B34" i="32"/>
  <c r="B35" i="32"/>
  <c r="B25" i="32"/>
  <c r="C12" i="21" l="1"/>
  <c r="M11" i="25" l="1"/>
  <c r="L11" i="25"/>
  <c r="N83" i="27" l="1"/>
  <c r="O22" i="30" l="1"/>
  <c r="M8" i="24" l="1"/>
  <c r="B13" i="33" l="1"/>
  <c r="B13" i="32" l="1"/>
  <c r="M22" i="24" l="1"/>
  <c r="M28" i="24"/>
  <c r="M8" i="25" l="1"/>
  <c r="B13" i="21"/>
  <c r="M12" i="25" l="1"/>
  <c r="B13" i="31" l="1"/>
  <c r="M57" i="30" l="1"/>
  <c r="M48" i="30"/>
  <c r="M44" i="30"/>
  <c r="M38" i="30"/>
  <c r="M24" i="30" l="1"/>
  <c r="A71" i="34" l="1"/>
  <c r="A73" i="34"/>
  <c r="A75" i="34"/>
  <c r="A76" i="34"/>
  <c r="A77" i="34"/>
  <c r="A79" i="34"/>
  <c r="A84" i="34"/>
  <c r="A85" i="34"/>
  <c r="A86" i="34"/>
  <c r="A87" i="34"/>
  <c r="A88" i="34"/>
  <c r="A89" i="34"/>
  <c r="A90" i="34"/>
  <c r="A91" i="34"/>
  <c r="A94" i="34"/>
  <c r="A97" i="34"/>
  <c r="A98" i="34"/>
  <c r="A100" i="34"/>
  <c r="A101" i="34"/>
  <c r="A103" i="34"/>
  <c r="A68" i="34"/>
  <c r="A106" i="35"/>
  <c r="A105" i="35"/>
  <c r="A104" i="35"/>
  <c r="A103" i="35"/>
  <c r="A101" i="35"/>
  <c r="A100" i="35"/>
  <c r="A99" i="35"/>
  <c r="A98" i="35"/>
  <c r="A97" i="35"/>
  <c r="A96" i="35"/>
  <c r="A95" i="35"/>
  <c r="A94" i="35"/>
  <c r="A92" i="35"/>
  <c r="A91" i="35"/>
  <c r="A90" i="35"/>
  <c r="A89" i="35"/>
  <c r="A88" i="35"/>
  <c r="A87" i="35"/>
  <c r="A86" i="35"/>
  <c r="A85" i="35"/>
  <c r="A84" i="35"/>
  <c r="A83" i="35"/>
  <c r="A82" i="35"/>
  <c r="A81" i="35"/>
  <c r="A79" i="35"/>
  <c r="A78" i="35"/>
  <c r="A77" i="35"/>
  <c r="A76" i="35"/>
  <c r="A75" i="35"/>
  <c r="A74" i="35"/>
  <c r="A73" i="35"/>
  <c r="A72" i="35"/>
  <c r="A71" i="35"/>
  <c r="A70" i="35"/>
  <c r="A69" i="35"/>
  <c r="A68" i="35"/>
  <c r="G67" i="35"/>
  <c r="C67" i="35"/>
  <c r="A67" i="35" s="1"/>
  <c r="O66" i="35"/>
  <c r="K66" i="35"/>
  <c r="J66" i="35"/>
  <c r="F66" i="35"/>
  <c r="A66" i="35"/>
  <c r="O65" i="35"/>
  <c r="K65" i="35"/>
  <c r="J65" i="35"/>
  <c r="F65" i="35"/>
  <c r="N66" i="35" s="1"/>
  <c r="A65" i="35"/>
  <c r="O64" i="35"/>
  <c r="K64" i="35"/>
  <c r="J64" i="35"/>
  <c r="F64" i="35"/>
  <c r="A64" i="35"/>
  <c r="O63" i="35"/>
  <c r="K63" i="35"/>
  <c r="J63" i="35"/>
  <c r="F63" i="35"/>
  <c r="A63" i="35"/>
  <c r="O62" i="35"/>
  <c r="K62" i="35"/>
  <c r="J62" i="35"/>
  <c r="F62" i="35"/>
  <c r="A62" i="35"/>
  <c r="L61" i="35"/>
  <c r="O61" i="35"/>
  <c r="K61" i="35"/>
  <c r="J61" i="35"/>
  <c r="F61" i="35"/>
  <c r="N62" i="35" s="1"/>
  <c r="A61" i="35"/>
  <c r="P60" i="35"/>
  <c r="O60" i="35"/>
  <c r="L60" i="35"/>
  <c r="K60" i="35"/>
  <c r="J60" i="35"/>
  <c r="F60" i="35"/>
  <c r="A60" i="35"/>
  <c r="P59" i="35"/>
  <c r="O59" i="35"/>
  <c r="L59" i="35"/>
  <c r="K59" i="35"/>
  <c r="J59" i="35"/>
  <c r="F59" i="35"/>
  <c r="A59" i="35"/>
  <c r="P58" i="35"/>
  <c r="O58" i="35"/>
  <c r="L58" i="35"/>
  <c r="K58" i="35"/>
  <c r="J58" i="35"/>
  <c r="F58" i="35"/>
  <c r="A58" i="35"/>
  <c r="P57" i="35"/>
  <c r="O57" i="35"/>
  <c r="L57" i="35"/>
  <c r="K57" i="35"/>
  <c r="A57" i="35"/>
  <c r="P56" i="35"/>
  <c r="O56" i="35"/>
  <c r="L56" i="35"/>
  <c r="K56" i="35"/>
  <c r="F56" i="35"/>
  <c r="A56" i="35"/>
  <c r="P55" i="35"/>
  <c r="O55" i="35"/>
  <c r="L55" i="35"/>
  <c r="K55" i="35"/>
  <c r="F55" i="35"/>
  <c r="A55" i="35"/>
  <c r="G54" i="35"/>
  <c r="C54" i="35"/>
  <c r="A54" i="35" s="1"/>
  <c r="P53" i="35"/>
  <c r="O53" i="35"/>
  <c r="L53" i="35"/>
  <c r="K53" i="35"/>
  <c r="F53" i="35"/>
  <c r="A53" i="35"/>
  <c r="P52" i="35"/>
  <c r="O52" i="35"/>
  <c r="L52" i="35"/>
  <c r="K52" i="35"/>
  <c r="J52" i="35"/>
  <c r="A52" i="35"/>
  <c r="P51" i="35"/>
  <c r="O51" i="35"/>
  <c r="L51" i="35"/>
  <c r="K51" i="35"/>
  <c r="F51" i="35"/>
  <c r="A51" i="35"/>
  <c r="P50" i="35"/>
  <c r="O50" i="35"/>
  <c r="L50" i="35"/>
  <c r="K50" i="35"/>
  <c r="J50" i="35"/>
  <c r="A50" i="35"/>
  <c r="P49" i="35"/>
  <c r="O49" i="35"/>
  <c r="L49" i="35"/>
  <c r="K49" i="35"/>
  <c r="F49" i="35"/>
  <c r="A49" i="35"/>
  <c r="P48" i="35"/>
  <c r="O48" i="35"/>
  <c r="L48" i="35"/>
  <c r="K48" i="35"/>
  <c r="J48" i="35"/>
  <c r="F48" i="35"/>
  <c r="A48" i="35"/>
  <c r="P47" i="35"/>
  <c r="O47" i="35"/>
  <c r="L47" i="35"/>
  <c r="K47" i="35"/>
  <c r="J47" i="35"/>
  <c r="AJ47" i="35" s="1"/>
  <c r="A47" i="35"/>
  <c r="P46" i="35"/>
  <c r="O46" i="35"/>
  <c r="L46" i="35"/>
  <c r="K46" i="35"/>
  <c r="J46" i="35"/>
  <c r="A46" i="35"/>
  <c r="P45" i="35"/>
  <c r="O45" i="35"/>
  <c r="L45" i="35"/>
  <c r="K45" i="35"/>
  <c r="J45" i="35"/>
  <c r="F45" i="35"/>
  <c r="A45" i="35"/>
  <c r="P44" i="35"/>
  <c r="O44" i="35"/>
  <c r="L44" i="35"/>
  <c r="K44" i="35"/>
  <c r="J44" i="35"/>
  <c r="AJ44" i="35" s="1"/>
  <c r="F44" i="35"/>
  <c r="AK45" i="35" s="1"/>
  <c r="A44" i="35"/>
  <c r="P43" i="35"/>
  <c r="O43" i="35"/>
  <c r="L43" i="35"/>
  <c r="K43" i="35"/>
  <c r="A43" i="35"/>
  <c r="P42" i="35"/>
  <c r="L42" i="35"/>
  <c r="K42" i="35"/>
  <c r="J42" i="35"/>
  <c r="F42" i="35"/>
  <c r="A42" i="35"/>
  <c r="G41" i="35"/>
  <c r="O42" i="35" s="1"/>
  <c r="C41" i="35"/>
  <c r="P40" i="35"/>
  <c r="O40" i="35"/>
  <c r="L40" i="35"/>
  <c r="K40" i="35"/>
  <c r="J40" i="35"/>
  <c r="P39" i="35"/>
  <c r="O39" i="35"/>
  <c r="L39" i="35"/>
  <c r="K39" i="35"/>
  <c r="J39" i="35"/>
  <c r="F39" i="35"/>
  <c r="P38" i="35"/>
  <c r="O38" i="35"/>
  <c r="L38" i="35"/>
  <c r="K38" i="35"/>
  <c r="J38" i="35"/>
  <c r="F38" i="35"/>
  <c r="P37" i="35"/>
  <c r="O37" i="35"/>
  <c r="L37" i="35"/>
  <c r="K37" i="35"/>
  <c r="J37" i="35"/>
  <c r="F37" i="35"/>
  <c r="P36" i="35"/>
  <c r="O36" i="35"/>
  <c r="L36" i="35"/>
  <c r="K36" i="35"/>
  <c r="J36" i="35"/>
  <c r="F36" i="35"/>
  <c r="P35" i="35"/>
  <c r="O35" i="35"/>
  <c r="L35" i="35"/>
  <c r="K35" i="35"/>
  <c r="J35" i="35"/>
  <c r="AJ35" i="35" s="1"/>
  <c r="F35" i="35"/>
  <c r="P34" i="35"/>
  <c r="O34" i="35"/>
  <c r="L34" i="35"/>
  <c r="K34" i="35"/>
  <c r="F34" i="35"/>
  <c r="P33" i="35"/>
  <c r="O33" i="35"/>
  <c r="L33" i="35"/>
  <c r="K33" i="35"/>
  <c r="J33" i="35"/>
  <c r="F33" i="35"/>
  <c r="P32" i="35"/>
  <c r="O32" i="35"/>
  <c r="L32" i="35"/>
  <c r="K32" i="35"/>
  <c r="J32" i="35"/>
  <c r="AJ32" i="35" s="1"/>
  <c r="F32" i="35"/>
  <c r="AR31" i="35"/>
  <c r="AR32" i="35" s="1"/>
  <c r="AR33" i="35" s="1"/>
  <c r="AP31" i="35"/>
  <c r="AP32" i="35" s="1"/>
  <c r="P31" i="35"/>
  <c r="O31" i="35"/>
  <c r="L31" i="35"/>
  <c r="K31" i="35"/>
  <c r="F31" i="35"/>
  <c r="AT30" i="35"/>
  <c r="P30" i="35"/>
  <c r="O30" i="35"/>
  <c r="L30" i="35"/>
  <c r="K30" i="35"/>
  <c r="J30" i="35"/>
  <c r="P29" i="35"/>
  <c r="L29" i="35"/>
  <c r="K29" i="35"/>
  <c r="J29" i="35"/>
  <c r="G28" i="35"/>
  <c r="O29" i="35" s="1"/>
  <c r="C28" i="35"/>
  <c r="P27" i="35"/>
  <c r="O27" i="35"/>
  <c r="L27" i="35"/>
  <c r="K27" i="35"/>
  <c r="J27" i="35"/>
  <c r="F27" i="35"/>
  <c r="P26" i="35"/>
  <c r="O26" i="35"/>
  <c r="L26" i="35"/>
  <c r="K26" i="35"/>
  <c r="J26" i="35"/>
  <c r="P25" i="35"/>
  <c r="O25" i="35"/>
  <c r="L25" i="35"/>
  <c r="K25" i="35"/>
  <c r="J25" i="35"/>
  <c r="F25" i="35"/>
  <c r="P24" i="35"/>
  <c r="O24" i="35"/>
  <c r="L24" i="35"/>
  <c r="K24" i="35"/>
  <c r="J24" i="35"/>
  <c r="P23" i="35"/>
  <c r="O23" i="35"/>
  <c r="L23" i="35"/>
  <c r="K23" i="35"/>
  <c r="J23" i="35"/>
  <c r="F23" i="35"/>
  <c r="P22" i="35"/>
  <c r="O22" i="35"/>
  <c r="L22" i="35"/>
  <c r="K22" i="35"/>
  <c r="J22" i="35"/>
  <c r="P21" i="35"/>
  <c r="O21" i="35"/>
  <c r="L21" i="35"/>
  <c r="K21" i="35"/>
  <c r="P20" i="35"/>
  <c r="O20" i="35"/>
  <c r="L20" i="35"/>
  <c r="K20" i="35"/>
  <c r="F20" i="35"/>
  <c r="P19" i="35"/>
  <c r="O19" i="35"/>
  <c r="L19" i="35"/>
  <c r="K19" i="35"/>
  <c r="P18" i="35"/>
  <c r="O18" i="35"/>
  <c r="L18" i="35"/>
  <c r="K18" i="35"/>
  <c r="P17" i="35"/>
  <c r="O17" i="35"/>
  <c r="L17" i="35"/>
  <c r="K17" i="35"/>
  <c r="F17" i="35"/>
  <c r="P16" i="35"/>
  <c r="L16" i="35"/>
  <c r="J16" i="35"/>
  <c r="G15" i="35"/>
  <c r="O16" i="35" s="1"/>
  <c r="C15" i="35"/>
  <c r="K16" i="35" s="1"/>
  <c r="L14" i="35"/>
  <c r="K14" i="35"/>
  <c r="J14" i="35"/>
  <c r="F14" i="35"/>
  <c r="L13" i="35"/>
  <c r="K13" i="35"/>
  <c r="J13" i="35"/>
  <c r="L12" i="35"/>
  <c r="K12" i="35"/>
  <c r="J12" i="35"/>
  <c r="AJ12" i="35" s="1"/>
  <c r="L11" i="35"/>
  <c r="K11" i="35"/>
  <c r="J11" i="35"/>
  <c r="F11" i="35"/>
  <c r="L10" i="35"/>
  <c r="K10" i="35"/>
  <c r="J10" i="35"/>
  <c r="F10" i="35"/>
  <c r="L9" i="35"/>
  <c r="K9" i="35"/>
  <c r="J9" i="35"/>
  <c r="L8" i="35"/>
  <c r="K8" i="35"/>
  <c r="J8" i="35"/>
  <c r="L7" i="35"/>
  <c r="K7" i="35"/>
  <c r="J7" i="35"/>
  <c r="F7" i="35"/>
  <c r="L6" i="35"/>
  <c r="K6" i="35"/>
  <c r="J6" i="35"/>
  <c r="F6" i="35"/>
  <c r="L5" i="35"/>
  <c r="K5" i="35"/>
  <c r="J5" i="35"/>
  <c r="L4" i="35"/>
  <c r="K4" i="35"/>
  <c r="J4" i="35"/>
  <c r="S4" i="35" s="1"/>
  <c r="A105" i="34"/>
  <c r="A104" i="34"/>
  <c r="A99" i="34"/>
  <c r="A95" i="34"/>
  <c r="A92" i="34"/>
  <c r="A83" i="34"/>
  <c r="Q67" i="34"/>
  <c r="P67" i="34"/>
  <c r="O67" i="34"/>
  <c r="N67" i="34"/>
  <c r="M67" i="34"/>
  <c r="L67" i="34"/>
  <c r="K67" i="34"/>
  <c r="J67" i="34"/>
  <c r="I67" i="34"/>
  <c r="H67" i="34"/>
  <c r="G67" i="34"/>
  <c r="F67" i="34"/>
  <c r="E67" i="34"/>
  <c r="D67" i="34"/>
  <c r="C67" i="34"/>
  <c r="R66" i="34"/>
  <c r="S66" i="34" s="1"/>
  <c r="A66" i="34"/>
  <c r="AC65" i="34"/>
  <c r="R65" i="34"/>
  <c r="AN65" i="34" s="1"/>
  <c r="A65" i="34"/>
  <c r="AC64" i="34"/>
  <c r="R64" i="34"/>
  <c r="AN64" i="34" s="1"/>
  <c r="A64" i="34"/>
  <c r="AC63" i="34"/>
  <c r="R63" i="34"/>
  <c r="A63" i="34"/>
  <c r="AI62" i="34"/>
  <c r="AH62" i="34"/>
  <c r="AG62" i="34"/>
  <c r="AF62" i="34"/>
  <c r="AE62" i="34"/>
  <c r="AD62" i="34"/>
  <c r="AC62" i="34"/>
  <c r="AB62" i="34"/>
  <c r="AA62" i="34"/>
  <c r="Z62" i="34"/>
  <c r="Y62" i="34"/>
  <c r="X62" i="34"/>
  <c r="W62" i="34"/>
  <c r="V62" i="34"/>
  <c r="R62" i="34"/>
  <c r="AL62" i="34" s="1"/>
  <c r="A62" i="34"/>
  <c r="AI61" i="34"/>
  <c r="AH61" i="34"/>
  <c r="AG61" i="34"/>
  <c r="AF61" i="34"/>
  <c r="AE61" i="34"/>
  <c r="AD61" i="34"/>
  <c r="AC61" i="34"/>
  <c r="AB61" i="34"/>
  <c r="AA61" i="34"/>
  <c r="Z61" i="34"/>
  <c r="Y61" i="34"/>
  <c r="X61" i="34"/>
  <c r="W61" i="34"/>
  <c r="V61" i="34"/>
  <c r="R61" i="34"/>
  <c r="S61" i="34" s="1"/>
  <c r="A61" i="34"/>
  <c r="AI60" i="34"/>
  <c r="AH60" i="34"/>
  <c r="AG60" i="34"/>
  <c r="AF60" i="34"/>
  <c r="AE60" i="34"/>
  <c r="AD60" i="34"/>
  <c r="AC60" i="34"/>
  <c r="AB60" i="34"/>
  <c r="AA60" i="34"/>
  <c r="Z60" i="34"/>
  <c r="Y60" i="34"/>
  <c r="X60" i="34"/>
  <c r="W60" i="34"/>
  <c r="V60" i="34"/>
  <c r="R60" i="34"/>
  <c r="A60" i="34"/>
  <c r="AI59" i="34"/>
  <c r="AH59" i="34"/>
  <c r="AG59" i="34"/>
  <c r="AF59" i="34"/>
  <c r="AE59" i="34"/>
  <c r="AD59" i="34"/>
  <c r="AC59" i="34"/>
  <c r="AB59" i="34"/>
  <c r="AA59" i="34"/>
  <c r="Z59" i="34"/>
  <c r="Y59" i="34"/>
  <c r="X59" i="34"/>
  <c r="W59" i="34"/>
  <c r="V59" i="34"/>
  <c r="R59" i="34"/>
  <c r="A59" i="34"/>
  <c r="AI58" i="34"/>
  <c r="AH58" i="34"/>
  <c r="AG58" i="34"/>
  <c r="AF58" i="34"/>
  <c r="AE58" i="34"/>
  <c r="AD58" i="34"/>
  <c r="AC58" i="34"/>
  <c r="AB58" i="34"/>
  <c r="AA58" i="34"/>
  <c r="Z58" i="34"/>
  <c r="Y58" i="34"/>
  <c r="X58" i="34"/>
  <c r="W58" i="34"/>
  <c r="V58" i="34"/>
  <c r="R58" i="34"/>
  <c r="A58" i="34"/>
  <c r="AI57" i="34"/>
  <c r="AH57" i="34"/>
  <c r="AG57" i="34"/>
  <c r="AF57" i="34"/>
  <c r="AE57" i="34"/>
  <c r="AD57" i="34"/>
  <c r="AC57" i="34"/>
  <c r="AB57" i="34"/>
  <c r="AA57" i="34"/>
  <c r="Z57" i="34"/>
  <c r="Y57" i="34"/>
  <c r="X57" i="34"/>
  <c r="W57" i="34"/>
  <c r="V57" i="34"/>
  <c r="R57" i="34"/>
  <c r="AL57" i="34" s="1"/>
  <c r="A57" i="34"/>
  <c r="AI56" i="34"/>
  <c r="AH56" i="34"/>
  <c r="AG56" i="34"/>
  <c r="AF56" i="34"/>
  <c r="AE56" i="34"/>
  <c r="AD56" i="34"/>
  <c r="AC56" i="34"/>
  <c r="AB56" i="34"/>
  <c r="AA56" i="34"/>
  <c r="Z56" i="34"/>
  <c r="Y56" i="34"/>
  <c r="X56" i="34"/>
  <c r="W56" i="34"/>
  <c r="V56" i="34"/>
  <c r="R56" i="34"/>
  <c r="AN56" i="34" s="1"/>
  <c r="A56" i="34"/>
  <c r="AL55" i="34"/>
  <c r="AI55" i="34"/>
  <c r="AH55" i="34"/>
  <c r="AG55" i="34"/>
  <c r="AF55" i="34"/>
  <c r="AE55" i="34"/>
  <c r="AD55" i="34"/>
  <c r="AC55" i="34"/>
  <c r="AB55" i="34"/>
  <c r="AA55" i="34"/>
  <c r="Z55" i="34"/>
  <c r="Y55" i="34"/>
  <c r="X55" i="34"/>
  <c r="W55" i="34"/>
  <c r="V55" i="34"/>
  <c r="R55" i="34"/>
  <c r="S55" i="34" s="1"/>
  <c r="A55" i="34"/>
  <c r="Q54" i="34"/>
  <c r="P54" i="34"/>
  <c r="O54" i="34"/>
  <c r="N54" i="34"/>
  <c r="M54" i="34"/>
  <c r="L54" i="34"/>
  <c r="K54" i="34"/>
  <c r="J54" i="34"/>
  <c r="I54" i="34"/>
  <c r="H54" i="34"/>
  <c r="G54" i="34"/>
  <c r="F54" i="34"/>
  <c r="E54" i="34"/>
  <c r="D54" i="34"/>
  <c r="C54" i="34"/>
  <c r="AI53" i="34"/>
  <c r="AH53" i="34"/>
  <c r="AG53" i="34"/>
  <c r="AF53" i="34"/>
  <c r="AE53" i="34"/>
  <c r="AD53" i="34"/>
  <c r="AC53" i="34"/>
  <c r="AB53" i="34"/>
  <c r="AA53" i="34"/>
  <c r="Z53" i="34"/>
  <c r="Y53" i="34"/>
  <c r="X53" i="34"/>
  <c r="W53" i="34"/>
  <c r="V53" i="34"/>
  <c r="R53" i="34"/>
  <c r="A53" i="34"/>
  <c r="AI52" i="34"/>
  <c r="AH52" i="34"/>
  <c r="AG52" i="34"/>
  <c r="AF52" i="34"/>
  <c r="AE52" i="34"/>
  <c r="AD52" i="34"/>
  <c r="AC52" i="34"/>
  <c r="AB52" i="34"/>
  <c r="AA52" i="34"/>
  <c r="Z52" i="34"/>
  <c r="Y52" i="34"/>
  <c r="X52" i="34"/>
  <c r="W52" i="34"/>
  <c r="V52" i="34"/>
  <c r="R52" i="34"/>
  <c r="S52" i="34" s="1"/>
  <c r="A52" i="34"/>
  <c r="AI51" i="34"/>
  <c r="AH51" i="34"/>
  <c r="AG51" i="34"/>
  <c r="AF51" i="34"/>
  <c r="AE51" i="34"/>
  <c r="AD51" i="34"/>
  <c r="AC51" i="34"/>
  <c r="AB51" i="34"/>
  <c r="AA51" i="34"/>
  <c r="Z51" i="34"/>
  <c r="Y51" i="34"/>
  <c r="X51" i="34"/>
  <c r="W51" i="34"/>
  <c r="V51" i="34"/>
  <c r="R51" i="34"/>
  <c r="A51" i="34"/>
  <c r="AI50" i="34"/>
  <c r="AH50" i="34"/>
  <c r="AG50" i="34"/>
  <c r="AF50" i="34"/>
  <c r="AE50" i="34"/>
  <c r="AD50" i="34"/>
  <c r="AC50" i="34"/>
  <c r="AB50" i="34"/>
  <c r="AA50" i="34"/>
  <c r="Z50" i="34"/>
  <c r="Y50" i="34"/>
  <c r="X50" i="34"/>
  <c r="W50" i="34"/>
  <c r="V50" i="34"/>
  <c r="R50" i="34"/>
  <c r="A50" i="34"/>
  <c r="AI49" i="34"/>
  <c r="AH49" i="34"/>
  <c r="AG49" i="34"/>
  <c r="AF49" i="34"/>
  <c r="AE49" i="34"/>
  <c r="AD49" i="34"/>
  <c r="AC49" i="34"/>
  <c r="AB49" i="34"/>
  <c r="AA49" i="34"/>
  <c r="Z49" i="34"/>
  <c r="Y49" i="34"/>
  <c r="X49" i="34"/>
  <c r="W49" i="34"/>
  <c r="V49" i="34"/>
  <c r="R49" i="34"/>
  <c r="A49" i="34"/>
  <c r="AI48" i="34"/>
  <c r="AH48" i="34"/>
  <c r="AG48" i="34"/>
  <c r="AF48" i="34"/>
  <c r="AE48" i="34"/>
  <c r="AD48" i="34"/>
  <c r="AC48" i="34"/>
  <c r="AB48" i="34"/>
  <c r="AA48" i="34"/>
  <c r="Z48" i="34"/>
  <c r="Y48" i="34"/>
  <c r="X48" i="34"/>
  <c r="W48" i="34"/>
  <c r="V48" i="34"/>
  <c r="R48" i="34"/>
  <c r="AN48" i="34" s="1"/>
  <c r="A48" i="34"/>
  <c r="AI47" i="34"/>
  <c r="AH47" i="34"/>
  <c r="AG47" i="34"/>
  <c r="AF47" i="34"/>
  <c r="AE47" i="34"/>
  <c r="AD47" i="34"/>
  <c r="AC47" i="34"/>
  <c r="AB47" i="34"/>
  <c r="AA47" i="34"/>
  <c r="Z47" i="34"/>
  <c r="Y47" i="34"/>
  <c r="X47" i="34"/>
  <c r="W47" i="34"/>
  <c r="V47" i="34"/>
  <c r="R47" i="34"/>
  <c r="A47" i="34"/>
  <c r="AI46" i="34"/>
  <c r="AH46" i="34"/>
  <c r="AG46" i="34"/>
  <c r="AF46" i="34"/>
  <c r="AE46" i="34"/>
  <c r="AD46" i="34"/>
  <c r="AC46" i="34"/>
  <c r="AB46" i="34"/>
  <c r="AA46" i="34"/>
  <c r="Z46" i="34"/>
  <c r="Y46" i="34"/>
  <c r="X46" i="34"/>
  <c r="W46" i="34"/>
  <c r="V46" i="34"/>
  <c r="R46" i="34"/>
  <c r="AN46" i="34" s="1"/>
  <c r="A46" i="34"/>
  <c r="AI45" i="34"/>
  <c r="AH45" i="34"/>
  <c r="AG45" i="34"/>
  <c r="AF45" i="34"/>
  <c r="AE45" i="34"/>
  <c r="AD45" i="34"/>
  <c r="AC45" i="34"/>
  <c r="AB45" i="34"/>
  <c r="AA45" i="34"/>
  <c r="Z45" i="34"/>
  <c r="Y45" i="34"/>
  <c r="X45" i="34"/>
  <c r="W45" i="34"/>
  <c r="V45" i="34"/>
  <c r="R45" i="34"/>
  <c r="A45" i="34"/>
  <c r="AI44" i="34"/>
  <c r="AH44" i="34"/>
  <c r="AG44" i="34"/>
  <c r="AF44" i="34"/>
  <c r="AE44" i="34"/>
  <c r="AD44" i="34"/>
  <c r="AC44" i="34"/>
  <c r="AB44" i="34"/>
  <c r="AA44" i="34"/>
  <c r="Z44" i="34"/>
  <c r="Y44" i="34"/>
  <c r="X44" i="34"/>
  <c r="W44" i="34"/>
  <c r="V44" i="34"/>
  <c r="R44" i="34"/>
  <c r="AL44" i="34" s="1"/>
  <c r="A44" i="34"/>
  <c r="AI43" i="34"/>
  <c r="AH43" i="34"/>
  <c r="AG43" i="34"/>
  <c r="AF43" i="34"/>
  <c r="AE43" i="34"/>
  <c r="AD43" i="34"/>
  <c r="AC43" i="34"/>
  <c r="AB43" i="34"/>
  <c r="AA43" i="34"/>
  <c r="Z43" i="34"/>
  <c r="Y43" i="34"/>
  <c r="X43" i="34"/>
  <c r="W43" i="34"/>
  <c r="V43" i="34"/>
  <c r="R43" i="34"/>
  <c r="A43" i="34"/>
  <c r="AI42" i="34"/>
  <c r="AH42" i="34"/>
  <c r="AG42" i="34"/>
  <c r="AF42" i="34"/>
  <c r="AE42" i="34"/>
  <c r="AD42" i="34"/>
  <c r="AC42" i="34"/>
  <c r="AB42" i="34"/>
  <c r="AA42" i="34"/>
  <c r="Z42" i="34"/>
  <c r="Y42" i="34"/>
  <c r="X42" i="34"/>
  <c r="W42" i="34"/>
  <c r="V42" i="34"/>
  <c r="R42" i="34"/>
  <c r="S42" i="34" s="1"/>
  <c r="A42" i="34"/>
  <c r="Q41" i="34"/>
  <c r="P41" i="34"/>
  <c r="O41" i="34"/>
  <c r="N41" i="34"/>
  <c r="M41" i="34"/>
  <c r="L41" i="34"/>
  <c r="K41" i="34"/>
  <c r="J41" i="34"/>
  <c r="I41" i="34"/>
  <c r="H41" i="34"/>
  <c r="G41" i="34"/>
  <c r="F41" i="34"/>
  <c r="E41" i="34"/>
  <c r="D41" i="34"/>
  <c r="C41" i="34"/>
  <c r="AI40" i="34"/>
  <c r="AH40" i="34"/>
  <c r="AG40" i="34"/>
  <c r="AF40" i="34"/>
  <c r="AE40" i="34"/>
  <c r="AD40" i="34"/>
  <c r="AC40" i="34"/>
  <c r="AB40" i="34"/>
  <c r="AA40" i="34"/>
  <c r="Z40" i="34"/>
  <c r="Y40" i="34"/>
  <c r="X40" i="34"/>
  <c r="W40" i="34"/>
  <c r="V40" i="34"/>
  <c r="R40" i="34"/>
  <c r="AI39" i="34"/>
  <c r="AH39" i="34"/>
  <c r="AG39" i="34"/>
  <c r="AF39" i="34"/>
  <c r="AE39" i="34"/>
  <c r="AD39" i="34"/>
  <c r="AC39" i="34"/>
  <c r="AB39" i="34"/>
  <c r="AA39" i="34"/>
  <c r="Z39" i="34"/>
  <c r="Y39" i="34"/>
  <c r="X39" i="34"/>
  <c r="W39" i="34"/>
  <c r="V39" i="34"/>
  <c r="R39" i="34"/>
  <c r="S39" i="34" s="1"/>
  <c r="AI38" i="34"/>
  <c r="AH38" i="34"/>
  <c r="AG38" i="34"/>
  <c r="AF38" i="34"/>
  <c r="AE38" i="34"/>
  <c r="AD38" i="34"/>
  <c r="AC38" i="34"/>
  <c r="AB38" i="34"/>
  <c r="AA38" i="34"/>
  <c r="Z38" i="34"/>
  <c r="Y38" i="34"/>
  <c r="X38" i="34"/>
  <c r="W38" i="34"/>
  <c r="V38" i="34"/>
  <c r="R38" i="34"/>
  <c r="AI37" i="34"/>
  <c r="AH37" i="34"/>
  <c r="AG37" i="34"/>
  <c r="AF37" i="34"/>
  <c r="AE37" i="34"/>
  <c r="AD37" i="34"/>
  <c r="AC37" i="34"/>
  <c r="AB37" i="34"/>
  <c r="AA37" i="34"/>
  <c r="Z37" i="34"/>
  <c r="Y37" i="34"/>
  <c r="X37" i="34"/>
  <c r="W37" i="34"/>
  <c r="V37" i="34"/>
  <c r="R37" i="34"/>
  <c r="S37" i="34" s="1"/>
  <c r="AI36" i="34"/>
  <c r="AH36" i="34"/>
  <c r="AG36" i="34"/>
  <c r="AF36" i="34"/>
  <c r="AE36" i="34"/>
  <c r="AD36" i="34"/>
  <c r="AC36" i="34"/>
  <c r="AB36" i="34"/>
  <c r="AA36" i="34"/>
  <c r="Z36" i="34"/>
  <c r="Y36" i="34"/>
  <c r="X36" i="34"/>
  <c r="W36" i="34"/>
  <c r="V36" i="34"/>
  <c r="R36" i="34"/>
  <c r="AI35" i="34"/>
  <c r="AH35" i="34"/>
  <c r="AG35" i="34"/>
  <c r="AF35" i="34"/>
  <c r="AE35" i="34"/>
  <c r="AD35" i="34"/>
  <c r="AC35" i="34"/>
  <c r="AB35" i="34"/>
  <c r="AA35" i="34"/>
  <c r="Z35" i="34"/>
  <c r="Y35" i="34"/>
  <c r="X35" i="34"/>
  <c r="W35" i="34"/>
  <c r="V35" i="34"/>
  <c r="R35" i="34"/>
  <c r="AL35" i="34" s="1"/>
  <c r="AI34" i="34"/>
  <c r="AH34" i="34"/>
  <c r="AG34" i="34"/>
  <c r="AF34" i="34"/>
  <c r="AE34" i="34"/>
  <c r="AD34" i="34"/>
  <c r="AC34" i="34"/>
  <c r="AB34" i="34"/>
  <c r="AA34" i="34"/>
  <c r="Z34" i="34"/>
  <c r="Y34" i="34"/>
  <c r="X34" i="34"/>
  <c r="W34" i="34"/>
  <c r="V34" i="34"/>
  <c r="R34" i="34"/>
  <c r="AI33" i="34"/>
  <c r="AH33" i="34"/>
  <c r="AG33" i="34"/>
  <c r="AF33" i="34"/>
  <c r="AE33" i="34"/>
  <c r="AD33" i="34"/>
  <c r="AC33" i="34"/>
  <c r="AB33" i="34"/>
  <c r="AA33" i="34"/>
  <c r="Z33" i="34"/>
  <c r="Y33" i="34"/>
  <c r="X33" i="34"/>
  <c r="W33" i="34"/>
  <c r="V33" i="34"/>
  <c r="R33" i="34"/>
  <c r="AI32" i="34"/>
  <c r="AH32" i="34"/>
  <c r="AG32" i="34"/>
  <c r="AF32" i="34"/>
  <c r="AE32" i="34"/>
  <c r="AD32" i="34"/>
  <c r="AC32" i="34"/>
  <c r="AB32" i="34"/>
  <c r="AA32" i="34"/>
  <c r="Z32" i="34"/>
  <c r="Y32" i="34"/>
  <c r="X32" i="34"/>
  <c r="W32" i="34"/>
  <c r="V32" i="34"/>
  <c r="R32" i="34"/>
  <c r="AI31" i="34"/>
  <c r="AH31" i="34"/>
  <c r="AG31" i="34"/>
  <c r="AF31" i="34"/>
  <c r="AE31" i="34"/>
  <c r="AD31" i="34"/>
  <c r="AC31" i="34"/>
  <c r="AB31" i="34"/>
  <c r="AA31" i="34"/>
  <c r="Z31" i="34"/>
  <c r="Y31" i="34"/>
  <c r="X31" i="34"/>
  <c r="W31" i="34"/>
  <c r="V31" i="34"/>
  <c r="R31" i="34"/>
  <c r="AI30" i="34"/>
  <c r="AH30" i="34"/>
  <c r="AG30" i="34"/>
  <c r="AF30" i="34"/>
  <c r="AE30" i="34"/>
  <c r="AD30" i="34"/>
  <c r="AC30" i="34"/>
  <c r="AB30" i="34"/>
  <c r="AA30" i="34"/>
  <c r="Z30" i="34"/>
  <c r="Y30" i="34"/>
  <c r="X30" i="34"/>
  <c r="W30" i="34"/>
  <c r="V30" i="34"/>
  <c r="R30" i="34"/>
  <c r="AL29" i="34"/>
  <c r="AI29" i="34"/>
  <c r="AH29" i="34"/>
  <c r="AG29" i="34"/>
  <c r="AF29" i="34"/>
  <c r="AE29" i="34"/>
  <c r="AD29" i="34"/>
  <c r="AC29" i="34"/>
  <c r="AB29" i="34"/>
  <c r="AA29" i="34"/>
  <c r="Z29" i="34"/>
  <c r="Y29" i="34"/>
  <c r="X29" i="34"/>
  <c r="W29" i="34"/>
  <c r="V29" i="34"/>
  <c r="R29" i="34"/>
  <c r="P28" i="34"/>
  <c r="M28" i="34"/>
  <c r="J28" i="34"/>
  <c r="H28" i="34"/>
  <c r="G28" i="34"/>
  <c r="E28" i="34"/>
  <c r="D28" i="34"/>
  <c r="C28" i="34"/>
  <c r="AI27" i="34"/>
  <c r="AH27" i="34"/>
  <c r="AG27" i="34"/>
  <c r="AF27" i="34"/>
  <c r="AE27" i="34"/>
  <c r="AD27" i="34"/>
  <c r="AC27" i="34"/>
  <c r="AB27" i="34"/>
  <c r="AA27" i="34"/>
  <c r="Z27" i="34"/>
  <c r="Y27" i="34"/>
  <c r="X27" i="34"/>
  <c r="W27" i="34"/>
  <c r="V27" i="34"/>
  <c r="R27" i="34"/>
  <c r="AI26" i="34"/>
  <c r="AH26" i="34"/>
  <c r="AG26" i="34"/>
  <c r="AF26" i="34"/>
  <c r="AE26" i="34"/>
  <c r="AD26" i="34"/>
  <c r="AC26" i="34"/>
  <c r="AB26" i="34"/>
  <c r="AA26" i="34"/>
  <c r="Z26" i="34"/>
  <c r="Y26" i="34"/>
  <c r="X26" i="34"/>
  <c r="W26" i="34"/>
  <c r="V26" i="34"/>
  <c r="R26" i="34"/>
  <c r="AL26" i="34" s="1"/>
  <c r="AI25" i="34"/>
  <c r="AH25" i="34"/>
  <c r="AG25" i="34"/>
  <c r="AF25" i="34"/>
  <c r="AE25" i="34"/>
  <c r="AD25" i="34"/>
  <c r="AC25" i="34"/>
  <c r="AB25" i="34"/>
  <c r="AA25" i="34"/>
  <c r="Z25" i="34"/>
  <c r="Y25" i="34"/>
  <c r="X25" i="34"/>
  <c r="W25" i="34"/>
  <c r="V25" i="34"/>
  <c r="R25" i="34"/>
  <c r="AI24" i="34"/>
  <c r="AH24" i="34"/>
  <c r="AG24" i="34"/>
  <c r="AF24" i="34"/>
  <c r="AE24" i="34"/>
  <c r="AD24" i="34"/>
  <c r="AC24" i="34"/>
  <c r="AB24" i="34"/>
  <c r="AA24" i="34"/>
  <c r="Z24" i="34"/>
  <c r="Y24" i="34"/>
  <c r="X24" i="34"/>
  <c r="W24" i="34"/>
  <c r="V24" i="34"/>
  <c r="R24" i="34"/>
  <c r="AN24" i="34" s="1"/>
  <c r="AI23" i="34"/>
  <c r="AH23" i="34"/>
  <c r="AG23" i="34"/>
  <c r="AF23" i="34"/>
  <c r="AE23" i="34"/>
  <c r="AD23" i="34"/>
  <c r="AC23" i="34"/>
  <c r="AB23" i="34"/>
  <c r="AA23" i="34"/>
  <c r="Z23" i="34"/>
  <c r="Y23" i="34"/>
  <c r="X23" i="34"/>
  <c r="W23" i="34"/>
  <c r="V23" i="34"/>
  <c r="R23" i="34"/>
  <c r="AL23" i="34" s="1"/>
  <c r="AI22" i="34"/>
  <c r="AH22" i="34"/>
  <c r="AG22" i="34"/>
  <c r="AF22" i="34"/>
  <c r="AE22" i="34"/>
  <c r="AD22" i="34"/>
  <c r="AC22" i="34"/>
  <c r="AB22" i="34"/>
  <c r="AA22" i="34"/>
  <c r="Z22" i="34"/>
  <c r="Y22" i="34"/>
  <c r="X22" i="34"/>
  <c r="W22" i="34"/>
  <c r="V22" i="34"/>
  <c r="R22" i="34"/>
  <c r="AL22" i="34" s="1"/>
  <c r="AI21" i="34"/>
  <c r="AH21" i="34"/>
  <c r="AG21" i="34"/>
  <c r="AF21" i="34"/>
  <c r="AE21" i="34"/>
  <c r="AD21" i="34"/>
  <c r="AC21" i="34"/>
  <c r="AB21" i="34"/>
  <c r="AA21" i="34"/>
  <c r="Z21" i="34"/>
  <c r="Y21" i="34"/>
  <c r="X21" i="34"/>
  <c r="W21" i="34"/>
  <c r="V21" i="34"/>
  <c r="R21" i="34"/>
  <c r="AI20" i="34"/>
  <c r="AH20" i="34"/>
  <c r="AG20" i="34"/>
  <c r="AF20" i="34"/>
  <c r="AE20" i="34"/>
  <c r="AD20" i="34"/>
  <c r="AC20" i="34"/>
  <c r="AB20" i="34"/>
  <c r="AA20" i="34"/>
  <c r="Z20" i="34"/>
  <c r="Y20" i="34"/>
  <c r="X20" i="34"/>
  <c r="W20" i="34"/>
  <c r="V20" i="34"/>
  <c r="R20" i="34"/>
  <c r="AN20" i="34" s="1"/>
  <c r="AH19" i="34"/>
  <c r="AF19" i="34"/>
  <c r="AE19" i="34"/>
  <c r="AC19" i="34"/>
  <c r="AB19" i="34"/>
  <c r="AA19" i="34"/>
  <c r="Z19" i="34"/>
  <c r="Y19" i="34"/>
  <c r="X19" i="34"/>
  <c r="W19" i="34"/>
  <c r="V19" i="34"/>
  <c r="R19" i="34"/>
  <c r="AL19" i="34" s="1"/>
  <c r="AH18" i="34"/>
  <c r="AF18" i="34"/>
  <c r="AE18" i="34"/>
  <c r="AC18" i="34"/>
  <c r="AB18" i="34"/>
  <c r="AA18" i="34"/>
  <c r="Z18" i="34"/>
  <c r="Y18" i="34"/>
  <c r="X18" i="34"/>
  <c r="W18" i="34"/>
  <c r="V18" i="34"/>
  <c r="Q18" i="34"/>
  <c r="AI19" i="34" s="1"/>
  <c r="N18" i="34"/>
  <c r="K18" i="34"/>
  <c r="K28" i="34" s="1"/>
  <c r="AH17" i="34"/>
  <c r="AF17" i="34"/>
  <c r="AE17" i="34"/>
  <c r="AC17" i="34"/>
  <c r="AB17" i="34"/>
  <c r="AA17" i="34"/>
  <c r="Z17" i="34"/>
  <c r="Y17" i="34"/>
  <c r="X17" i="34"/>
  <c r="W17" i="34"/>
  <c r="V17" i="34"/>
  <c r="Q17" i="34"/>
  <c r="N17" i="34"/>
  <c r="AG17" i="34" s="1"/>
  <c r="K17" i="34"/>
  <c r="AD17" i="34" s="1"/>
  <c r="AN16" i="34"/>
  <c r="AI16" i="34"/>
  <c r="AH16" i="34"/>
  <c r="AG16" i="34"/>
  <c r="AF16" i="34"/>
  <c r="AE16" i="34"/>
  <c r="AD16" i="34"/>
  <c r="AC16" i="34"/>
  <c r="AB16" i="34"/>
  <c r="AA16" i="34"/>
  <c r="Z16" i="34"/>
  <c r="Y16" i="34"/>
  <c r="X16" i="34"/>
  <c r="W16" i="34"/>
  <c r="V16" i="34"/>
  <c r="R16" i="34"/>
  <c r="AL16" i="34" s="1"/>
  <c r="Q15" i="34"/>
  <c r="P15" i="34"/>
  <c r="N15" i="34"/>
  <c r="M15" i="34"/>
  <c r="K15" i="34"/>
  <c r="J15" i="34"/>
  <c r="H15" i="34"/>
  <c r="G15" i="34"/>
  <c r="E15" i="34"/>
  <c r="D15" i="34"/>
  <c r="C15" i="34"/>
  <c r="AI14" i="34"/>
  <c r="AH14" i="34"/>
  <c r="AG14" i="34"/>
  <c r="AF14" i="34"/>
  <c r="AE14" i="34"/>
  <c r="AD14" i="34"/>
  <c r="AC14" i="34"/>
  <c r="AB14" i="34"/>
  <c r="AA14" i="34"/>
  <c r="Z14" i="34"/>
  <c r="Y14" i="34"/>
  <c r="X14" i="34"/>
  <c r="W14" i="34"/>
  <c r="V14" i="34"/>
  <c r="R14" i="34"/>
  <c r="AI13" i="34"/>
  <c r="AH13" i="34"/>
  <c r="AG13" i="34"/>
  <c r="AF13" i="34"/>
  <c r="AE13" i="34"/>
  <c r="AD13" i="34"/>
  <c r="AC13" i="34"/>
  <c r="AB13" i="34"/>
  <c r="AA13" i="34"/>
  <c r="Z13" i="34"/>
  <c r="Y13" i="34"/>
  <c r="X13" i="34"/>
  <c r="W13" i="34"/>
  <c r="V13" i="34"/>
  <c r="R13" i="34"/>
  <c r="AJ13" i="34" s="1"/>
  <c r="AI12" i="34"/>
  <c r="AH12" i="34"/>
  <c r="AG12" i="34"/>
  <c r="AF12" i="34"/>
  <c r="AE12" i="34"/>
  <c r="AD12" i="34"/>
  <c r="AC12" i="34"/>
  <c r="AB12" i="34"/>
  <c r="AA12" i="34"/>
  <c r="Z12" i="34"/>
  <c r="Y12" i="34"/>
  <c r="X12" i="34"/>
  <c r="W12" i="34"/>
  <c r="V12" i="34"/>
  <c r="R12" i="34"/>
  <c r="AN12" i="34" s="1"/>
  <c r="AI11" i="34"/>
  <c r="AH11" i="34"/>
  <c r="AG11" i="34"/>
  <c r="AF11" i="34"/>
  <c r="AE11" i="34"/>
  <c r="AD11" i="34"/>
  <c r="AC11" i="34"/>
  <c r="AB11" i="34"/>
  <c r="AA11" i="34"/>
  <c r="Z11" i="34"/>
  <c r="Y11" i="34"/>
  <c r="X11" i="34"/>
  <c r="W11" i="34"/>
  <c r="V11" i="34"/>
  <c r="R11" i="34"/>
  <c r="AN11" i="34" s="1"/>
  <c r="AI10" i="34"/>
  <c r="AH10" i="34"/>
  <c r="AG10" i="34"/>
  <c r="AF10" i="34"/>
  <c r="AE10" i="34"/>
  <c r="AD10" i="34"/>
  <c r="AC10" i="34"/>
  <c r="AB10" i="34"/>
  <c r="AA10" i="34"/>
  <c r="Z10" i="34"/>
  <c r="Y10" i="34"/>
  <c r="X10" i="34"/>
  <c r="W10" i="34"/>
  <c r="V10" i="34"/>
  <c r="R10" i="34"/>
  <c r="AI9" i="34"/>
  <c r="AH9" i="34"/>
  <c r="AG9" i="34"/>
  <c r="AF9" i="34"/>
  <c r="AE9" i="34"/>
  <c r="AD9" i="34"/>
  <c r="AC9" i="34"/>
  <c r="AB9" i="34"/>
  <c r="AA9" i="34"/>
  <c r="Z9" i="34"/>
  <c r="Y9" i="34"/>
  <c r="X9" i="34"/>
  <c r="W9" i="34"/>
  <c r="V9" i="34"/>
  <c r="R9" i="34"/>
  <c r="AJ9" i="34" s="1"/>
  <c r="AI8" i="34"/>
  <c r="AH8" i="34"/>
  <c r="AG8" i="34"/>
  <c r="AF8" i="34"/>
  <c r="AE8" i="34"/>
  <c r="AD8" i="34"/>
  <c r="AC8" i="34"/>
  <c r="AB8" i="34"/>
  <c r="AA8" i="34"/>
  <c r="Z8" i="34"/>
  <c r="Y8" i="34"/>
  <c r="X8" i="34"/>
  <c r="W8" i="34"/>
  <c r="V8" i="34"/>
  <c r="R8" i="34"/>
  <c r="AN8" i="34" s="1"/>
  <c r="AI7" i="34"/>
  <c r="AH7" i="34"/>
  <c r="AG7" i="34"/>
  <c r="AF7" i="34"/>
  <c r="AE7" i="34"/>
  <c r="AD7" i="34"/>
  <c r="AC7" i="34"/>
  <c r="AB7" i="34"/>
  <c r="AA7" i="34"/>
  <c r="Z7" i="34"/>
  <c r="Y7" i="34"/>
  <c r="X7" i="34"/>
  <c r="W7" i="34"/>
  <c r="V7" i="34"/>
  <c r="R7" i="34"/>
  <c r="AN7" i="34" s="1"/>
  <c r="AI6" i="34"/>
  <c r="AH6" i="34"/>
  <c r="AG6" i="34"/>
  <c r="AF6" i="34"/>
  <c r="AE6" i="34"/>
  <c r="AD6" i="34"/>
  <c r="AC6" i="34"/>
  <c r="AB6" i="34"/>
  <c r="AA6" i="34"/>
  <c r="Z6" i="34"/>
  <c r="Y6" i="34"/>
  <c r="X6" i="34"/>
  <c r="W6" i="34"/>
  <c r="V6" i="34"/>
  <c r="R6" i="34"/>
  <c r="AI5" i="34"/>
  <c r="AH5" i="34"/>
  <c r="AG5" i="34"/>
  <c r="AF5" i="34"/>
  <c r="AE5" i="34"/>
  <c r="AD5" i="34"/>
  <c r="AC5" i="34"/>
  <c r="AB5" i="34"/>
  <c r="AA5" i="34"/>
  <c r="Z5" i="34"/>
  <c r="Y5" i="34"/>
  <c r="X5" i="34"/>
  <c r="W5" i="34"/>
  <c r="V5" i="34"/>
  <c r="R5" i="34"/>
  <c r="AJ5" i="34" s="1"/>
  <c r="AI4" i="34"/>
  <c r="AH4" i="34"/>
  <c r="AG4" i="34"/>
  <c r="AF4" i="34"/>
  <c r="AE4" i="34"/>
  <c r="AD4" i="34"/>
  <c r="AC4" i="34"/>
  <c r="AB4" i="34"/>
  <c r="AA4" i="34"/>
  <c r="Z4" i="34"/>
  <c r="Y4" i="34"/>
  <c r="X4" i="34"/>
  <c r="W4" i="34"/>
  <c r="V4" i="34"/>
  <c r="R4" i="34"/>
  <c r="AN4" i="34" s="1"/>
  <c r="R3" i="34"/>
  <c r="AN3" i="34" s="1"/>
  <c r="AB1" i="34"/>
  <c r="S62" i="35" l="1"/>
  <c r="P65" i="35"/>
  <c r="M18" i="35"/>
  <c r="M26" i="35"/>
  <c r="P63" i="35"/>
  <c r="Q61" i="35"/>
  <c r="M20" i="35"/>
  <c r="Q52" i="35"/>
  <c r="M62" i="35"/>
  <c r="M22" i="35"/>
  <c r="M52" i="35"/>
  <c r="N56" i="35"/>
  <c r="R36" i="35"/>
  <c r="AL61" i="34"/>
  <c r="M8" i="35"/>
  <c r="M25" i="35"/>
  <c r="F26" i="35"/>
  <c r="Q56" i="35"/>
  <c r="S60" i="35"/>
  <c r="N64" i="35"/>
  <c r="M46" i="35"/>
  <c r="M14" i="35"/>
  <c r="R64" i="35"/>
  <c r="F19" i="35"/>
  <c r="N20" i="35" s="1"/>
  <c r="M19" i="35"/>
  <c r="M21" i="35"/>
  <c r="F22" i="35"/>
  <c r="M42" i="35"/>
  <c r="Q50" i="35"/>
  <c r="S61" i="35"/>
  <c r="T62" i="35" s="1"/>
  <c r="S64" i="35"/>
  <c r="R65" i="35"/>
  <c r="L66" i="35"/>
  <c r="AJ43" i="34"/>
  <c r="M43" i="35"/>
  <c r="Q19" i="35"/>
  <c r="F46" i="35"/>
  <c r="N46" i="35" s="1"/>
  <c r="F52" i="35"/>
  <c r="N52" i="35" s="1"/>
  <c r="Q59" i="35"/>
  <c r="S63" i="35"/>
  <c r="R66" i="35"/>
  <c r="Q20" i="35"/>
  <c r="AT32" i="35"/>
  <c r="Q34" i="35"/>
  <c r="M47" i="35"/>
  <c r="M50" i="35"/>
  <c r="S52" i="35"/>
  <c r="E67" i="35"/>
  <c r="N63" i="35"/>
  <c r="L65" i="35"/>
  <c r="S66" i="35"/>
  <c r="AN35" i="34"/>
  <c r="AJ7" i="34"/>
  <c r="AJ11" i="34"/>
  <c r="Q28" i="34"/>
  <c r="AN19" i="34"/>
  <c r="AJ20" i="34"/>
  <c r="AN32" i="34"/>
  <c r="S35" i="34"/>
  <c r="AN36" i="34"/>
  <c r="R41" i="34"/>
  <c r="AN41" i="34" s="1"/>
  <c r="AJ47" i="34"/>
  <c r="AJ49" i="34"/>
  <c r="AN52" i="34"/>
  <c r="AJ58" i="34"/>
  <c r="R15" i="34"/>
  <c r="AN15" i="34" s="1"/>
  <c r="S32" i="34"/>
  <c r="S36" i="34"/>
  <c r="AN37" i="34"/>
  <c r="AN39" i="34"/>
  <c r="AN42" i="34"/>
  <c r="A69" i="34"/>
  <c r="A74" i="34"/>
  <c r="AG18" i="34"/>
  <c r="A70" i="34"/>
  <c r="A81" i="34"/>
  <c r="AN23" i="34"/>
  <c r="AJ24" i="34"/>
  <c r="AN27" i="34"/>
  <c r="AJ31" i="34"/>
  <c r="AL31" i="34"/>
  <c r="AJ50" i="34"/>
  <c r="AL50" i="34"/>
  <c r="AN63" i="34"/>
  <c r="AJ63" i="34"/>
  <c r="AJ21" i="34"/>
  <c r="AJ25" i="34"/>
  <c r="S29" i="34"/>
  <c r="AN29" i="34"/>
  <c r="S31" i="34"/>
  <c r="AL40" i="34"/>
  <c r="AJ44" i="34"/>
  <c r="AN44" i="34"/>
  <c r="S44" i="34"/>
  <c r="AL48" i="34"/>
  <c r="S50" i="34"/>
  <c r="AN50" i="34"/>
  <c r="AJ59" i="34"/>
  <c r="AN61" i="34"/>
  <c r="S63" i="34"/>
  <c r="S64" i="34"/>
  <c r="A78" i="34"/>
  <c r="AN30" i="34"/>
  <c r="AL30" i="34"/>
  <c r="AN31" i="34"/>
  <c r="AL38" i="34"/>
  <c r="S40" i="34"/>
  <c r="AN40" i="34"/>
  <c r="AL46" i="34"/>
  <c r="S48" i="34"/>
  <c r="AJ56" i="34"/>
  <c r="AJ66" i="34"/>
  <c r="AN22" i="34"/>
  <c r="AJ23" i="34"/>
  <c r="AN26" i="34"/>
  <c r="AJ27" i="34"/>
  <c r="S30" i="34"/>
  <c r="AJ34" i="34"/>
  <c r="AL36" i="34"/>
  <c r="S38" i="34"/>
  <c r="AN38" i="34"/>
  <c r="S46" i="34"/>
  <c r="AJ51" i="34"/>
  <c r="AJ52" i="34"/>
  <c r="AL52" i="34"/>
  <c r="AJ57" i="34"/>
  <c r="AN57" i="34"/>
  <c r="S57" i="34"/>
  <c r="AN62" i="34"/>
  <c r="S62" i="34"/>
  <c r="AJ64" i="34"/>
  <c r="AN66" i="34"/>
  <c r="AL32" i="34"/>
  <c r="AJ37" i="34"/>
  <c r="AL37" i="34"/>
  <c r="AJ39" i="34"/>
  <c r="AL39" i="34"/>
  <c r="AJ42" i="34"/>
  <c r="AL42" i="34"/>
  <c r="N49" i="35"/>
  <c r="N60" i="35"/>
  <c r="AJ30" i="35"/>
  <c r="N36" i="35"/>
  <c r="M11" i="35"/>
  <c r="M23" i="35"/>
  <c r="M27" i="35"/>
  <c r="S37" i="35"/>
  <c r="Q45" i="35"/>
  <c r="N55" i="35"/>
  <c r="Q57" i="35"/>
  <c r="M59" i="35"/>
  <c r="P64" i="35"/>
  <c r="M66" i="35"/>
  <c r="M4" i="35"/>
  <c r="M7" i="35"/>
  <c r="M10" i="35"/>
  <c r="M17" i="35"/>
  <c r="F18" i="35"/>
  <c r="N18" i="35" s="1"/>
  <c r="F21" i="35"/>
  <c r="F24" i="35"/>
  <c r="M24" i="35"/>
  <c r="J34" i="35"/>
  <c r="Q35" i="35"/>
  <c r="M39" i="35"/>
  <c r="M45" i="35"/>
  <c r="F47" i="35"/>
  <c r="J49" i="35"/>
  <c r="S49" i="35" s="1"/>
  <c r="F50" i="35"/>
  <c r="N51" i="35" s="1"/>
  <c r="Q53" i="35"/>
  <c r="J57" i="35"/>
  <c r="R58" i="35" s="1"/>
  <c r="M61" i="35"/>
  <c r="Q30" i="35"/>
  <c r="Q32" i="35"/>
  <c r="M38" i="35"/>
  <c r="Q44" i="35"/>
  <c r="J51" i="35"/>
  <c r="S51" i="35" s="1"/>
  <c r="I67" i="35"/>
  <c r="J56" i="35"/>
  <c r="E15" i="35"/>
  <c r="F15" i="35" s="1"/>
  <c r="M12" i="35"/>
  <c r="Q17" i="35"/>
  <c r="Q18" i="35"/>
  <c r="Q21" i="35"/>
  <c r="M29" i="35"/>
  <c r="M30" i="35"/>
  <c r="Q31" i="35"/>
  <c r="N33" i="35"/>
  <c r="Q33" i="35"/>
  <c r="M34" i="35"/>
  <c r="Q36" i="35"/>
  <c r="M40" i="35"/>
  <c r="E54" i="35"/>
  <c r="J53" i="35"/>
  <c r="S53" i="35" s="1"/>
  <c r="Q60" i="35"/>
  <c r="N61" i="35"/>
  <c r="Q62" i="35"/>
  <c r="Q64" i="35"/>
  <c r="Q65" i="35"/>
  <c r="A72" i="34"/>
  <c r="A96" i="34"/>
  <c r="A82" i="34"/>
  <c r="AJ5" i="35"/>
  <c r="S14" i="35"/>
  <c r="AJ14" i="35"/>
  <c r="R25" i="35"/>
  <c r="AJ25" i="35"/>
  <c r="S25" i="35"/>
  <c r="S10" i="35"/>
  <c r="AJ10" i="35"/>
  <c r="AJ22" i="35"/>
  <c r="R26" i="35"/>
  <c r="AJ26" i="35"/>
  <c r="S26" i="35"/>
  <c r="J3" i="35"/>
  <c r="AJ3" i="35" s="1"/>
  <c r="I15" i="35"/>
  <c r="J15" i="35" s="1"/>
  <c r="R16" i="35" s="1"/>
  <c r="AJ6" i="35"/>
  <c r="S6" i="35"/>
  <c r="AJ11" i="35"/>
  <c r="S11" i="35"/>
  <c r="AJ13" i="35"/>
  <c r="R23" i="35"/>
  <c r="AJ23" i="35"/>
  <c r="S23" i="35"/>
  <c r="R27" i="35"/>
  <c r="AJ27" i="35"/>
  <c r="S27" i="35"/>
  <c r="AJ4" i="35"/>
  <c r="M6" i="35"/>
  <c r="F5" i="35"/>
  <c r="M5" i="35"/>
  <c r="AJ7" i="35"/>
  <c r="S7" i="35"/>
  <c r="AJ9" i="35"/>
  <c r="AJ16" i="35"/>
  <c r="R24" i="35"/>
  <c r="AJ24" i="35"/>
  <c r="I28" i="35"/>
  <c r="J28" i="35" s="1"/>
  <c r="R29" i="35" s="1"/>
  <c r="I41" i="35"/>
  <c r="Q42" i="35" s="1"/>
  <c r="R30" i="35"/>
  <c r="AT31" i="35"/>
  <c r="AU32" i="35"/>
  <c r="AV32" i="35" s="1"/>
  <c r="AW32" i="35" s="1"/>
  <c r="AJ34" i="35"/>
  <c r="AK36" i="35"/>
  <c r="AK37" i="35"/>
  <c r="N37" i="35"/>
  <c r="M37" i="35"/>
  <c r="Q38" i="35"/>
  <c r="Q39" i="35"/>
  <c r="Q40" i="35"/>
  <c r="AJ42" i="35"/>
  <c r="S42" i="35"/>
  <c r="AJ45" i="35"/>
  <c r="S45" i="35"/>
  <c r="R45" i="35"/>
  <c r="Q46" i="35"/>
  <c r="S58" i="35"/>
  <c r="E28" i="35"/>
  <c r="F28" i="35" s="1"/>
  <c r="AU31" i="35"/>
  <c r="R37" i="35"/>
  <c r="AJ37" i="35"/>
  <c r="AK38" i="35"/>
  <c r="N38" i="35"/>
  <c r="P66" i="35"/>
  <c r="F8" i="35"/>
  <c r="S8" i="35" s="1"/>
  <c r="AJ8" i="35"/>
  <c r="M9" i="35"/>
  <c r="F12" i="35"/>
  <c r="S12" i="35" s="1"/>
  <c r="M13" i="35"/>
  <c r="J17" i="35"/>
  <c r="J18" i="35"/>
  <c r="J19" i="35"/>
  <c r="J20" i="35"/>
  <c r="J21" i="35"/>
  <c r="R22" i="35" s="1"/>
  <c r="Q22" i="35"/>
  <c r="Q23" i="35"/>
  <c r="Q24" i="35"/>
  <c r="Q25" i="35"/>
  <c r="Q26" i="35"/>
  <c r="Q27" i="35"/>
  <c r="E41" i="35"/>
  <c r="AJ29" i="35"/>
  <c r="F30" i="35"/>
  <c r="N31" i="35" s="1"/>
  <c r="M31" i="35"/>
  <c r="N32" i="35"/>
  <c r="M32" i="35"/>
  <c r="S32" i="35"/>
  <c r="AK32" i="35"/>
  <c r="M33" i="35"/>
  <c r="AK34" i="35"/>
  <c r="N35" i="35"/>
  <c r="M35" i="35"/>
  <c r="S35" i="35"/>
  <c r="AK35" i="35"/>
  <c r="AJ36" i="35"/>
  <c r="S36" i="35"/>
  <c r="S38" i="35"/>
  <c r="R38" i="35"/>
  <c r="AJ38" i="35"/>
  <c r="S39" i="35"/>
  <c r="R39" i="35"/>
  <c r="AJ39" i="35"/>
  <c r="R40" i="35"/>
  <c r="AJ40" i="35"/>
  <c r="S46" i="35"/>
  <c r="AJ46" i="35"/>
  <c r="R46" i="35"/>
  <c r="P61" i="35"/>
  <c r="R62" i="35"/>
  <c r="L64" i="35"/>
  <c r="L63" i="35"/>
  <c r="F9" i="35"/>
  <c r="F13" i="35"/>
  <c r="F16" i="35"/>
  <c r="S16" i="35" s="1"/>
  <c r="AJ33" i="35"/>
  <c r="S33" i="35"/>
  <c r="AK39" i="35"/>
  <c r="N39" i="35"/>
  <c r="F29" i="35"/>
  <c r="S29" i="35" s="1"/>
  <c r="J31" i="35"/>
  <c r="R32" i="35" s="1"/>
  <c r="AK33" i="35"/>
  <c r="R33" i="35"/>
  <c r="AP33" i="35"/>
  <c r="AT33" i="35" s="1"/>
  <c r="N34" i="35"/>
  <c r="M36" i="35"/>
  <c r="Q37" i="35"/>
  <c r="J43" i="35"/>
  <c r="Q43" i="35"/>
  <c r="S44" i="35"/>
  <c r="N45" i="35"/>
  <c r="R48" i="35"/>
  <c r="AJ48" i="35"/>
  <c r="S48" i="35"/>
  <c r="F40" i="35"/>
  <c r="S40" i="35" s="1"/>
  <c r="I54" i="35"/>
  <c r="F43" i="35"/>
  <c r="R47" i="35"/>
  <c r="Q48" i="35"/>
  <c r="M49" i="35"/>
  <c r="Q49" i="35"/>
  <c r="M51" i="35"/>
  <c r="Q51" i="35"/>
  <c r="M53" i="35"/>
  <c r="J55" i="35"/>
  <c r="N59" i="35"/>
  <c r="T63" i="35"/>
  <c r="Q63" i="35"/>
  <c r="Q47" i="35"/>
  <c r="M48" i="35"/>
  <c r="Q55" i="35"/>
  <c r="S56" i="35"/>
  <c r="M57" i="35"/>
  <c r="M58" i="35"/>
  <c r="F57" i="35"/>
  <c r="F67" i="35" s="1"/>
  <c r="S59" i="35"/>
  <c r="R59" i="35"/>
  <c r="R60" i="35"/>
  <c r="L62" i="35"/>
  <c r="M64" i="35"/>
  <c r="M65" i="35"/>
  <c r="M44" i="35"/>
  <c r="AK47" i="35"/>
  <c r="M55" i="35"/>
  <c r="M56" i="35"/>
  <c r="M60" i="35"/>
  <c r="R63" i="35"/>
  <c r="S65" i="35"/>
  <c r="Q58" i="35"/>
  <c r="R61" i="35"/>
  <c r="Q66" i="35"/>
  <c r="P62" i="35"/>
  <c r="M63" i="35"/>
  <c r="N65" i="35"/>
  <c r="AN5" i="34"/>
  <c r="AJ6" i="34"/>
  <c r="AN9" i="34"/>
  <c r="AJ10" i="34"/>
  <c r="AJ14" i="34"/>
  <c r="AL21" i="34"/>
  <c r="AL25" i="34"/>
  <c r="AL34" i="34"/>
  <c r="R17" i="34"/>
  <c r="AI18" i="34"/>
  <c r="AL24" i="34"/>
  <c r="S34" i="34"/>
  <c r="AN34" i="34"/>
  <c r="AL47" i="34"/>
  <c r="S47" i="34"/>
  <c r="AN47" i="34"/>
  <c r="R54" i="34"/>
  <c r="A54" i="34"/>
  <c r="AN58" i="34"/>
  <c r="AL58" i="34"/>
  <c r="S58" i="34"/>
  <c r="AL60" i="34"/>
  <c r="S60" i="34"/>
  <c r="AN60" i="34"/>
  <c r="AJ60" i="34"/>
  <c r="AJ4" i="34"/>
  <c r="AJ8" i="34"/>
  <c r="AJ12" i="34"/>
  <c r="AJ16" i="34"/>
  <c r="AG19" i="34"/>
  <c r="AN21" i="34"/>
  <c r="AJ22" i="34"/>
  <c r="AN25" i="34"/>
  <c r="AJ26" i="34"/>
  <c r="AL27" i="34"/>
  <c r="AJ29" i="34"/>
  <c r="AJ30" i="34"/>
  <c r="AJ32" i="34"/>
  <c r="S33" i="34"/>
  <c r="AL33" i="34"/>
  <c r="AJ35" i="34"/>
  <c r="AJ46" i="34"/>
  <c r="AN49" i="34"/>
  <c r="AL49" i="34"/>
  <c r="S49" i="34"/>
  <c r="AJ55" i="34"/>
  <c r="AJ65" i="34"/>
  <c r="S65" i="34"/>
  <c r="R67" i="34"/>
  <c r="A67" i="34"/>
  <c r="AN13" i="34"/>
  <c r="AD18" i="34"/>
  <c r="AN45" i="34"/>
  <c r="AL45" i="34"/>
  <c r="S45" i="34"/>
  <c r="AN53" i="34"/>
  <c r="AL53" i="34"/>
  <c r="S53" i="34"/>
  <c r="AN6" i="34"/>
  <c r="AN10" i="34"/>
  <c r="AN14" i="34"/>
  <c r="AL20" i="34"/>
  <c r="N28" i="34"/>
  <c r="R28" i="34" s="1"/>
  <c r="AN28" i="34" s="1"/>
  <c r="AJ33" i="34"/>
  <c r="AI17" i="34"/>
  <c r="R18" i="34"/>
  <c r="AD19" i="34"/>
  <c r="AN33" i="34"/>
  <c r="AL43" i="34"/>
  <c r="S43" i="34"/>
  <c r="AN43" i="34"/>
  <c r="AJ45" i="34"/>
  <c r="AJ48" i="34"/>
  <c r="AL51" i="34"/>
  <c r="S51" i="34"/>
  <c r="AN51" i="34"/>
  <c r="AJ53" i="34"/>
  <c r="AL59" i="34"/>
  <c r="S59" i="34"/>
  <c r="AN59" i="34"/>
  <c r="AJ36" i="34"/>
  <c r="AJ38" i="34"/>
  <c r="AJ40" i="34"/>
  <c r="AN55" i="34"/>
  <c r="AJ61" i="34"/>
  <c r="AJ62" i="34"/>
  <c r="AL56" i="34"/>
  <c r="S56" i="34"/>
  <c r="T64" i="35" l="1"/>
  <c r="S47" i="35"/>
  <c r="R35" i="35"/>
  <c r="N23" i="35"/>
  <c r="S34" i="35"/>
  <c r="R34" i="35"/>
  <c r="N53" i="35"/>
  <c r="AK46" i="35"/>
  <c r="N27" i="35"/>
  <c r="N47" i="35"/>
  <c r="R53" i="35"/>
  <c r="N26" i="35"/>
  <c r="M16" i="35"/>
  <c r="N19" i="35"/>
  <c r="R52" i="35"/>
  <c r="R50" i="35"/>
  <c r="T65" i="35"/>
  <c r="T59" i="35"/>
  <c r="R51" i="35"/>
  <c r="N22" i="35"/>
  <c r="T61" i="35"/>
  <c r="S22" i="35"/>
  <c r="S41" i="34"/>
  <c r="AJ54" i="34"/>
  <c r="Q16" i="35"/>
  <c r="N21" i="35"/>
  <c r="N25" i="35"/>
  <c r="R57" i="35"/>
  <c r="AK48" i="35"/>
  <c r="T60" i="35"/>
  <c r="N50" i="35"/>
  <c r="S50" i="35"/>
  <c r="R49" i="35"/>
  <c r="J54" i="35"/>
  <c r="N24" i="35"/>
  <c r="N17" i="35"/>
  <c r="S24" i="35"/>
  <c r="N48" i="35"/>
  <c r="N57" i="35"/>
  <c r="S57" i="35"/>
  <c r="T57" i="35" s="1"/>
  <c r="S55" i="35"/>
  <c r="T55" i="35" s="1"/>
  <c r="R55" i="35"/>
  <c r="J67" i="35"/>
  <c r="R56" i="35"/>
  <c r="S21" i="35"/>
  <c r="AJ21" i="35"/>
  <c r="R21" i="35"/>
  <c r="AV31" i="35"/>
  <c r="AW31" i="35" s="1"/>
  <c r="AJ31" i="35"/>
  <c r="S31" i="35"/>
  <c r="R31" i="35"/>
  <c r="S20" i="35"/>
  <c r="AJ20" i="35"/>
  <c r="R20" i="35"/>
  <c r="AK43" i="35"/>
  <c r="N43" i="35"/>
  <c r="F54" i="35"/>
  <c r="N44" i="35"/>
  <c r="AK40" i="35"/>
  <c r="N40" i="35"/>
  <c r="N42" i="35"/>
  <c r="R43" i="35"/>
  <c r="R44" i="35"/>
  <c r="AJ43" i="35"/>
  <c r="S43" i="35"/>
  <c r="N29" i="35"/>
  <c r="F41" i="35"/>
  <c r="AK42" i="35" s="1"/>
  <c r="AK29" i="35"/>
  <c r="AK30" i="35"/>
  <c r="AU30" i="35"/>
  <c r="AV30" i="35" s="1"/>
  <c r="AW30" i="35" s="1"/>
  <c r="S30" i="35"/>
  <c r="N30" i="35"/>
  <c r="S19" i="35"/>
  <c r="AJ19" i="35"/>
  <c r="R19" i="35"/>
  <c r="S17" i="35"/>
  <c r="AJ17" i="35"/>
  <c r="R17" i="35"/>
  <c r="S13" i="35"/>
  <c r="T66" i="35"/>
  <c r="N58" i="35"/>
  <c r="AK44" i="35"/>
  <c r="N16" i="35"/>
  <c r="S18" i="35"/>
  <c r="AJ18" i="35"/>
  <c r="R18" i="35"/>
  <c r="AK31" i="35"/>
  <c r="J41" i="35"/>
  <c r="R42" i="35" s="1"/>
  <c r="Q29" i="35"/>
  <c r="S9" i="35"/>
  <c r="S5" i="35"/>
  <c r="AN67" i="34"/>
  <c r="S67" i="34"/>
  <c r="AJ41" i="34"/>
  <c r="AN54" i="34"/>
  <c r="S54" i="34"/>
  <c r="AN17" i="34"/>
  <c r="AL17" i="34"/>
  <c r="AJ17" i="34"/>
  <c r="AL18" i="34"/>
  <c r="AJ18" i="34"/>
  <c r="AJ19" i="34"/>
  <c r="AN18" i="34"/>
  <c r="AJ67" i="34"/>
  <c r="T58" i="35" l="1"/>
  <c r="T56" i="35"/>
  <c r="U63" i="35" l="1"/>
  <c r="L83" i="27" l="1"/>
  <c r="M83" i="27"/>
  <c r="L8" i="24" l="1"/>
  <c r="K8" i="24"/>
  <c r="L22" i="24"/>
  <c r="L28" i="24"/>
  <c r="B12" i="33" l="1"/>
  <c r="E15" i="33"/>
  <c r="D15" i="33"/>
  <c r="C15" i="33"/>
  <c r="B11" i="33"/>
  <c r="B10" i="33"/>
  <c r="B9" i="33"/>
  <c r="B8" i="33"/>
  <c r="B7" i="33"/>
  <c r="B6" i="33"/>
  <c r="B5" i="33"/>
  <c r="B4" i="33"/>
  <c r="B3" i="33"/>
  <c r="G37" i="32"/>
  <c r="F37" i="32"/>
  <c r="E37" i="32"/>
  <c r="D37" i="32"/>
  <c r="C37" i="32"/>
  <c r="N59" i="30"/>
  <c r="M59" i="30"/>
  <c r="B9" i="32" l="1"/>
  <c r="B6" i="32"/>
  <c r="B15" i="33"/>
  <c r="B11" i="31"/>
  <c r="B12" i="32"/>
  <c r="B12" i="31"/>
  <c r="O58" i="30"/>
  <c r="B17" i="33" l="1"/>
  <c r="C11" i="21"/>
  <c r="L57" i="30" l="1"/>
  <c r="L44" i="30"/>
  <c r="L48" i="30"/>
  <c r="L38" i="30"/>
  <c r="L24" i="30"/>
  <c r="O3" i="30"/>
  <c r="P59" i="27" l="1"/>
  <c r="P79" i="27"/>
  <c r="P14" i="27"/>
  <c r="P66" i="27"/>
  <c r="P36" i="27"/>
  <c r="P32" i="27"/>
  <c r="P15" i="27"/>
  <c r="P61" i="27"/>
  <c r="P53" i="27"/>
  <c r="L59" i="30"/>
  <c r="A102" i="35" l="1"/>
  <c r="C107" i="35"/>
  <c r="E107" i="35"/>
  <c r="G107" i="35"/>
  <c r="H107" i="35"/>
  <c r="D107" i="35"/>
  <c r="I107" i="35"/>
  <c r="G107" i="34" l="1"/>
  <c r="M107" i="34"/>
  <c r="Q107" i="34"/>
  <c r="J107" i="34"/>
  <c r="N107" i="34"/>
  <c r="E107" i="34"/>
  <c r="K107" i="34"/>
  <c r="O107" i="34"/>
  <c r="F107" i="34"/>
  <c r="L107" i="34"/>
  <c r="P107" i="34"/>
  <c r="D107" i="34"/>
  <c r="G111" i="35" a="1"/>
  <c r="G111" i="35" s="1"/>
  <c r="G112" i="35" s="1" a="1"/>
  <c r="G112" i="35" s="1"/>
  <c r="E111" i="35" a="1"/>
  <c r="E111" i="35" s="1"/>
  <c r="E112" i="35" s="1" a="1"/>
  <c r="E112" i="35" s="1"/>
  <c r="E109" i="35" a="1"/>
  <c r="E109" i="35" s="1"/>
  <c r="E110" i="35" s="1" a="1"/>
  <c r="E110" i="35" s="1"/>
  <c r="H111" i="35" a="1"/>
  <c r="H111" i="35" s="1"/>
  <c r="H112" i="35" s="1" a="1"/>
  <c r="H112" i="35" s="1"/>
  <c r="J109" i="35" a="1"/>
  <c r="J109" i="35" s="1"/>
  <c r="J110" i="35" s="1" a="1"/>
  <c r="J110" i="35" s="1"/>
  <c r="C109" i="35" a="1"/>
  <c r="C109" i="35" s="1"/>
  <c r="C110" i="35" s="1" a="1"/>
  <c r="C110" i="35" s="1"/>
  <c r="I109" i="35" a="1"/>
  <c r="I109" i="35" s="1"/>
  <c r="I110" i="35" s="1" a="1"/>
  <c r="I110" i="35" s="1"/>
  <c r="D111" i="35" a="1"/>
  <c r="D111" i="35" s="1"/>
  <c r="D112" i="35" s="1" a="1"/>
  <c r="D112" i="35" s="1"/>
  <c r="F109" i="35" a="1"/>
  <c r="F109" i="35" s="1"/>
  <c r="F110" i="35" s="1" a="1"/>
  <c r="F110" i="35" s="1"/>
  <c r="C111" i="35" a="1"/>
  <c r="C111" i="35" s="1"/>
  <c r="C112" i="35" s="1" a="1"/>
  <c r="C112" i="35" s="1"/>
  <c r="D109" i="35" a="1"/>
  <c r="D109" i="35" s="1"/>
  <c r="D110" i="35" s="1" a="1"/>
  <c r="D110" i="35" s="1"/>
  <c r="I111" i="35" a="1"/>
  <c r="I111" i="35" s="1"/>
  <c r="I112" i="35" s="1" a="1"/>
  <c r="I112" i="35" s="1"/>
  <c r="H109" i="35" a="1"/>
  <c r="H109" i="35" s="1"/>
  <c r="H110" i="35" s="1" a="1"/>
  <c r="H110" i="35" s="1"/>
  <c r="G109" i="35" a="1"/>
  <c r="G109" i="35" s="1"/>
  <c r="G110" i="35" s="1" a="1"/>
  <c r="G110" i="35" s="1"/>
  <c r="H107" i="34" l="1"/>
  <c r="A102" i="34"/>
  <c r="C107" i="34"/>
  <c r="K28" i="24"/>
  <c r="K22" i="24"/>
  <c r="R107" i="34" l="1"/>
  <c r="H109" i="34" a="1"/>
  <c r="H109" i="34" s="1"/>
  <c r="H110" i="34" s="1" a="1"/>
  <c r="H110" i="34" s="1"/>
  <c r="H111" i="34" a="1"/>
  <c r="H111" i="34" s="1"/>
  <c r="H112" i="34" s="1" a="1"/>
  <c r="H112" i="34" s="1"/>
  <c r="O111" i="34" a="1"/>
  <c r="O111" i="34" s="1"/>
  <c r="O112" i="34" s="1" a="1"/>
  <c r="O112" i="34" s="1"/>
  <c r="F109" i="34" a="1"/>
  <c r="F109" i="34" s="1"/>
  <c r="F110" i="34" s="1" a="1"/>
  <c r="F110" i="34" s="1"/>
  <c r="J111" i="34" a="1"/>
  <c r="J111" i="34" s="1"/>
  <c r="J112" i="34" s="1" a="1"/>
  <c r="J112" i="34" s="1"/>
  <c r="Q109" i="34" a="1"/>
  <c r="Q109" i="34" s="1"/>
  <c r="Q110" i="34" s="1" a="1"/>
  <c r="Q110" i="34" s="1"/>
  <c r="O109" i="34" a="1"/>
  <c r="O109" i="34" s="1"/>
  <c r="O110" i="34" s="1" a="1"/>
  <c r="O110" i="34" s="1"/>
  <c r="K111" i="34" a="1"/>
  <c r="K111" i="34" s="1"/>
  <c r="K112" i="34" s="1" a="1"/>
  <c r="K112" i="34" s="1"/>
  <c r="E111" i="34" a="1"/>
  <c r="E111" i="34" s="1"/>
  <c r="E112" i="34" s="1" a="1"/>
  <c r="E112" i="34" s="1"/>
  <c r="M111" i="34" a="1"/>
  <c r="M111" i="34" s="1"/>
  <c r="M112" i="34" s="1" a="1"/>
  <c r="M112" i="34" s="1"/>
  <c r="P111" i="34" a="1"/>
  <c r="P111" i="34" s="1"/>
  <c r="P112" i="34" s="1" a="1"/>
  <c r="P112" i="34" s="1"/>
  <c r="L111" i="34" a="1"/>
  <c r="L111" i="34" s="1"/>
  <c r="L112" i="34" s="1" a="1"/>
  <c r="L112" i="34" s="1"/>
  <c r="G109" i="34" a="1"/>
  <c r="G109" i="34" s="1"/>
  <c r="G110" i="34" s="1" a="1"/>
  <c r="G110" i="34" s="1"/>
  <c r="M109" i="34" a="1"/>
  <c r="M109" i="34" s="1"/>
  <c r="M110" i="34" s="1" a="1"/>
  <c r="M110" i="34" s="1"/>
  <c r="F111" i="34" a="1"/>
  <c r="F111" i="34" s="1"/>
  <c r="F112" i="34" s="1" a="1"/>
  <c r="F112" i="34" s="1"/>
  <c r="E109" i="34" a="1"/>
  <c r="E109" i="34" s="1"/>
  <c r="E110" i="34" s="1" a="1"/>
  <c r="E110" i="34" s="1"/>
  <c r="G111" i="34" a="1"/>
  <c r="G111" i="34" s="1"/>
  <c r="G112" i="34" s="1" a="1"/>
  <c r="G112" i="34" s="1"/>
  <c r="N109" i="34" a="1"/>
  <c r="N109" i="34" s="1"/>
  <c r="N110" i="34" s="1" a="1"/>
  <c r="N110" i="34" s="1"/>
  <c r="L109" i="34" a="1"/>
  <c r="L109" i="34" s="1"/>
  <c r="L110" i="34" s="1" a="1"/>
  <c r="L110" i="34" s="1"/>
  <c r="C111" i="34" a="1"/>
  <c r="C111" i="34" s="1"/>
  <c r="C112" i="34" s="1" a="1"/>
  <c r="C112" i="34" s="1"/>
  <c r="K109" i="34" a="1"/>
  <c r="K109" i="34" s="1"/>
  <c r="K110" i="34" s="1" a="1"/>
  <c r="K110" i="34" s="1"/>
  <c r="P109" i="34" a="1"/>
  <c r="P109" i="34" s="1"/>
  <c r="P110" i="34" s="1" a="1"/>
  <c r="P110" i="34" s="1"/>
  <c r="J109" i="34" a="1"/>
  <c r="J109" i="34" s="1"/>
  <c r="J110" i="34" s="1" a="1"/>
  <c r="J110" i="34" s="1"/>
  <c r="Q111" i="34" a="1"/>
  <c r="Q111" i="34" s="1"/>
  <c r="Q112" i="34" s="1" a="1"/>
  <c r="Q112" i="34" s="1"/>
  <c r="D109" i="34" a="1"/>
  <c r="D109" i="34" s="1"/>
  <c r="D110" i="34" s="1" a="1"/>
  <c r="D110" i="34" s="1"/>
  <c r="C109" i="34" a="1"/>
  <c r="C109" i="34" s="1"/>
  <c r="C110" i="34" s="1" a="1"/>
  <c r="C110" i="34" s="1"/>
  <c r="N111" i="34" a="1"/>
  <c r="N111" i="34" s="1"/>
  <c r="N112" i="34" s="1" a="1"/>
  <c r="N112" i="34" s="1"/>
  <c r="D111" i="34" a="1"/>
  <c r="D111" i="34" s="1"/>
  <c r="D112" i="34" s="1" a="1"/>
  <c r="D112" i="34" s="1"/>
  <c r="R109" i="34" a="1"/>
  <c r="R109" i="34" s="1"/>
  <c r="R110" i="34" l="1" a="1"/>
  <c r="R110" i="34" s="1"/>
  <c r="K24" i="30" l="1"/>
  <c r="K38" i="30"/>
  <c r="K57" i="30"/>
  <c r="K48" i="30"/>
  <c r="K44" i="30"/>
  <c r="K59" i="30" l="1"/>
  <c r="J8" i="24" l="1"/>
  <c r="J22" i="24" l="1"/>
  <c r="J28" i="24"/>
  <c r="C10" i="11" l="1"/>
  <c r="K83" i="27" l="1"/>
  <c r="B10" i="32" l="1"/>
  <c r="B10" i="31"/>
  <c r="J57" i="30" l="1"/>
  <c r="J38" i="30"/>
  <c r="J44" i="30"/>
  <c r="J48" i="30"/>
  <c r="J24" i="30" l="1"/>
  <c r="J59" i="30" l="1"/>
  <c r="J83" i="27" l="1"/>
  <c r="I11" i="25" l="1"/>
  <c r="I8" i="25" l="1"/>
  <c r="I12" i="25" l="1"/>
  <c r="B21" i="20" l="1"/>
  <c r="I57" i="30" l="1"/>
  <c r="I38" i="30"/>
  <c r="I24" i="30"/>
  <c r="I48" i="30"/>
  <c r="I44" i="30"/>
  <c r="B9" i="31"/>
  <c r="I59" i="30" l="1"/>
  <c r="I28" i="24"/>
  <c r="I8" i="24"/>
  <c r="I22" i="24"/>
  <c r="C7" i="21" l="1"/>
  <c r="B8" i="32" l="1"/>
  <c r="A65" i="26"/>
  <c r="I83" i="27" l="1"/>
  <c r="B20" i="20" l="1"/>
  <c r="B8" i="31" l="1"/>
  <c r="H28" i="24"/>
  <c r="H22" i="24"/>
  <c r="H8" i="24"/>
  <c r="H57" i="30" l="1"/>
  <c r="H48" i="30"/>
  <c r="H44" i="30"/>
  <c r="H24" i="30"/>
  <c r="H38" i="30"/>
  <c r="H59" i="30" l="1"/>
  <c r="C6" i="21" l="1"/>
  <c r="H83" i="27" l="1"/>
  <c r="G8" i="24" l="1"/>
  <c r="G28" i="24"/>
  <c r="G22" i="24"/>
  <c r="G57" i="30" l="1"/>
  <c r="G24" i="30"/>
  <c r="G38" i="30"/>
  <c r="G48" i="30"/>
  <c r="G44" i="30"/>
  <c r="B7" i="32"/>
  <c r="B7" i="31"/>
  <c r="G59" i="30" l="1"/>
  <c r="G83" i="27" l="1"/>
  <c r="F28" i="24" l="1"/>
  <c r="F22" i="24"/>
  <c r="F8" i="24"/>
  <c r="G8" i="25" l="1"/>
  <c r="G11" i="25"/>
  <c r="F11" i="25"/>
  <c r="B6" i="31" l="1"/>
  <c r="G12" i="25"/>
  <c r="F8" i="25" l="1"/>
  <c r="F12" i="25" l="1"/>
  <c r="F48" i="30" l="1"/>
  <c r="F44" i="30"/>
  <c r="F38" i="30"/>
  <c r="F57" i="30" l="1"/>
  <c r="F24" i="30" l="1"/>
  <c r="F59" i="30" l="1"/>
  <c r="B17" i="20"/>
  <c r="B16" i="20"/>
  <c r="B15" i="20"/>
  <c r="B27" i="20" s="1"/>
  <c r="E8" i="24" l="1"/>
  <c r="E28" i="24"/>
  <c r="E22" i="24"/>
  <c r="F83" i="27" l="1"/>
  <c r="E44" i="30" l="1"/>
  <c r="E48" i="30"/>
  <c r="E38" i="30"/>
  <c r="E57" i="30"/>
  <c r="B5" i="32"/>
  <c r="B5" i="31"/>
  <c r="C4" i="21" l="1"/>
  <c r="E24" i="30" l="1"/>
  <c r="E59" i="30" l="1"/>
  <c r="E83" i="27" l="1"/>
  <c r="B4" i="21" l="1"/>
  <c r="B3" i="21"/>
  <c r="D8" i="24" l="1"/>
  <c r="B4" i="31" l="1"/>
  <c r="B4" i="32"/>
  <c r="D22" i="24" l="1"/>
  <c r="D28" i="24"/>
  <c r="D44" i="30" l="1"/>
  <c r="D57" i="30"/>
  <c r="D24" i="30"/>
  <c r="D38" i="30"/>
  <c r="D48" i="30"/>
  <c r="D59" i="30" l="1"/>
  <c r="D29" i="24" l="1"/>
  <c r="E29" i="24"/>
  <c r="F29" i="24"/>
  <c r="H29" i="24"/>
  <c r="I29" i="24"/>
  <c r="J29" i="24"/>
  <c r="K29" i="24"/>
  <c r="L29" i="24"/>
  <c r="M29" i="24"/>
  <c r="G29" i="24" l="1"/>
  <c r="G24" i="24"/>
  <c r="C3" i="21" l="1"/>
  <c r="E15" i="32" l="1"/>
  <c r="G15" i="32"/>
  <c r="D15" i="32"/>
  <c r="D15" i="31"/>
  <c r="O14" i="30"/>
  <c r="O34" i="30"/>
  <c r="O25" i="30" l="1"/>
  <c r="B3" i="31"/>
  <c r="C15" i="31"/>
  <c r="F15" i="32"/>
  <c r="D17" i="31"/>
  <c r="C15" i="32"/>
  <c r="O56" i="30"/>
  <c r="O55" i="30"/>
  <c r="O54" i="30"/>
  <c r="O53" i="30"/>
  <c r="O52" i="30"/>
  <c r="O50" i="30"/>
  <c r="O47" i="30"/>
  <c r="O46" i="30"/>
  <c r="O43" i="30"/>
  <c r="O42" i="30"/>
  <c r="O41" i="30"/>
  <c r="O40" i="30"/>
  <c r="O37" i="30"/>
  <c r="O35" i="30"/>
  <c r="O33" i="30"/>
  <c r="O32" i="30"/>
  <c r="O31" i="30"/>
  <c r="O30" i="30"/>
  <c r="O29" i="30"/>
  <c r="O28" i="30"/>
  <c r="O27" i="30"/>
  <c r="O26" i="30"/>
  <c r="O21" i="30"/>
  <c r="O19" i="30"/>
  <c r="O18" i="30"/>
  <c r="O17" i="30"/>
  <c r="O16" i="30"/>
  <c r="O15" i="30"/>
  <c r="O13" i="30"/>
  <c r="O12" i="30"/>
  <c r="O11" i="30"/>
  <c r="O10" i="30"/>
  <c r="O9" i="30"/>
  <c r="O8" i="30"/>
  <c r="O7" i="30"/>
  <c r="O6" i="30"/>
  <c r="O5" i="30"/>
  <c r="O51" i="30" l="1"/>
  <c r="C44" i="30"/>
  <c r="O39" i="30"/>
  <c r="O49" i="30"/>
  <c r="O4" i="30"/>
  <c r="O20" i="30"/>
  <c r="C48" i="30"/>
  <c r="O45" i="30"/>
  <c r="C17" i="31"/>
  <c r="B3" i="32"/>
  <c r="B15" i="31"/>
  <c r="C57" i="30" l="1"/>
  <c r="O57" i="30"/>
  <c r="O48" i="30"/>
  <c r="O44" i="30"/>
  <c r="B17" i="31"/>
  <c r="C28" i="24" l="1"/>
  <c r="C29" i="24" s="1"/>
  <c r="F107" i="35" l="1"/>
  <c r="J107" i="35"/>
  <c r="A93" i="35"/>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B37" i="32" l="1"/>
  <c r="A93" i="34" l="1"/>
  <c r="I37" i="32" l="1"/>
  <c r="N8" i="25" l="1"/>
  <c r="N11" i="25" l="1"/>
  <c r="N12" i="25" s="1"/>
  <c r="C8" i="24" l="1"/>
  <c r="O9" i="24"/>
  <c r="O10" i="24"/>
  <c r="O11" i="24"/>
  <c r="P11" i="24"/>
  <c r="C12" i="24"/>
  <c r="O12" i="24" s="1"/>
  <c r="M24" i="24"/>
  <c r="N24" i="24"/>
  <c r="O26" i="24"/>
  <c r="O27" i="24"/>
  <c r="O23" i="24" l="1"/>
  <c r="O28" i="24"/>
  <c r="O16" i="24"/>
  <c r="C22" i="24"/>
  <c r="C24" i="24" s="1"/>
  <c r="O19" i="24"/>
  <c r="O20" i="24"/>
  <c r="K24" i="24"/>
  <c r="J24" i="24"/>
  <c r="F24" i="24"/>
  <c r="I24" i="24"/>
  <c r="D24" i="24"/>
  <c r="O17" i="24"/>
  <c r="O6" i="24"/>
  <c r="O3" i="24"/>
  <c r="E24" i="24"/>
  <c r="L24" i="24"/>
  <c r="H24" i="24"/>
  <c r="O21" i="24"/>
  <c r="O4" i="24"/>
  <c r="O8" i="24"/>
  <c r="O25" i="24"/>
  <c r="O18" i="24"/>
  <c r="O5" i="24"/>
  <c r="O29" i="24" l="1"/>
  <c r="O22" i="24"/>
  <c r="O24" i="24" s="1"/>
  <c r="J111" i="35" l="1" a="1"/>
  <c r="J111" i="35" s="1"/>
  <c r="J112" i="35" s="1" a="1"/>
  <c r="J112" i="35" s="1"/>
  <c r="F111" i="35" a="1"/>
  <c r="F111" i="35" s="1"/>
  <c r="F112" i="35" s="1" a="1"/>
  <c r="F112" i="35" s="1"/>
  <c r="R111" i="34" l="1" a="1"/>
  <c r="R111" i="34" s="1"/>
  <c r="R112" i="34" l="1" a="1"/>
  <c r="R112" i="34" s="1"/>
  <c r="L8" i="25"/>
  <c r="L12" i="25" l="1"/>
  <c r="K11" i="25" l="1"/>
  <c r="K8" i="25" l="1"/>
  <c r="K12" i="25" s="1"/>
  <c r="C27" i="20" l="1"/>
  <c r="J11" i="25" l="1"/>
  <c r="J8" i="25" l="1"/>
  <c r="J12" i="25" s="1"/>
  <c r="B15" i="21" l="1"/>
  <c r="B17" i="21" s="1"/>
  <c r="A80" i="34" l="1"/>
  <c r="H11" i="25" l="1"/>
  <c r="H8" i="25" l="1"/>
  <c r="H12" i="25" l="1"/>
  <c r="Q69" i="28" l="1"/>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E90" i="28" s="1"/>
  <c r="Q86" i="28"/>
  <c r="Q85" i="28"/>
  <c r="Q84" i="28"/>
  <c r="Q83" i="28"/>
  <c r="Q82" i="28"/>
  <c r="Q58" i="28"/>
  <c r="Q47" i="28"/>
  <c r="Q30" i="28"/>
  <c r="Q19" i="28"/>
  <c r="Q8" i="28"/>
  <c r="O109" i="28" l="1"/>
  <c r="O112" i="28" s="1"/>
  <c r="O114" i="28" s="1"/>
  <c r="F109" i="28"/>
  <c r="F112" i="28" s="1"/>
  <c r="F114" i="28" s="1"/>
  <c r="J109" i="28"/>
  <c r="J112" i="28" s="1"/>
  <c r="J114" i="28" s="1"/>
  <c r="N109" i="28"/>
  <c r="N112" i="28" s="1"/>
  <c r="N114" i="28" s="1"/>
  <c r="G109" i="28"/>
  <c r="G112" i="28" s="1"/>
  <c r="G114" i="28" s="1"/>
  <c r="Q98" i="28"/>
  <c r="K109" i="28"/>
  <c r="K112" i="28" s="1"/>
  <c r="K114" i="28" s="1"/>
  <c r="Q105" i="28"/>
  <c r="Q106" i="28"/>
  <c r="Q107" i="28"/>
  <c r="Q108" i="28"/>
  <c r="Q110" i="28"/>
  <c r="Q111" i="28"/>
  <c r="Q113" i="28"/>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E112" i="28"/>
  <c r="Q90" i="28"/>
  <c r="Q92" i="28" s="1"/>
  <c r="E92" i="28"/>
  <c r="Q104" i="28"/>
  <c r="Q87" i="28"/>
  <c r="E101" i="28"/>
  <c r="Q109" i="28" l="1"/>
  <c r="Q23" i="28"/>
  <c r="Q25" i="28" s="1"/>
  <c r="Q20" i="28"/>
  <c r="Q59" i="28"/>
  <c r="Q62" i="28"/>
  <c r="Q64" i="28" s="1"/>
  <c r="Q48" i="28"/>
  <c r="Q32" i="28"/>
  <c r="Q12" i="28"/>
  <c r="Q9" i="28"/>
  <c r="E103" i="28"/>
  <c r="Q101" i="28"/>
  <c r="Q103" i="28" s="1"/>
  <c r="Q51" i="28"/>
  <c r="Q70" i="28"/>
  <c r="E114" i="28"/>
  <c r="Q112" i="28"/>
  <c r="Q114" i="28" s="1"/>
  <c r="Q14" i="28" l="1"/>
  <c r="Q53" i="28"/>
  <c r="Q73" i="28"/>
  <c r="Q75" i="28" l="1"/>
  <c r="E11" i="25" l="1"/>
  <c r="E8" i="25" l="1"/>
  <c r="E12" i="25" s="1"/>
  <c r="D11" i="25" l="1"/>
  <c r="D8" i="25" l="1"/>
  <c r="D12" i="25" s="1"/>
  <c r="C15" i="21" l="1"/>
  <c r="C8" i="25"/>
  <c r="C11" i="25"/>
  <c r="O11" i="25" s="1"/>
  <c r="O10" i="25"/>
  <c r="O9" i="25"/>
  <c r="B2" i="23"/>
  <c r="B3" i="23"/>
  <c r="B4" i="23"/>
  <c r="B5" i="23"/>
  <c r="B6" i="23"/>
  <c r="B7" i="23"/>
  <c r="B8" i="23"/>
  <c r="B9" i="23"/>
  <c r="B10" i="23"/>
  <c r="B11" i="23"/>
  <c r="B12" i="23"/>
  <c r="B13" i="23"/>
  <c r="B21" i="23"/>
  <c r="C12" i="23"/>
  <c r="C5" i="23"/>
  <c r="C4" i="23"/>
  <c r="C9" i="23"/>
  <c r="C8" i="23"/>
  <c r="C3" i="23"/>
  <c r="C6" i="23"/>
  <c r="C7" i="23"/>
  <c r="C11" i="23"/>
  <c r="C13" i="23"/>
  <c r="C2" i="23"/>
  <c r="C10" i="23"/>
  <c r="B14" i="23"/>
  <c r="B19" i="23"/>
  <c r="P76" i="27"/>
  <c r="P77" i="27"/>
  <c r="P78" i="27"/>
  <c r="P73" i="27"/>
  <c r="P72" i="27"/>
  <c r="P69" i="27"/>
  <c r="P71" i="27"/>
  <c r="P70" i="27"/>
  <c r="P60" i="27"/>
  <c r="P56" i="27"/>
  <c r="P52" i="27"/>
  <c r="P63" i="27"/>
  <c r="P55" i="27"/>
  <c r="P51" i="27"/>
  <c r="P62" i="27"/>
  <c r="P58" i="27"/>
  <c r="P54" i="27"/>
  <c r="P57" i="27"/>
  <c r="P42" i="27"/>
  <c r="P48" i="27"/>
  <c r="P41" i="27"/>
  <c r="P47" i="27"/>
  <c r="P40" i="27"/>
  <c r="P50" i="27"/>
  <c r="P46" i="27"/>
  <c r="P45" i="27"/>
  <c r="P49" i="27"/>
  <c r="P28" i="27"/>
  <c r="P35" i="27"/>
  <c r="P31" i="27"/>
  <c r="P34" i="27"/>
  <c r="P30" i="27"/>
  <c r="P37" i="27"/>
  <c r="P33" i="27"/>
  <c r="P29" i="27"/>
  <c r="P18" i="27"/>
  <c r="P10" i="27"/>
  <c r="P6" i="27"/>
  <c r="P25" i="27"/>
  <c r="P17" i="27"/>
  <c r="P13" i="27"/>
  <c r="P9" i="27"/>
  <c r="P5" i="27"/>
  <c r="P20" i="27"/>
  <c r="P8" i="27"/>
  <c r="P4" i="27"/>
  <c r="P19" i="27"/>
  <c r="P7" i="27"/>
  <c r="P38" i="27"/>
  <c r="P43" i="27"/>
  <c r="P74" i="27"/>
  <c r="P64" i="27"/>
  <c r="B29" i="20" l="1"/>
  <c r="B20" i="23"/>
  <c r="B17" i="23"/>
  <c r="B18" i="23"/>
  <c r="B16" i="23"/>
  <c r="B15" i="23"/>
  <c r="P68" i="27"/>
  <c r="P80" i="27"/>
  <c r="P21" i="27"/>
  <c r="P22" i="27"/>
  <c r="P11" i="27"/>
  <c r="P23" i="27"/>
  <c r="P12" i="27"/>
  <c r="P16" i="27"/>
  <c r="P24" i="27"/>
  <c r="P67" i="27"/>
  <c r="O5" i="25"/>
  <c r="O7" i="25"/>
  <c r="P27" i="27"/>
  <c r="P39" i="27"/>
  <c r="P65" i="27"/>
  <c r="P26" i="27"/>
  <c r="P44" i="27"/>
  <c r="C12" i="25"/>
  <c r="O12" i="25" s="1"/>
  <c r="O4" i="25"/>
  <c r="O6" i="25"/>
  <c r="A80" i="35" l="1"/>
  <c r="C14" i="23"/>
  <c r="C19" i="23"/>
  <c r="C21" i="23"/>
  <c r="C18" i="23"/>
  <c r="C16" i="23"/>
  <c r="C20" i="23"/>
  <c r="C17" i="23"/>
  <c r="C15" i="23"/>
  <c r="P81" i="27"/>
  <c r="O8" i="25"/>
  <c r="P75" i="27"/>
  <c r="D83" i="27"/>
  <c r="P83" i="27" s="1"/>
  <c r="O36" i="30" l="1"/>
  <c r="C38" i="30"/>
  <c r="O38" i="30" l="1"/>
  <c r="O23" i="30" l="1"/>
  <c r="C24" i="30"/>
  <c r="O24" i="30" l="1"/>
  <c r="C59" i="30"/>
  <c r="O59" i="30" l="1"/>
  <c r="C11" i="11" l="1"/>
  <c r="C12" i="11" l="1"/>
  <c r="L31" i="28"/>
  <c r="L34" i="28" s="1"/>
  <c r="M31" i="28"/>
  <c r="M34" i="28" s="1"/>
  <c r="N31" i="28"/>
  <c r="N34" i="28" s="1"/>
  <c r="O31" i="28"/>
  <c r="O34" i="28" s="1"/>
  <c r="P31" i="28"/>
  <c r="P34" i="28" s="1"/>
  <c r="K31" i="28" l="1"/>
  <c r="Q29" i="28"/>
  <c r="K34" i="28" l="1"/>
  <c r="Q34" i="28" s="1"/>
  <c r="Q31" i="28"/>
  <c r="Q36" i="28" l="1"/>
  <c r="O7" i="24" l="1"/>
  <c r="B11" i="32"/>
  <c r="H15" i="32"/>
  <c r="B15" i="32" s="1"/>
  <c r="B17" i="32" s="1"/>
</calcChain>
</file>

<file path=xl/comments1.xml><?xml version="1.0" encoding="utf-8"?>
<comments xmlns="http://schemas.openxmlformats.org/spreadsheetml/2006/main">
  <authors>
    <author>Ward, David</author>
  </authors>
  <commentList>
    <comment ref="T20" authorId="0" shapeId="0">
      <text>
        <r>
          <rPr>
            <b/>
            <sz val="9"/>
            <color indexed="81"/>
            <rFont val="Tahoma"/>
            <family val="2"/>
          </rPr>
          <t>Ward, David:</t>
        </r>
        <r>
          <rPr>
            <sz val="9"/>
            <color indexed="81"/>
            <rFont val="Tahoma"/>
            <family val="2"/>
          </rPr>
          <t xml:space="preserve">
Doesn't match S-5, Matches 17-18 R-5 Correction</t>
        </r>
      </text>
    </comment>
  </commentList>
</comments>
</file>

<file path=xl/sharedStrings.xml><?xml version="1.0" encoding="utf-8"?>
<sst xmlns="http://schemas.openxmlformats.org/spreadsheetml/2006/main" count="648" uniqueCount="365">
  <si>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</si>
  <si>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</si>
  <si>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</si>
  <si>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</si>
  <si>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</si>
  <si>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</si>
  <si>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</si>
  <si>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</si>
  <si>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</si>
  <si>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</si>
  <si>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</si>
  <si>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</si>
  <si>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</si>
  <si>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</si>
  <si>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</si>
  <si>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</si>
  <si>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</si>
  <si>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</si>
  <si>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</si>
  <si>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</si>
  <si>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</si>
  <si>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</si>
  <si>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</si>
  <si>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</si>
  <si>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</si>
  <si>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</si>
  <si>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</si>
  <si>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</si>
  <si>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</si>
  <si>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</si>
  <si>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</si>
  <si>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</si>
  <si>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</si>
  <si>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</si>
  <si>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</si>
  <si>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</si>
  <si>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</si>
  <si>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</si>
  <si>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</si>
  <si>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</si>
  <si>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</si>
  <si>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</si>
  <si>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</si>
  <si>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</si>
  <si>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</si>
  <si>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</si>
  <si>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</si>
  <si>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</si>
  <si>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</si>
  <si>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</si>
  <si>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</si>
  <si>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</si>
  <si>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</si>
  <si>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</si>
  <si>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</si>
  <si>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</si>
  <si>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</si>
  <si>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</si>
  <si>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</si>
  <si>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</si>
  <si>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</si>
  <si>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</si>
  <si>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</si>
  <si>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</si>
  <si>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</si>
  <si>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</si>
  <si>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</si>
  <si>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</si>
  <si>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</si>
  <si>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</si>
  <si>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</si>
  <si>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</si>
  <si>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</si>
  <si>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</si>
  <si>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</si>
  <si>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</si>
  <si>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</si>
  <si>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</si>
  <si>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</si>
  <si>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</si>
  <si>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</si>
  <si>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</si>
  <si>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</si>
  <si>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</si>
  <si>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</si>
  <si>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</si>
  <si>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</si>
  <si>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</si>
  <si>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</si>
  <si>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</si>
  <si>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</si>
  <si>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</si>
  <si>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</si>
  <si>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</si>
  <si>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</si>
  <si>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</si>
  <si>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</si>
  <si>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</si>
  <si>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</si>
  <si>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</si>
  <si>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</si>
  <si>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</si>
  <si>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</si>
  <si>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</si>
  <si>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</si>
  <si>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</si>
  <si>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</si>
  <si>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</si>
  <si>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</si>
  <si>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</si>
  <si>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</si>
  <si>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SMCN</t>
  </si>
  <si>
    <t>Kaiser</t>
  </si>
  <si>
    <t>DH</t>
  </si>
  <si>
    <t>Rocky</t>
  </si>
  <si>
    <t>CO Access HMO</t>
  </si>
  <si>
    <t>CO Choice</t>
  </si>
  <si>
    <t xml:space="preserve">From Plans </t>
  </si>
  <si>
    <t>Caseload</t>
  </si>
  <si>
    <t>Oracle "alter table" add column syntax example</t>
  </si>
  <si>
    <t xml:space="preserve">FY 2011-12 Actuals </t>
  </si>
  <si>
    <t>FY 2011-12 Actuals</t>
  </si>
  <si>
    <t>k</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</si>
  <si>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</si>
  <si>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</si>
  <si>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</si>
  <si>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</si>
  <si>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</si>
  <si>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</si>
  <si>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</si>
  <si>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</si>
  <si>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</si>
  <si>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</si>
  <si>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</si>
  <si>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</si>
  <si>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</si>
  <si>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</si>
  <si>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</si>
  <si>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</si>
  <si>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</si>
  <si>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</si>
  <si>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</si>
  <si>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</si>
  <si>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</si>
  <si>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</si>
  <si>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</si>
  <si>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</si>
  <si>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</si>
  <si>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</si>
  <si>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</si>
  <si>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</si>
  <si>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</si>
  <si>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</si>
  <si>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</si>
  <si>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</si>
  <si>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</si>
  <si>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</si>
  <si>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</si>
  <si>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</si>
  <si>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</si>
  <si>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</si>
  <si>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</si>
  <si>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</si>
  <si>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</si>
  <si>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</si>
  <si>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</si>
  <si>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</si>
  <si>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</si>
  <si>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</si>
  <si>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</si>
  <si>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</si>
  <si>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</si>
  <si>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HCBS - Persons Living with AIDS</t>
  </si>
  <si>
    <t>Rocky Mountain Health Plans HMO</t>
  </si>
  <si>
    <t>Denver Health &amp; Hospital Authority HMO</t>
  </si>
  <si>
    <t>Inpatient Medicaid Supplemental Payments</t>
  </si>
  <si>
    <t>Medicaid Disproportionate Share Hospital (DSH) Payments</t>
  </si>
  <si>
    <t>Medicaid Hospital Quality Incentive Payments</t>
  </si>
  <si>
    <t>Outpatient Medicaid Supplemental Payments</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</si>
  <si>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</si>
  <si>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</si>
  <si>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</si>
  <si>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</si>
  <si>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</si>
  <si>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</si>
  <si>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</si>
  <si>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</si>
  <si>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</si>
  <si>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</si>
  <si>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</si>
  <si>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</si>
  <si>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</si>
  <si>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</si>
  <si>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</si>
  <si>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</si>
  <si>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</si>
  <si>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</si>
  <si>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</si>
  <si>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</si>
  <si>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</si>
  <si>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</si>
  <si>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</si>
  <si>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</si>
  <si>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</si>
  <si>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</si>
  <si>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</si>
  <si>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</si>
  <si>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</si>
  <si>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</si>
  <si>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</si>
  <si>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</si>
  <si>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</si>
  <si>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</si>
  <si>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</si>
  <si>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</si>
  <si>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</si>
  <si>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</si>
  <si>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</si>
  <si>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</si>
  <si>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</si>
  <si>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</si>
  <si>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</si>
  <si>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</si>
  <si>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</si>
  <si>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</si>
  <si>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</si>
  <si>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</si>
  <si>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</si>
  <si>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</si>
  <si>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</si>
  <si>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</si>
  <si>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</si>
  <si>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</si>
  <si>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</si>
  <si>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</si>
  <si>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</si>
  <si>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</si>
  <si>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</si>
  <si>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</si>
  <si>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</si>
  <si>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</si>
  <si>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</si>
  <si>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</si>
  <si>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</si>
  <si>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</si>
  <si>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</si>
  <si>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</si>
  <si>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</si>
  <si>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</si>
  <si>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</si>
  <si>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</si>
  <si>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</si>
  <si>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</si>
  <si>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</si>
  <si>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</si>
  <si>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</si>
  <si>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</si>
  <si>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</si>
  <si>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</si>
  <si>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</si>
  <si>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</si>
  <si>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</si>
  <si>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</si>
  <si>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</si>
  <si>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</si>
  <si>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</si>
  <si>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</si>
  <si>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</si>
  <si>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</si>
  <si>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</si>
  <si>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</si>
  <si>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</si>
  <si>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</si>
  <si>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</si>
  <si>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</si>
  <si>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</si>
  <si>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</si>
  <si>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</si>
  <si>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</si>
  <si>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</si>
  <si>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</si>
  <si>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</si>
  <si>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</si>
  <si>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</si>
  <si>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</si>
  <si>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</si>
  <si>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</si>
  <si>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</si>
  <si>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</si>
  <si>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</si>
  <si>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</si>
  <si>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</si>
  <si>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</si>
  <si>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</si>
  <si>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</si>
  <si>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</si>
  <si>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</si>
  <si>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</si>
  <si>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2)  FY 2015-16 Year-to-Date Appropriation includes HB 15-234 (FY 2015-16 Long Bill), Special Bills, HB 16-1240 (FY 2015-16 Supplemental Bill), and HB 16-1405 (FY 2016-17 Long Bill Add-on).</t>
  </si>
  <si>
    <t>FY 2016-17</t>
  </si>
  <si>
    <t>FY 2016-17 Total YTD</t>
  </si>
  <si>
    <t>FY 2016-17 Appropriation</t>
  </si>
  <si>
    <t>FY 2016-17 Long Bill Appropriation (HB 16-1405)</t>
  </si>
  <si>
    <t>HB 16-1097 "PUC Permit for Medicaid Transportation Providers"</t>
  </si>
  <si>
    <t>SB 16-027 "Medicaid Option for Prescribed Drugs by Mail"</t>
  </si>
  <si>
    <t>HB 16-1408 "Allocation of Cash Fund Revenues from Tobacco MSA"</t>
  </si>
  <si>
    <t>FY 2016-17 Appropriation YTD</t>
  </si>
  <si>
    <t>FY 2016-17 YTD Expenditures</t>
  </si>
  <si>
    <t xml:space="preserve">Remaining FY 2016-17 Appropriation </t>
  </si>
  <si>
    <t>FY 2015-16 Actuals</t>
  </si>
  <si>
    <t>FY 2016-17 Year-to-Date Average</t>
  </si>
  <si>
    <t>FY 2016-17 Year-to-Date Appropriation</t>
  </si>
  <si>
    <t>Access - Kaiser HMO</t>
  </si>
  <si>
    <t>(2) RCCO 1 includes caseload for Rocky Mountain Health Plans HMO and RCCO 3 includes caseload for the Access-Kaiser HMO, as these pilots are ACC initiatives.</t>
  </si>
  <si>
    <t>FY 2016-17 Average Monthly Enrollment</t>
  </si>
  <si>
    <t>FY 2016-17 Supplemental Payments by Service Category</t>
  </si>
  <si>
    <t>FY 2016-17 Medicaid Mental Health Community Programs Expenditures</t>
  </si>
  <si>
    <t>FY 2016-17 Medicaid Community Mental Health Program Expenditures by Behavioral Health Organization</t>
  </si>
  <si>
    <t>FY 2016-17 Medicaid Community Mental Health Program Caseload by Behavioral Health Organization</t>
  </si>
  <si>
    <t>FY 2016-17 Children's Basic Health Plan Expenditures</t>
  </si>
  <si>
    <t xml:space="preserve">FY 2015-16 Actuals </t>
  </si>
  <si>
    <t>FY 2016-17 Division for Intellectual and Developmental Disabilities (DIDD) Waiver and State Only Program Caseload Per Month</t>
  </si>
  <si>
    <t>FY 2016-17 Average YTD</t>
  </si>
  <si>
    <t>FY 2016-17 Authorized Maximum Enrollment</t>
  </si>
  <si>
    <t>FY 2016-17 Division for Intellectual and Developmental Disabilities (DIDD) Waiver and State Only Program Expenditure Per Month</t>
  </si>
  <si>
    <t>Percent of FY 2016-17 Appropriation Spent</t>
  </si>
  <si>
    <t>FY 2016-17 Old Age Pension State Medical Program Expenditures and Caseload</t>
  </si>
  <si>
    <t>FY 2016-17 Medicare Modernization Act State Contribution Payment Expenditures and Caseload</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</si>
  <si>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</si>
  <si>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</si>
  <si>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3) FY 2016-17 Appropriations for DIDD Supported Living Services and Targeted Case Management were adjusted to reflect only the portion appropriated for those services. State-only program appropriations were removed.</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</si>
  <si>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</si>
  <si>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</si>
  <si>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</si>
  <si>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Other Payment and Adjustments</t>
  </si>
  <si>
    <t>5) Accountable Care Collaborative (ACC) caseload includes ACC Managed Fee for Service enrollment, as well as the Rocky Mountain Health Plans HMO enrollment and Access-Kaiser HMO, as these pilots are ACC initiatives.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</si>
  <si>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</si>
  <si>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</si>
  <si>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4) Expenditures were restated in the October JBC Monthly Report due to a data issue identifying expenditure from the correct fund.</t>
  </si>
  <si>
    <t>CICP Disproportionate Share Hospital (DSH) Payment</t>
  </si>
  <si>
    <t xml:space="preserve">6) August payments for State Only Programs, that would normally be paid in September, were delayed to October due to a technical issue with the billing process. </t>
  </si>
  <si>
    <t>1) October Hospital Supplemental Medicaid Payments expenditure will not tie out to the total for the Medical Services Premiums Hospital Supplemental Payments in the FY 2016-17 Supplemental Payments by Service Category exhibit due to a prior period adjustment outside of the current model period.</t>
  </si>
  <si>
    <t>FY 2016-17 Supplemental Bill Appropriation (SB 17-162)</t>
  </si>
  <si>
    <t>4) The number of reported PACE enrollees is artificially low in the months of August through January due to systems issues identifying PACE members.  These systems issues have been resolved as of the March 2017 report.  Please refer to the February 2017 Medical Services Premiums forecast for the most up-to-date enrollment estimates.</t>
  </si>
  <si>
    <t>2) Medicaid Fee for Service includes all Medicaid clients who are not enrolled in a Managed Care program.  Enrollment here includes Managed Fee for Service ACC enrollment, but does not include all clients shown in the ACC Accountable Care Collaborative section.  See Footnote 5 for more information.</t>
  </si>
  <si>
    <t>A
A</t>
  </si>
  <si>
    <t>FY 2017-18 Add-On Appropriation (SB 17-254)</t>
  </si>
  <si>
    <t>Preventive Services</t>
  </si>
  <si>
    <t>A 
A</t>
  </si>
  <si>
    <t xml:space="preserve">4)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</si>
  <si>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</si>
  <si>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 xml:space="preserve">6)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</si>
  <si>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1)  FY 2016-17 Year-to-Date Appropriation includes HB 16-1405 (FY 2016-17 Long Bill), SB 17-162 (FY 2016-17 Supplemental Bill), and SB 17-254 (FY 2017-18 Long Bill Add-On).</t>
  </si>
  <si>
    <t>2)  FY 2016-17 Year-to-Date Appropriation includes HB 14-1605 (FY 2016-17 Long Bill), SB 17-162 (FY 2016-17 Supplemental Bill), and SB 17-254 (FY 2017-18 Long Bill Add-On).</t>
  </si>
  <si>
    <t>4)  FY 2016-17 Year-to-Date Appropriation includes HB 16-1405 (FY 2016-17 Long Bill), Special Bills, SB 17-162 (FY 2016-17 Supplemental Bill), and SB 17-254 (FY 2017-18 Long Bill Add-On).</t>
  </si>
  <si>
    <t>A
A
A</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</si>
  <si>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</si>
  <si>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</si>
  <si>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 xml:space="preserve">7)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June 15, 2017, and may be restated in future reports based on further analysis.  </t>
  </si>
  <si>
    <t>5)  FY 2016-17 Year-to-Date Appropriation includes HB 16-1405 (FY 2016-17 Long Bill), Special Bills, SB 17-162 (FY 2016-17 Supplemental Bill), and SB 17-254 (FY 2017-18 Long Bill Add-On).</t>
  </si>
  <si>
    <t>A
A
A
A</t>
  </si>
  <si>
    <r>
      <t>MAGI Parents/ Caretakers 69% to 133% FPL</t>
    </r>
    <r>
      <rPr>
        <b/>
        <vertAlign val="superscript"/>
        <sz val="12"/>
        <rFont val="Times New Roman"/>
        <family val="1"/>
      </rPr>
      <t>3</t>
    </r>
  </si>
  <si>
    <r>
      <t>MAGI Adults</t>
    </r>
    <r>
      <rPr>
        <b/>
        <vertAlign val="superscript"/>
        <sz val="12"/>
        <rFont val="Times New Roman"/>
        <family val="1"/>
      </rPr>
      <t>3</t>
    </r>
  </si>
  <si>
    <t>2) Starting in the June 2017 JBC Premiums Report, the FY 2016-17 Year-to-Date Appropriation includes SB 17-254 (FY 2017-18 Long Bill Add-On).</t>
  </si>
  <si>
    <t>3) For the June 2017 JBC Premiums Report, the Department is reporting MAGI Adults and MAGI Parents/Caretakers 69% to 133% FPL as one category, as there is a system issue affecting the distribution between the categories.  The Department will restate the figures with the approriate distribution between the two expansion categories when the system issue is 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</si>
</sst>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s>
  <fonts count="31"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b/>
      <i/>
      <sz val="12"/>
      <name val="Times New Roman"/>
      <family val="1"/>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s>
  <borders count="1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s>
  <cellStyleXfs count="60">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5"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12"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7"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7"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7" fillId="0" borderId="0"/>
  </cellStyleXfs>
  <cellXfs count="868">
    <xf numFmtId="0" fontId="0" fillId="0" borderId="0" xfId="0"/>
    <xf numFmtId="0" fontId="13" fillId="0" borderId="0" xfId="16" applyFont="1" applyBorder="1"/>
    <xf numFmtId="37" fontId="13" fillId="0" borderId="6" xfId="0" applyNumberFormat="1" applyFont="1" applyBorder="1"/>
    <xf numFmtId="165" fontId="13" fillId="0" borderId="0" xfId="1" applyNumberFormat="1" applyFont="1" applyFill="1" applyBorder="1" applyAlignment="1">
      <alignment vertical="center"/>
    </xf>
    <xf numFmtId="165" fontId="13" fillId="0" borderId="0" xfId="17" applyNumberFormat="1" applyFont="1" applyFill="1" applyBorder="1" applyAlignment="1">
      <alignment vertical="center"/>
    </xf>
    <xf numFmtId="165" fontId="11" fillId="0" borderId="0" xfId="1" applyNumberFormat="1" applyFont="1" applyFill="1" applyBorder="1" applyAlignment="1">
      <alignment vertical="center"/>
    </xf>
    <xf numFmtId="10" fontId="13" fillId="0" borderId="0" xfId="18" applyNumberFormat="1" applyFont="1" applyFill="1" applyBorder="1" applyAlignment="1">
      <alignment vertical="center"/>
    </xf>
    <xf numFmtId="0" fontId="13" fillId="0" borderId="0" xfId="16" applyFont="1" applyFill="1" applyBorder="1"/>
    <xf numFmtId="165" fontId="11" fillId="0" borderId="12" xfId="1" applyNumberFormat="1" applyFont="1" applyFill="1" applyBorder="1" applyAlignment="1">
      <alignment vertical="center"/>
    </xf>
    <xf numFmtId="0" fontId="11" fillId="0" borderId="0" xfId="17" applyFont="1" applyBorder="1" applyAlignment="1">
      <alignment horizontal="center" vertical="top" wrapText="1"/>
    </xf>
    <xf numFmtId="172" fontId="13" fillId="0" borderId="0" xfId="1" applyFont="1" applyBorder="1"/>
    <xf numFmtId="49" fontId="13" fillId="0" borderId="0" xfId="16" applyNumberFormat="1" applyFont="1" applyBorder="1"/>
    <xf numFmtId="49" fontId="13" fillId="0" borderId="0" xfId="16" applyNumberFormat="1" applyFont="1" applyBorder="1" applyAlignment="1">
      <alignment horizontal="center"/>
    </xf>
    <xf numFmtId="5" fontId="13" fillId="0" borderId="0" xfId="0" applyNumberFormat="1" applyFont="1" applyBorder="1"/>
    <xf numFmtId="49" fontId="13" fillId="0" borderId="0" xfId="16" applyNumberFormat="1" applyFont="1" applyFill="1" applyBorder="1" applyAlignment="1">
      <alignment horizontal="center"/>
    </xf>
    <xf numFmtId="0" fontId="13" fillId="0" borderId="0" xfId="0" applyFont="1" applyBorder="1"/>
    <xf numFmtId="0" fontId="13" fillId="0" borderId="0" xfId="0" applyFont="1"/>
    <xf numFmtId="37" fontId="13" fillId="0" borderId="0" xfId="0" applyNumberFormat="1" applyFont="1"/>
    <xf numFmtId="171" fontId="13" fillId="0" borderId="0" xfId="0" applyNumberFormat="1" applyFont="1"/>
    <xf numFmtId="5" fontId="13" fillId="0" borderId="6" xfId="17" applyNumberFormat="1" applyFont="1" applyFill="1" applyBorder="1"/>
    <xf numFmtId="5" fontId="13" fillId="0" borderId="6" xfId="1" applyNumberFormat="1" applyFont="1" applyFill="1" applyBorder="1"/>
    <xf numFmtId="5" fontId="13" fillId="0" borderId="18" xfId="1" applyNumberFormat="1" applyFont="1" applyFill="1" applyBorder="1" applyAlignment="1">
      <alignment horizontal="right"/>
    </xf>
    <xf numFmtId="5" fontId="13" fillId="0" borderId="18" xfId="1" applyNumberFormat="1" applyFont="1" applyFill="1" applyBorder="1"/>
    <xf numFmtId="5" fontId="11" fillId="0" borderId="18" xfId="1" applyNumberFormat="1" applyFont="1" applyFill="1" applyBorder="1" applyAlignment="1"/>
    <xf numFmtId="5" fontId="11" fillId="0" borderId="6" xfId="17" applyNumberFormat="1" applyFont="1" applyFill="1" applyBorder="1"/>
    <xf numFmtId="37" fontId="11" fillId="0" borderId="19" xfId="0" applyNumberFormat="1" applyFont="1" applyFill="1" applyBorder="1"/>
    <xf numFmtId="169" fontId="13" fillId="0" borderId="3" xfId="17" applyNumberFormat="1" applyFont="1" applyBorder="1" applyAlignment="1">
      <alignment vertical="center"/>
    </xf>
    <xf numFmtId="37" fontId="13" fillId="0" borderId="0" xfId="0" applyNumberFormat="1" applyFont="1" applyFill="1" applyBorder="1"/>
    <xf numFmtId="10" fontId="13" fillId="0" borderId="0" xfId="18" applyNumberFormat="1" applyFont="1" applyFill="1" applyBorder="1"/>
    <xf numFmtId="165" fontId="13" fillId="0" borderId="6" xfId="1" applyNumberFormat="1" applyFont="1" applyFill="1" applyBorder="1" applyAlignment="1">
      <alignment vertical="center"/>
    </xf>
    <xf numFmtId="37" fontId="13" fillId="0" borderId="7" xfId="0" applyNumberFormat="1" applyFont="1" applyBorder="1"/>
    <xf numFmtId="37" fontId="13" fillId="0" borderId="13" xfId="0" applyNumberFormat="1" applyFont="1" applyBorder="1"/>
    <xf numFmtId="37" fontId="13" fillId="0" borderId="5" xfId="0" applyNumberFormat="1" applyFont="1" applyBorder="1"/>
    <xf numFmtId="37" fontId="13"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3" fillId="0" borderId="5" xfId="0" applyNumberFormat="1" applyFont="1" applyFill="1" applyBorder="1"/>
    <xf numFmtId="5" fontId="13" fillId="0" borderId="22" xfId="4" applyFont="1" applyBorder="1" applyAlignment="1">
      <alignment vertical="center" wrapText="1"/>
    </xf>
    <xf numFmtId="5" fontId="11" fillId="0" borderId="23" xfId="4" applyFont="1" applyBorder="1" applyAlignment="1">
      <alignment vertical="center" wrapText="1"/>
    </xf>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3" fillId="0" borderId="6" xfId="0" applyNumberFormat="1" applyFont="1" applyFill="1" applyBorder="1"/>
    <xf numFmtId="0" fontId="13" fillId="0" borderId="0" xfId="0" applyFont="1" applyBorder="1" applyAlignment="1">
      <alignment horizontal="left" vertical="top" wrapText="1"/>
    </xf>
    <xf numFmtId="0" fontId="13" fillId="0" borderId="0" xfId="0" applyFont="1" applyBorder="1" applyAlignment="1">
      <alignment vertical="top" wrapText="1"/>
    </xf>
    <xf numFmtId="0" fontId="13" fillId="0" borderId="24" xfId="0" applyFont="1" applyFill="1" applyBorder="1" applyAlignment="1">
      <alignment vertical="top" wrapText="1"/>
    </xf>
    <xf numFmtId="37" fontId="11" fillId="0" borderId="8" xfId="0" applyNumberFormat="1" applyFont="1" applyBorder="1"/>
    <xf numFmtId="37" fontId="11" fillId="0" borderId="12" xfId="0" applyNumberFormat="1" applyFont="1" applyBorder="1"/>
    <xf numFmtId="5" fontId="11" fillId="0" borderId="6" xfId="1" applyNumberFormat="1" applyFont="1" applyFill="1" applyBorder="1"/>
    <xf numFmtId="0" fontId="13" fillId="0" borderId="25" xfId="0" applyFont="1" applyFill="1" applyBorder="1" applyAlignment="1">
      <alignment vertical="top" wrapText="1"/>
    </xf>
    <xf numFmtId="0" fontId="11" fillId="0" borderId="24" xfId="0" applyFont="1" applyFill="1" applyBorder="1" applyAlignment="1">
      <alignment horizontal="left" vertical="center" wrapText="1"/>
    </xf>
    <xf numFmtId="10" fontId="13" fillId="0" borderId="6" xfId="18" applyNumberFormat="1" applyFont="1" applyFill="1" applyBorder="1"/>
    <xf numFmtId="37" fontId="11" fillId="0" borderId="6" xfId="0" applyNumberFormat="1" applyFont="1" applyFill="1" applyBorder="1"/>
    <xf numFmtId="10" fontId="13" fillId="0" borderId="5" xfId="18" applyNumberFormat="1" applyFont="1" applyFill="1" applyBorder="1"/>
    <xf numFmtId="37" fontId="13" fillId="0" borderId="7" xfId="0" applyNumberFormat="1" applyFont="1" applyFill="1" applyBorder="1"/>
    <xf numFmtId="37" fontId="13" fillId="0" borderId="13" xfId="0" applyNumberFormat="1" applyFont="1" applyFill="1" applyBorder="1"/>
    <xf numFmtId="37" fontId="13"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0" applyFont="1" applyBorder="1" applyAlignment="1">
      <alignment horizontal="center" vertical="center"/>
    </xf>
    <xf numFmtId="0" fontId="11" fillId="0" borderId="0" xfId="17" applyFont="1" applyBorder="1" applyAlignment="1">
      <alignment horizontal="center" vertical="center"/>
    </xf>
    <xf numFmtId="165" fontId="13"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0" fontId="13" fillId="0" borderId="33" xfId="0" applyFont="1" applyFill="1" applyBorder="1" applyAlignment="1">
      <alignment horizontal="left" vertical="center" wrapText="1"/>
    </xf>
    <xf numFmtId="5" fontId="13" fillId="0" borderId="19" xfId="17" applyNumberFormat="1" applyFont="1" applyFill="1" applyBorder="1"/>
    <xf numFmtId="165" fontId="13" fillId="0" borderId="19" xfId="1" applyNumberFormat="1" applyFont="1" applyFill="1" applyBorder="1" applyAlignment="1">
      <alignment vertical="center"/>
    </xf>
    <xf numFmtId="165" fontId="11" fillId="0" borderId="10" xfId="1" applyNumberFormat="1" applyFont="1" applyFill="1" applyBorder="1" applyAlignment="1">
      <alignment vertical="center"/>
    </xf>
    <xf numFmtId="5" fontId="11" fillId="0" borderId="10" xfId="17" applyNumberFormat="1" applyFont="1" applyFill="1" applyBorder="1"/>
    <xf numFmtId="5" fontId="13" fillId="0" borderId="22" xfId="4" applyFont="1" applyFill="1" applyBorder="1" applyAlignment="1">
      <alignment vertical="center" wrapText="1"/>
    </xf>
    <xf numFmtId="37" fontId="13" fillId="0" borderId="0" xfId="1" applyNumberFormat="1" applyFont="1" applyFill="1" applyBorder="1" applyAlignment="1">
      <alignment vertical="center"/>
    </xf>
    <xf numFmtId="37" fontId="13" fillId="0" borderId="0" xfId="17" applyNumberFormat="1" applyFont="1" applyFill="1" applyBorder="1" applyAlignment="1">
      <alignment vertical="center"/>
    </xf>
    <xf numFmtId="41" fontId="13" fillId="0" borderId="0" xfId="1" applyNumberFormat="1" applyFont="1" applyFill="1" applyBorder="1" applyAlignment="1">
      <alignment vertical="center"/>
    </xf>
    <xf numFmtId="3" fontId="11" fillId="0" borderId="2" xfId="17" applyNumberFormat="1" applyFont="1" applyFill="1" applyBorder="1" applyAlignment="1">
      <alignment horizontal="center" vertical="center" wrapText="1"/>
    </xf>
    <xf numFmtId="172" fontId="13" fillId="0" borderId="0" xfId="1" applyFont="1" applyFill="1" applyBorder="1" applyAlignment="1">
      <alignment vertical="center"/>
    </xf>
    <xf numFmtId="0" fontId="11" fillId="0" borderId="0" xfId="17"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3" fillId="0" borderId="14" xfId="0" applyFont="1" applyBorder="1" applyAlignment="1">
      <alignment vertical="center" wrapText="1"/>
    </xf>
    <xf numFmtId="0" fontId="11" fillId="0" borderId="14" xfId="0" applyFont="1" applyBorder="1" applyAlignment="1">
      <alignment horizontal="center" vertical="center" wrapText="1"/>
    </xf>
    <xf numFmtId="170" fontId="11" fillId="0" borderId="1" xfId="4" applyNumberFormat="1" applyFont="1" applyFill="1" applyBorder="1" applyAlignment="1">
      <alignment horizontal="center" vertical="center" wrapText="1"/>
    </xf>
    <xf numFmtId="5" fontId="11" fillId="0" borderId="14" xfId="4" applyFont="1" applyFill="1" applyBorder="1" applyAlignment="1">
      <alignment horizontal="center" vertical="center" wrapText="1"/>
    </xf>
    <xf numFmtId="165" fontId="13" fillId="0" borderId="15" xfId="1" applyNumberFormat="1" applyFont="1" applyFill="1" applyBorder="1" applyAlignment="1">
      <alignment vertical="center"/>
    </xf>
    <xf numFmtId="165" fontId="13" fillId="0" borderId="1" xfId="1" applyNumberFormat="1" applyFont="1" applyFill="1" applyBorder="1" applyAlignment="1">
      <alignment vertical="center"/>
    </xf>
    <xf numFmtId="165" fontId="13" fillId="0" borderId="14" xfId="1" applyNumberFormat="1" applyFont="1" applyFill="1" applyBorder="1" applyAlignment="1">
      <alignment vertical="center"/>
    </xf>
    <xf numFmtId="0" fontId="13" fillId="0" borderId="14" xfId="0" applyFont="1" applyBorder="1" applyAlignment="1">
      <alignment vertical="center"/>
    </xf>
    <xf numFmtId="0" fontId="11" fillId="0" borderId="14" xfId="0" applyFont="1" applyBorder="1" applyAlignment="1">
      <alignment horizontal="center" vertical="center"/>
    </xf>
    <xf numFmtId="5" fontId="13" fillId="0" borderId="0" xfId="4" applyNumberFormat="1" applyFont="1" applyFill="1" applyBorder="1" applyAlignment="1">
      <alignment vertical="center"/>
    </xf>
    <xf numFmtId="5" fontId="13" fillId="0" borderId="15" xfId="4" applyNumberFormat="1" applyFont="1" applyFill="1" applyBorder="1" applyAlignment="1">
      <alignment vertical="center"/>
    </xf>
    <xf numFmtId="5" fontId="13" fillId="0" borderId="1" xfId="4" applyNumberFormat="1" applyFont="1" applyFill="1" applyBorder="1" applyAlignment="1">
      <alignment vertical="center"/>
    </xf>
    <xf numFmtId="5" fontId="13" fillId="0" borderId="14" xfId="4" applyNumberFormat="1" applyFont="1" applyFill="1" applyBorder="1" applyAlignment="1">
      <alignment vertical="center"/>
    </xf>
    <xf numFmtId="165" fontId="13" fillId="0" borderId="0" xfId="1" applyNumberFormat="1" applyFont="1" applyFill="1" applyBorder="1" applyAlignment="1">
      <alignment vertical="center" wrapText="1"/>
    </xf>
    <xf numFmtId="165" fontId="13" fillId="0" borderId="15" xfId="4" applyNumberFormat="1" applyFont="1" applyFill="1" applyBorder="1" applyAlignment="1">
      <alignment vertical="center"/>
    </xf>
    <xf numFmtId="5" fontId="11" fillId="0" borderId="1" xfId="4" applyNumberFormat="1" applyFont="1" applyFill="1" applyBorder="1" applyAlignment="1">
      <alignment vertical="center"/>
    </xf>
    <xf numFmtId="5" fontId="11" fillId="0" borderId="14" xfId="4" applyNumberFormat="1" applyFont="1" applyFill="1" applyBorder="1" applyAlignment="1">
      <alignment vertical="center"/>
    </xf>
    <xf numFmtId="5" fontId="18" fillId="0" borderId="0" xfId="22" applyFont="1"/>
    <xf numFmtId="10" fontId="13" fillId="0" borderId="0" xfId="18" applyFont="1"/>
    <xf numFmtId="164" fontId="13" fillId="0" borderId="0" xfId="18" applyNumberFormat="1" applyFont="1"/>
    <xf numFmtId="10" fontId="13" fillId="0" borderId="0" xfId="0" applyNumberFormat="1" applyFont="1"/>
    <xf numFmtId="164" fontId="13" fillId="0" borderId="0" xfId="18" applyNumberFormat="1" applyFont="1" applyBorder="1"/>
    <xf numFmtId="166" fontId="13" fillId="0" borderId="0" xfId="18" applyNumberFormat="1" applyFont="1"/>
    <xf numFmtId="173" fontId="13" fillId="0" borderId="0" xfId="0" applyNumberFormat="1" applyFont="1"/>
    <xf numFmtId="173" fontId="13" fillId="0" borderId="0" xfId="0" applyNumberFormat="1" applyFont="1" applyBorder="1"/>
    <xf numFmtId="0" fontId="11" fillId="0" borderId="0" xfId="0" applyFont="1" applyAlignment="1">
      <alignment horizontal="center" vertical="center" wrapText="1"/>
    </xf>
    <xf numFmtId="166" fontId="13" fillId="0" borderId="0" xfId="18" applyNumberFormat="1" applyFont="1" applyBorder="1"/>
    <xf numFmtId="0" fontId="13" fillId="0" borderId="0" xfId="0" applyFont="1" applyAlignment="1">
      <alignment wrapText="1"/>
    </xf>
    <xf numFmtId="0" fontId="13" fillId="0" borderId="12" xfId="0" applyFont="1" applyBorder="1"/>
    <xf numFmtId="0" fontId="13" fillId="0" borderId="3" xfId="0" applyFont="1" applyBorder="1"/>
    <xf numFmtId="0" fontId="13" fillId="0" borderId="3" xfId="0" applyFont="1" applyBorder="1" applyAlignment="1">
      <alignment horizontal="center" vertical="center"/>
    </xf>
    <xf numFmtId="0" fontId="13" fillId="0" borderId="17" xfId="0" applyFont="1" applyBorder="1" applyAlignment="1">
      <alignment horizontal="center" vertical="center"/>
    </xf>
    <xf numFmtId="172" fontId="13" fillId="0" borderId="11" xfId="1" applyFont="1" applyBorder="1"/>
    <xf numFmtId="172" fontId="13" fillId="0" borderId="3" xfId="1" applyFont="1" applyBorder="1"/>
    <xf numFmtId="37" fontId="13" fillId="0" borderId="3" xfId="0" applyNumberFormat="1" applyFont="1" applyBorder="1"/>
    <xf numFmtId="172" fontId="13" fillId="0" borderId="3" xfId="0" applyNumberFormat="1" applyFont="1" applyBorder="1"/>
    <xf numFmtId="10" fontId="13" fillId="0" borderId="3" xfId="18" applyFont="1" applyBorder="1"/>
    <xf numFmtId="172" fontId="11" fillId="0" borderId="3" xfId="1" applyFont="1" applyBorder="1"/>
    <xf numFmtId="172" fontId="11" fillId="0" borderId="20" xfId="1" applyFont="1" applyBorder="1"/>
    <xf numFmtId="172" fontId="13" fillId="0" borderId="20" xfId="1" applyFont="1" applyBorder="1"/>
    <xf numFmtId="0" fontId="19" fillId="0" borderId="0" xfId="13" applyFont="1" applyAlignment="1" applyProtection="1"/>
    <xf numFmtId="165" fontId="13" fillId="0" borderId="0" xfId="0" applyNumberFormat="1" applyFont="1"/>
    <xf numFmtId="17" fontId="13" fillId="0" borderId="0" xfId="0" applyNumberFormat="1" applyFont="1"/>
    <xf numFmtId="0" fontId="13" fillId="0" borderId="0" xfId="0" applyFont="1" applyFill="1"/>
    <xf numFmtId="173" fontId="13" fillId="0" borderId="0" xfId="0" applyNumberFormat="1" applyFont="1" applyFill="1" applyBorder="1"/>
    <xf numFmtId="166" fontId="13" fillId="0" borderId="0" xfId="18" applyNumberFormat="1" applyFont="1" applyFill="1" applyBorder="1"/>
    <xf numFmtId="172" fontId="13" fillId="0" borderId="0" xfId="1" applyFont="1" applyFill="1" applyBorder="1"/>
    <xf numFmtId="0" fontId="13" fillId="0" borderId="0" xfId="0" applyFont="1" applyFill="1" applyBorder="1"/>
    <xf numFmtId="0" fontId="13" fillId="0" borderId="0" xfId="17" applyFont="1" applyFill="1" applyBorder="1" applyAlignment="1">
      <alignment horizontal="left" vertical="center"/>
    </xf>
    <xf numFmtId="10" fontId="13" fillId="0" borderId="0" xfId="18" applyFont="1" applyFill="1" applyBorder="1" applyAlignment="1">
      <alignment horizontal="left" vertical="center"/>
    </xf>
    <xf numFmtId="0" fontId="13" fillId="0" borderId="0" xfId="0" applyFont="1" applyFill="1" applyBorder="1" applyAlignment="1">
      <alignment horizontal="left" wrapText="1"/>
    </xf>
    <xf numFmtId="173" fontId="13" fillId="0" borderId="0" xfId="0" applyNumberFormat="1" applyFont="1" applyFill="1"/>
    <xf numFmtId="37" fontId="13" fillId="0" borderId="0" xfId="0" applyNumberFormat="1" applyFont="1" applyFill="1" applyBorder="1" applyAlignment="1">
      <alignment horizontal="left" wrapText="1"/>
    </xf>
    <xf numFmtId="166" fontId="13" fillId="0" borderId="0" xfId="18" applyNumberFormat="1" applyFont="1" applyFill="1" applyBorder="1" applyAlignment="1">
      <alignment horizontal="left" wrapText="1"/>
    </xf>
    <xf numFmtId="0" fontId="13" fillId="0" borderId="0" xfId="17" applyFont="1"/>
    <xf numFmtId="0" fontId="13" fillId="0" borderId="0" xfId="17" applyFont="1" applyFill="1" applyBorder="1"/>
    <xf numFmtId="165" fontId="13" fillId="0" borderId="0" xfId="1" applyNumberFormat="1" applyFont="1"/>
    <xf numFmtId="165" fontId="13" fillId="0" borderId="0" xfId="17" applyNumberFormat="1" applyFont="1"/>
    <xf numFmtId="172" fontId="13" fillId="0" borderId="0" xfId="1" applyFont="1"/>
    <xf numFmtId="5" fontId="13" fillId="0" borderId="0" xfId="17" applyNumberFormat="1" applyFont="1"/>
    <xf numFmtId="5" fontId="13" fillId="0" borderId="0" xfId="4" applyFont="1" applyFill="1" applyBorder="1"/>
    <xf numFmtId="165" fontId="13" fillId="0" borderId="0" xfId="0" applyNumberFormat="1" applyFont="1" applyBorder="1"/>
    <xf numFmtId="0" fontId="13" fillId="0" borderId="0" xfId="17" applyFont="1" applyBorder="1"/>
    <xf numFmtId="167" fontId="13" fillId="0" borderId="0" xfId="17" applyNumberFormat="1" applyFont="1"/>
    <xf numFmtId="10" fontId="13" fillId="0" borderId="0" xfId="18" applyNumberFormat="1" applyFont="1" applyBorder="1"/>
    <xf numFmtId="10" fontId="13" fillId="0" borderId="0" xfId="17" applyNumberFormat="1" applyFont="1" applyBorder="1"/>
    <xf numFmtId="0" fontId="13" fillId="0" borderId="0" xfId="17" applyFont="1" applyFill="1"/>
    <xf numFmtId="5" fontId="13" fillId="0" borderId="0" xfId="4" applyFont="1"/>
    <xf numFmtId="5" fontId="13" fillId="0" borderId="0" xfId="0" applyNumberFormat="1" applyFont="1"/>
    <xf numFmtId="0" fontId="13" fillId="0" borderId="0" xfId="0" applyNumberFormat="1" applyFont="1"/>
    <xf numFmtId="0" fontId="20" fillId="0" borderId="0" xfId="0" applyFont="1"/>
    <xf numFmtId="172" fontId="13" fillId="0" borderId="0" xfId="0" applyNumberFormat="1" applyFont="1"/>
    <xf numFmtId="0" fontId="13" fillId="0" borderId="0" xfId="17" applyFont="1" applyFill="1" applyBorder="1" applyAlignment="1">
      <alignment vertical="center" wrapText="1"/>
    </xf>
    <xf numFmtId="165" fontId="13" fillId="0" borderId="0" xfId="1" applyNumberFormat="1" applyFont="1" applyFill="1"/>
    <xf numFmtId="10" fontId="13" fillId="0" borderId="0" xfId="18" applyFont="1" applyFill="1"/>
    <xf numFmtId="0" fontId="13" fillId="0" borderId="0" xfId="17" applyFont="1" applyAlignment="1">
      <alignment vertical="center"/>
    </xf>
    <xf numFmtId="165" fontId="13" fillId="0" borderId="0" xfId="17" applyNumberFormat="1" applyFont="1" applyAlignment="1">
      <alignment vertical="center"/>
    </xf>
    <xf numFmtId="0" fontId="13" fillId="0" borderId="0" xfId="17" applyFont="1" applyFill="1" applyAlignment="1">
      <alignment vertical="center"/>
    </xf>
    <xf numFmtId="165" fontId="13" fillId="0" borderId="0" xfId="17" applyNumberFormat="1" applyFont="1" applyFill="1" applyAlignment="1">
      <alignment vertical="center"/>
    </xf>
    <xf numFmtId="37" fontId="13" fillId="0" borderId="0" xfId="17" applyNumberFormat="1" applyFont="1" applyFill="1" applyAlignment="1">
      <alignment vertical="center"/>
    </xf>
    <xf numFmtId="37" fontId="13" fillId="0" borderId="0" xfId="17" applyNumberFormat="1" applyFont="1" applyAlignment="1">
      <alignment vertical="center"/>
    </xf>
    <xf numFmtId="165" fontId="11" fillId="0" borderId="0" xfId="17" applyNumberFormat="1" applyFont="1" applyAlignment="1">
      <alignment vertical="center"/>
    </xf>
    <xf numFmtId="0" fontId="11" fillId="0" borderId="0" xfId="17" applyFont="1" applyFill="1" applyAlignment="1">
      <alignment vertical="center"/>
    </xf>
    <xf numFmtId="165" fontId="11" fillId="0" borderId="0" xfId="17" applyNumberFormat="1" applyFont="1" applyFill="1" applyAlignment="1">
      <alignment vertical="center"/>
    </xf>
    <xf numFmtId="10" fontId="13" fillId="0" borderId="0" xfId="18" applyFont="1" applyAlignment="1">
      <alignment vertical="center"/>
    </xf>
    <xf numFmtId="10" fontId="13" fillId="0" borderId="0" xfId="18" applyFont="1" applyFill="1" applyAlignment="1">
      <alignment vertical="center"/>
    </xf>
    <xf numFmtId="166" fontId="13" fillId="0" borderId="0" xfId="18" applyNumberFormat="1" applyFont="1" applyFill="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10" fontId="13" fillId="0" borderId="0" xfId="18" applyFont="1" applyAlignment="1">
      <alignment vertical="center" wrapText="1"/>
    </xf>
    <xf numFmtId="0" fontId="13" fillId="0" borderId="0" xfId="0" applyFont="1" applyFill="1" applyAlignment="1">
      <alignment vertical="center" wrapText="1"/>
    </xf>
    <xf numFmtId="0" fontId="13" fillId="0" borderId="15" xfId="0" applyFont="1" applyBorder="1" applyAlignment="1">
      <alignment vertical="center" wrapText="1"/>
    </xf>
    <xf numFmtId="5" fontId="13" fillId="0" borderId="15" xfId="4" applyNumberFormat="1" applyFont="1" applyFill="1" applyBorder="1" applyAlignment="1">
      <alignment vertical="center" wrapText="1"/>
    </xf>
    <xf numFmtId="0" fontId="11" fillId="0" borderId="14" xfId="0" applyFont="1" applyBorder="1" applyAlignment="1">
      <alignment vertical="center" wrapText="1"/>
    </xf>
    <xf numFmtId="5" fontId="13" fillId="0" borderId="1" xfId="4" applyNumberFormat="1" applyFont="1" applyFill="1" applyBorder="1" applyAlignment="1">
      <alignment vertical="center" wrapText="1"/>
    </xf>
    <xf numFmtId="5" fontId="13" fillId="0" borderId="14" xfId="4" applyNumberFormat="1" applyFont="1" applyFill="1" applyBorder="1" applyAlignment="1">
      <alignment vertical="center" wrapText="1"/>
    </xf>
    <xf numFmtId="5" fontId="13" fillId="0" borderId="0" xfId="0" applyNumberFormat="1" applyFont="1" applyAlignment="1">
      <alignment vertical="center" wrapText="1"/>
    </xf>
    <xf numFmtId="0" fontId="13" fillId="0" borderId="15" xfId="0" applyFont="1" applyFill="1" applyBorder="1" applyAlignment="1">
      <alignment vertical="center" wrapText="1"/>
    </xf>
    <xf numFmtId="0" fontId="11" fillId="0" borderId="15" xfId="0" applyFont="1" applyFill="1" applyBorder="1" applyAlignment="1">
      <alignment vertical="center" wrapText="1"/>
    </xf>
    <xf numFmtId="165" fontId="13" fillId="0" borderId="15" xfId="4" applyNumberFormat="1" applyFont="1" applyFill="1" applyBorder="1" applyAlignment="1">
      <alignment vertical="center" wrapText="1"/>
    </xf>
    <xf numFmtId="0" fontId="11" fillId="0" borderId="0" xfId="0" applyFont="1" applyFill="1" applyAlignment="1">
      <alignment vertical="center" wrapText="1"/>
    </xf>
    <xf numFmtId="5" fontId="11" fillId="0" borderId="1" xfId="4" applyNumberFormat="1" applyFont="1" applyFill="1" applyBorder="1" applyAlignment="1">
      <alignment vertical="center" wrapText="1"/>
    </xf>
    <xf numFmtId="5" fontId="11" fillId="0" borderId="14" xfId="4" applyNumberFormat="1" applyFont="1" applyFill="1" applyBorder="1" applyAlignment="1">
      <alignment vertical="center" wrapText="1"/>
    </xf>
    <xf numFmtId="167" fontId="13" fillId="0" borderId="0" xfId="0" applyNumberFormat="1" applyFont="1" applyAlignment="1">
      <alignment vertical="center" wrapText="1"/>
    </xf>
    <xf numFmtId="5" fontId="13" fillId="0" borderId="0" xfId="4" applyFont="1" applyBorder="1" applyAlignment="1">
      <alignment vertical="center"/>
    </xf>
    <xf numFmtId="5" fontId="13" fillId="0" borderId="0" xfId="4" applyFont="1" applyBorder="1" applyAlignment="1">
      <alignment vertical="center" wrapText="1"/>
    </xf>
    <xf numFmtId="5" fontId="13" fillId="0" borderId="0" xfId="4" applyFont="1" applyAlignment="1">
      <alignment vertical="center" wrapText="1"/>
    </xf>
    <xf numFmtId="5" fontId="13" fillId="0" borderId="0" xfId="4" applyFont="1" applyAlignment="1">
      <alignment vertical="center"/>
    </xf>
    <xf numFmtId="5" fontId="13" fillId="0" borderId="0" xfId="4" applyNumberFormat="1" applyFont="1" applyAlignment="1">
      <alignment vertical="center" wrapText="1"/>
    </xf>
    <xf numFmtId="7" fontId="13" fillId="0" borderId="0" xfId="0" applyNumberFormat="1" applyFont="1" applyAlignment="1">
      <alignment vertical="center" wrapText="1"/>
    </xf>
    <xf numFmtId="175" fontId="13" fillId="0" borderId="0" xfId="0" applyNumberFormat="1" applyFont="1" applyAlignment="1">
      <alignment vertical="center" wrapText="1"/>
    </xf>
    <xf numFmtId="165" fontId="13" fillId="0" borderId="0" xfId="0" applyNumberFormat="1" applyFont="1" applyAlignment="1">
      <alignment vertical="center" wrapText="1"/>
    </xf>
    <xf numFmtId="6" fontId="13" fillId="0" borderId="0" xfId="0" applyNumberFormat="1" applyFont="1" applyAlignment="1">
      <alignment vertical="center" wrapText="1"/>
    </xf>
    <xf numFmtId="165" fontId="13" fillId="0" borderId="13" xfId="1" applyNumberFormat="1" applyFont="1" applyFill="1" applyBorder="1" applyAlignment="1">
      <alignment vertical="center"/>
    </xf>
    <xf numFmtId="37" fontId="13" fillId="0" borderId="13" xfId="1" applyNumberFormat="1" applyFont="1" applyFill="1" applyBorder="1" applyAlignment="1">
      <alignment vertical="center"/>
    </xf>
    <xf numFmtId="37" fontId="13" fillId="0" borderId="0" xfId="1" applyNumberFormat="1" applyFont="1" applyBorder="1" applyAlignment="1">
      <alignment vertical="center"/>
    </xf>
    <xf numFmtId="0" fontId="11" fillId="0" borderId="51" xfId="17" applyFont="1" applyBorder="1" applyAlignment="1">
      <alignment horizontal="center" vertical="center"/>
    </xf>
    <xf numFmtId="0" fontId="11" fillId="0" borderId="52" xfId="17" applyFont="1" applyFill="1" applyBorder="1" applyAlignment="1">
      <alignment horizontal="center" vertical="center"/>
    </xf>
    <xf numFmtId="169" fontId="13" fillId="0" borderId="24" xfId="17" applyNumberFormat="1" applyFont="1" applyBorder="1" applyAlignment="1">
      <alignment vertical="center"/>
    </xf>
    <xf numFmtId="165" fontId="13" fillId="0" borderId="22" xfId="1" applyNumberFormat="1" applyFont="1" applyFill="1" applyBorder="1" applyAlignment="1">
      <alignment horizontal="right" vertical="center"/>
    </xf>
    <xf numFmtId="0" fontId="11" fillId="0" borderId="53" xfId="17" applyFont="1" applyFill="1" applyBorder="1" applyAlignment="1">
      <alignment vertical="center"/>
    </xf>
    <xf numFmtId="165" fontId="11" fillId="0" borderId="54" xfId="1" applyNumberFormat="1" applyFont="1" applyFill="1" applyBorder="1" applyAlignment="1">
      <alignment horizontal="right" vertical="center"/>
    </xf>
    <xf numFmtId="169" fontId="11" fillId="0" borderId="53" xfId="17" applyNumberFormat="1" applyFont="1" applyBorder="1" applyAlignment="1">
      <alignment vertical="center"/>
    </xf>
    <xf numFmtId="165" fontId="11" fillId="0" borderId="54" xfId="1" applyNumberFormat="1" applyFont="1" applyFill="1" applyBorder="1" applyAlignment="1">
      <alignment vertical="center"/>
    </xf>
    <xf numFmtId="169" fontId="13" fillId="0" borderId="55" xfId="17" applyNumberFormat="1" applyFont="1" applyBorder="1" applyAlignment="1">
      <alignment vertical="center"/>
    </xf>
    <xf numFmtId="165" fontId="13" fillId="0" borderId="56" xfId="1" applyNumberFormat="1" applyFont="1" applyFill="1" applyBorder="1" applyAlignment="1">
      <alignment horizontal="right" vertical="center"/>
    </xf>
    <xf numFmtId="0" fontId="11" fillId="0" borderId="24" xfId="17" applyFont="1" applyFill="1" applyBorder="1" applyAlignment="1">
      <alignment wrapText="1"/>
    </xf>
    <xf numFmtId="165" fontId="11" fillId="0" borderId="22" xfId="1" applyNumberFormat="1" applyFont="1" applyFill="1" applyBorder="1" applyAlignment="1">
      <alignment vertical="center"/>
    </xf>
    <xf numFmtId="0" fontId="13" fillId="0" borderId="24" xfId="17" applyFont="1" applyFill="1" applyBorder="1" applyAlignment="1">
      <alignment vertical="center"/>
    </xf>
    <xf numFmtId="0" fontId="11" fillId="0" borderId="34" xfId="17" applyFont="1" applyFill="1" applyBorder="1" applyAlignment="1">
      <alignment vertical="center"/>
    </xf>
    <xf numFmtId="0" fontId="13" fillId="0" borderId="61" xfId="17" applyFont="1" applyFill="1" applyBorder="1" applyAlignment="1">
      <alignment vertical="center" wrapText="1"/>
    </xf>
    <xf numFmtId="0" fontId="11" fillId="0" borderId="16" xfId="17" applyFont="1" applyBorder="1" applyAlignment="1">
      <alignment horizontal="center" vertical="center" wrapText="1"/>
    </xf>
    <xf numFmtId="0" fontId="13" fillId="0" borderId="62" xfId="17" applyFont="1" applyBorder="1" applyAlignment="1">
      <alignment horizontal="center" vertical="center" wrapText="1"/>
    </xf>
    <xf numFmtId="0" fontId="13" fillId="0" borderId="16" xfId="17" applyFont="1" applyBorder="1" applyAlignment="1">
      <alignment horizontal="center" vertical="center" wrapText="1"/>
    </xf>
    <xf numFmtId="0" fontId="13" fillId="0" borderId="61" xfId="17" applyFont="1" applyFill="1" applyBorder="1" applyAlignment="1">
      <alignment vertical="center"/>
    </xf>
    <xf numFmtId="5" fontId="13" fillId="0" borderId="22" xfId="17" applyNumberFormat="1" applyFont="1" applyFill="1" applyBorder="1"/>
    <xf numFmtId="0" fontId="13" fillId="0" borderId="38" xfId="17" applyFont="1" applyFill="1" applyBorder="1" applyAlignment="1">
      <alignment vertical="center"/>
    </xf>
    <xf numFmtId="0" fontId="11" fillId="0" borderId="63" xfId="17" applyFont="1" applyFill="1" applyBorder="1" applyAlignment="1">
      <alignment vertical="center" wrapText="1"/>
    </xf>
    <xf numFmtId="5" fontId="11" fillId="0" borderId="64" xfId="17" applyNumberFormat="1" applyFont="1" applyFill="1" applyBorder="1"/>
    <xf numFmtId="5" fontId="13" fillId="0" borderId="0" xfId="1" applyNumberFormat="1" applyFont="1" applyFill="1" applyBorder="1" applyAlignment="1">
      <alignment horizontal="right"/>
    </xf>
    <xf numFmtId="0" fontId="13" fillId="0" borderId="68" xfId="17" applyFont="1" applyBorder="1" applyAlignment="1">
      <alignment horizontal="center" vertical="top"/>
    </xf>
    <xf numFmtId="0" fontId="13" fillId="0" borderId="61" xfId="17" applyFont="1" applyBorder="1" applyAlignment="1">
      <alignment vertical="center"/>
    </xf>
    <xf numFmtId="165" fontId="13" fillId="0" borderId="69" xfId="1" applyNumberFormat="1" applyFont="1" applyFill="1" applyBorder="1" applyAlignment="1">
      <alignment vertical="center"/>
    </xf>
    <xf numFmtId="0" fontId="13" fillId="0" borderId="38" xfId="17" applyFont="1" applyBorder="1" applyAlignment="1">
      <alignment vertical="center"/>
    </xf>
    <xf numFmtId="0" fontId="13" fillId="0" borderId="63" xfId="17" applyFont="1" applyFill="1" applyBorder="1" applyAlignment="1">
      <alignment vertical="center" wrapText="1"/>
    </xf>
    <xf numFmtId="0" fontId="13" fillId="0" borderId="60" xfId="17" applyFont="1" applyBorder="1" applyAlignment="1">
      <alignment horizontal="center" vertical="top"/>
    </xf>
    <xf numFmtId="0" fontId="11" fillId="0" borderId="70" xfId="17" applyFont="1" applyBorder="1" applyAlignment="1">
      <alignment horizontal="center" vertical="top" wrapText="1"/>
    </xf>
    <xf numFmtId="5" fontId="13" fillId="0" borderId="54" xfId="17" applyNumberFormat="1" applyFont="1" applyFill="1" applyBorder="1"/>
    <xf numFmtId="0" fontId="11" fillId="0" borderId="61" xfId="17" applyFont="1" applyBorder="1" applyAlignment="1">
      <alignment vertical="center"/>
    </xf>
    <xf numFmtId="5" fontId="11" fillId="0" borderId="22" xfId="17" applyNumberFormat="1" applyFont="1" applyFill="1" applyBorder="1"/>
    <xf numFmtId="0" fontId="11" fillId="0" borderId="63" xfId="17" applyFont="1" applyBorder="1" applyAlignment="1">
      <alignment vertical="center" wrapText="1"/>
    </xf>
    <xf numFmtId="5" fontId="13" fillId="0" borderId="64" xfId="17" applyNumberFormat="1" applyFont="1" applyFill="1" applyBorder="1"/>
    <xf numFmtId="5" fontId="13" fillId="0" borderId="32" xfId="17" applyNumberFormat="1" applyFont="1" applyFill="1" applyBorder="1"/>
    <xf numFmtId="0" fontId="13" fillId="0" borderId="0" xfId="17" applyFont="1" applyFill="1" applyBorder="1" applyAlignment="1">
      <alignment horizontal="left" vertical="center" wrapText="1"/>
    </xf>
    <xf numFmtId="37" fontId="13" fillId="5" borderId="15" xfId="1" applyNumberFormat="1" applyFont="1" applyFill="1" applyBorder="1" applyAlignment="1">
      <alignment horizontal="right" vertical="center"/>
    </xf>
    <xf numFmtId="165" fontId="13" fillId="0" borderId="0" xfId="18" applyNumberFormat="1" applyFont="1" applyFill="1" applyBorder="1" applyAlignment="1">
      <alignment vertical="center"/>
    </xf>
    <xf numFmtId="37" fontId="13" fillId="0" borderId="15" xfId="1" applyNumberFormat="1" applyFont="1" applyFill="1" applyBorder="1" applyAlignment="1">
      <alignment horizontal="right" vertical="center"/>
    </xf>
    <xf numFmtId="37" fontId="13" fillId="0" borderId="15" xfId="1" applyNumberFormat="1" applyFont="1" applyFill="1" applyBorder="1" applyAlignment="1">
      <alignment vertical="center"/>
    </xf>
    <xf numFmtId="37" fontId="23" fillId="0" borderId="0" xfId="0" applyNumberFormat="1" applyFont="1" applyBorder="1"/>
    <xf numFmtId="5" fontId="13" fillId="0" borderId="18" xfId="17" applyNumberFormat="1" applyFont="1" applyFill="1" applyBorder="1"/>
    <xf numFmtId="0" fontId="11" fillId="0" borderId="29" xfId="17" applyFont="1" applyBorder="1" applyAlignment="1">
      <alignment horizontal="center" vertical="center"/>
    </xf>
    <xf numFmtId="3" fontId="11" fillId="0" borderId="1" xfId="17" applyNumberFormat="1" applyFont="1" applyFill="1" applyBorder="1" applyAlignment="1">
      <alignment horizontal="center" vertical="center" wrapText="1"/>
    </xf>
    <xf numFmtId="0" fontId="11" fillId="0" borderId="30" xfId="17" applyFont="1" applyFill="1" applyBorder="1" applyAlignment="1">
      <alignment horizontal="center" vertical="center"/>
    </xf>
    <xf numFmtId="169" fontId="13" fillId="0" borderId="33" xfId="17" applyNumberFormat="1" applyFont="1" applyBorder="1" applyAlignment="1">
      <alignment vertical="center"/>
    </xf>
    <xf numFmtId="165" fontId="13" fillId="0" borderId="82" xfId="1" applyNumberFormat="1" applyFont="1" applyFill="1" applyBorder="1" applyAlignment="1">
      <alignment vertical="center"/>
    </xf>
    <xf numFmtId="165" fontId="13" fillId="0" borderId="83" xfId="1" applyNumberFormat="1" applyFont="1" applyFill="1" applyBorder="1" applyAlignment="1">
      <alignment horizontal="right" vertical="center"/>
    </xf>
    <xf numFmtId="5" fontId="13" fillId="0" borderId="0" xfId="18" applyNumberFormat="1" applyFont="1" applyAlignment="1">
      <alignment vertical="center" wrapText="1"/>
    </xf>
    <xf numFmtId="0" fontId="13" fillId="0" borderId="0" xfId="0" applyFont="1" applyAlignment="1">
      <alignment horizontal="center" vertical="center" wrapText="1"/>
    </xf>
    <xf numFmtId="165" fontId="0" fillId="0" borderId="0" xfId="0" applyNumberFormat="1"/>
    <xf numFmtId="0" fontId="11" fillId="0" borderId="24" xfId="17" applyFont="1" applyFill="1" applyBorder="1" applyAlignment="1">
      <alignment vertical="center" wrapText="1"/>
    </xf>
    <xf numFmtId="172" fontId="11" fillId="0" borderId="0" xfId="1" applyFont="1" applyFill="1" applyBorder="1" applyAlignment="1">
      <alignment vertical="center"/>
    </xf>
    <xf numFmtId="165" fontId="11" fillId="0" borderId="28" xfId="1" applyNumberFormat="1" applyFont="1" applyFill="1" applyBorder="1" applyAlignment="1">
      <alignment vertical="center"/>
    </xf>
    <xf numFmtId="172" fontId="11" fillId="0" borderId="28" xfId="1" applyFont="1" applyFill="1" applyBorder="1" applyAlignment="1">
      <alignment vertical="center"/>
    </xf>
    <xf numFmtId="0" fontId="13" fillId="0" borderId="0" xfId="28" applyFont="1" applyAlignment="1">
      <alignment vertical="center"/>
    </xf>
    <xf numFmtId="0" fontId="13" fillId="0" borderId="14" xfId="28" applyFont="1" applyBorder="1" applyAlignment="1">
      <alignment vertical="center"/>
    </xf>
    <xf numFmtId="0" fontId="11" fillId="0" borderId="14" xfId="28" applyFont="1" applyBorder="1" applyAlignment="1">
      <alignment vertical="center"/>
    </xf>
    <xf numFmtId="5" fontId="11" fillId="0" borderId="14" xfId="4" applyFont="1" applyBorder="1" applyAlignment="1">
      <alignment horizontal="center" vertical="center" wrapText="1"/>
    </xf>
    <xf numFmtId="0" fontId="13" fillId="0" borderId="38" xfId="0" applyFont="1" applyBorder="1" applyAlignment="1">
      <alignment horizontal="left" vertical="center" wrapText="1"/>
    </xf>
    <xf numFmtId="5" fontId="13" fillId="0" borderId="38" xfId="4" applyFont="1" applyFill="1" applyBorder="1" applyAlignment="1">
      <alignment vertical="center"/>
    </xf>
    <xf numFmtId="5" fontId="13" fillId="0" borderId="20" xfId="4" applyFont="1" applyFill="1" applyBorder="1" applyAlignment="1">
      <alignment vertical="center"/>
    </xf>
    <xf numFmtId="5" fontId="13" fillId="0" borderId="20" xfId="4" applyFont="1" applyBorder="1" applyAlignment="1">
      <alignment vertical="center"/>
    </xf>
    <xf numFmtId="5" fontId="13" fillId="0" borderId="81" xfId="4" applyFont="1" applyBorder="1" applyAlignment="1">
      <alignment vertical="center"/>
    </xf>
    <xf numFmtId="0" fontId="13" fillId="0" borderId="34" xfId="0" applyFont="1" applyBorder="1" applyAlignment="1">
      <alignment horizontal="left" vertical="center" wrapText="1"/>
    </xf>
    <xf numFmtId="5" fontId="13" fillId="0" borderId="34" xfId="4" applyFont="1" applyFill="1" applyBorder="1" applyAlignment="1">
      <alignment vertical="center"/>
    </xf>
    <xf numFmtId="5" fontId="13" fillId="0" borderId="3" xfId="4" applyFont="1" applyFill="1" applyBorder="1" applyAlignment="1">
      <alignment vertical="center"/>
    </xf>
    <xf numFmtId="5" fontId="13" fillId="0" borderId="3" xfId="4" applyFont="1" applyBorder="1" applyAlignment="1">
      <alignment vertical="center"/>
    </xf>
    <xf numFmtId="5" fontId="13" fillId="0" borderId="74" xfId="4" applyFont="1" applyBorder="1" applyAlignment="1">
      <alignment vertical="center"/>
    </xf>
    <xf numFmtId="0" fontId="13" fillId="0" borderId="76" xfId="0" applyFont="1" applyBorder="1" applyAlignment="1">
      <alignment horizontal="left" vertical="center" wrapText="1"/>
    </xf>
    <xf numFmtId="5" fontId="13" fillId="0" borderId="76" xfId="4" applyFont="1" applyFill="1" applyBorder="1" applyAlignment="1">
      <alignment vertical="center"/>
    </xf>
    <xf numFmtId="5" fontId="13" fillId="0" borderId="77" xfId="4" applyFont="1" applyFill="1" applyBorder="1" applyAlignment="1">
      <alignment vertical="center"/>
    </xf>
    <xf numFmtId="5" fontId="13" fillId="0" borderId="77" xfId="4" applyFont="1" applyBorder="1" applyAlignment="1">
      <alignment vertical="center"/>
    </xf>
    <xf numFmtId="5" fontId="13" fillId="0" borderId="75" xfId="4" applyFont="1" applyBorder="1" applyAlignment="1">
      <alignment vertical="center"/>
    </xf>
    <xf numFmtId="0" fontId="11" fillId="0" borderId="21" xfId="28" applyFont="1" applyBorder="1" applyAlignment="1">
      <alignment vertical="center" wrapText="1"/>
    </xf>
    <xf numFmtId="5" fontId="11" fillId="0" borderId="79" xfId="4" applyFont="1" applyFill="1" applyBorder="1" applyAlignment="1">
      <alignment vertical="center"/>
    </xf>
    <xf numFmtId="5" fontId="11" fillId="0" borderId="79" xfId="4" applyFont="1" applyBorder="1" applyAlignment="1">
      <alignment vertical="center"/>
    </xf>
    <xf numFmtId="5" fontId="11" fillId="0" borderId="21" xfId="4" applyFont="1" applyBorder="1" applyAlignment="1">
      <alignment vertical="center"/>
    </xf>
    <xf numFmtId="0" fontId="13" fillId="0" borderId="81" xfId="28" applyFont="1" applyFill="1" applyBorder="1" applyAlignment="1">
      <alignment vertical="center" wrapText="1"/>
    </xf>
    <xf numFmtId="5" fontId="13" fillId="0" borderId="81" xfId="4" applyFont="1" applyFill="1" applyBorder="1" applyAlignment="1">
      <alignment vertical="center"/>
    </xf>
    <xf numFmtId="0" fontId="13" fillId="0" borderId="75" xfId="28" applyFont="1" applyFill="1" applyBorder="1" applyAlignment="1">
      <alignment vertical="center" wrapText="1"/>
    </xf>
    <xf numFmtId="5" fontId="13" fillId="0" borderId="75" xfId="4" applyFont="1" applyFill="1" applyBorder="1" applyAlignment="1">
      <alignment vertical="center"/>
    </xf>
    <xf numFmtId="0" fontId="13" fillId="0" borderId="0" xfId="29" applyFont="1"/>
    <xf numFmtId="0" fontId="11" fillId="0" borderId="21" xfId="28" applyFont="1" applyFill="1" applyBorder="1" applyAlignment="1">
      <alignment vertical="center" wrapText="1"/>
    </xf>
    <xf numFmtId="5" fontId="11" fillId="0" borderId="61" xfId="4" applyFont="1" applyFill="1" applyBorder="1" applyAlignment="1">
      <alignment vertical="center"/>
    </xf>
    <xf numFmtId="5" fontId="11" fillId="0" borderId="18" xfId="4" applyFont="1" applyFill="1" applyBorder="1" applyAlignment="1">
      <alignment vertical="center"/>
    </xf>
    <xf numFmtId="5" fontId="11" fillId="0" borderId="15" xfId="4" applyFont="1" applyFill="1" applyBorder="1" applyAlignment="1">
      <alignment vertical="center"/>
    </xf>
    <xf numFmtId="5" fontId="11" fillId="0" borderId="40" xfId="4" applyFont="1" applyBorder="1" applyAlignment="1">
      <alignment vertical="center"/>
    </xf>
    <xf numFmtId="5" fontId="11" fillId="0" borderId="73" xfId="4" applyFont="1" applyBorder="1" applyAlignment="1">
      <alignment vertical="center"/>
    </xf>
    <xf numFmtId="5" fontId="11" fillId="0" borderId="73" xfId="4" applyFont="1" applyFill="1" applyBorder="1" applyAlignment="1">
      <alignment vertical="center"/>
    </xf>
    <xf numFmtId="5" fontId="11" fillId="0" borderId="14" xfId="4" applyFont="1" applyBorder="1" applyAlignment="1">
      <alignment vertical="center"/>
    </xf>
    <xf numFmtId="5" fontId="13" fillId="0" borderId="0" xfId="28" applyNumberFormat="1" applyFont="1" applyAlignment="1">
      <alignment vertical="center"/>
    </xf>
    <xf numFmtId="10" fontId="13" fillId="0" borderId="0" xfId="18" applyNumberFormat="1" applyFont="1" applyAlignment="1">
      <alignment vertical="center" wrapText="1"/>
    </xf>
    <xf numFmtId="5" fontId="11" fillId="0" borderId="22" xfId="4" applyNumberFormat="1" applyFont="1" applyBorder="1" applyAlignment="1">
      <alignment vertical="center" wrapText="1"/>
    </xf>
    <xf numFmtId="0" fontId="10" fillId="0" borderId="0" xfId="17" applyFont="1" applyFill="1" applyBorder="1" applyAlignment="1">
      <alignment horizontal="left" vertical="center" wrapText="1"/>
    </xf>
    <xf numFmtId="0" fontId="0" fillId="0" borderId="0" xfId="0" applyBorder="1" applyAlignment="1">
      <alignment horizontal="left"/>
    </xf>
    <xf numFmtId="0" fontId="3" fillId="0" borderId="0" xfId="0" applyFont="1"/>
    <xf numFmtId="0" fontId="11" fillId="0" borderId="0" xfId="17" applyFont="1" applyFill="1" applyBorder="1" applyAlignment="1">
      <alignment horizontal="center" vertical="center"/>
    </xf>
    <xf numFmtId="0" fontId="0" fillId="0" borderId="0" xfId="0" applyBorder="1"/>
    <xf numFmtId="0" fontId="10" fillId="0" borderId="0" xfId="17" applyFont="1" applyFill="1" applyBorder="1" applyAlignment="1">
      <alignment horizontal="left" vertical="center"/>
    </xf>
    <xf numFmtId="0" fontId="13" fillId="0" borderId="27" xfId="0" applyFont="1" applyBorder="1"/>
    <xf numFmtId="0" fontId="13" fillId="0" borderId="15" xfId="0" applyFont="1" applyBorder="1"/>
    <xf numFmtId="0" fontId="13" fillId="0" borderId="95" xfId="0" applyFont="1" applyBorder="1"/>
    <xf numFmtId="37" fontId="13" fillId="0" borderId="16" xfId="0" applyNumberFormat="1" applyFont="1" applyBorder="1"/>
    <xf numFmtId="37" fontId="13" fillId="0" borderId="91" xfId="0" applyNumberFormat="1" applyFont="1" applyBorder="1"/>
    <xf numFmtId="37" fontId="13" fillId="0" borderId="31" xfId="0" applyNumberFormat="1" applyFont="1" applyBorder="1"/>
    <xf numFmtId="37" fontId="13" fillId="0" borderId="92" xfId="0" applyNumberFormat="1" applyFont="1" applyBorder="1"/>
    <xf numFmtId="37" fontId="13" fillId="0" borderId="22" xfId="0" applyNumberFormat="1" applyFont="1" applyBorder="1"/>
    <xf numFmtId="37" fontId="13" fillId="0" borderId="82" xfId="0" applyNumberFormat="1" applyFont="1" applyBorder="1"/>
    <xf numFmtId="37" fontId="13" fillId="0" borderId="93" xfId="0" applyNumberFormat="1" applyFont="1" applyBorder="1"/>
    <xf numFmtId="37" fontId="13" fillId="0" borderId="83" xfId="0" applyNumberFormat="1" applyFont="1" applyBorder="1"/>
    <xf numFmtId="0" fontId="11" fillId="0" borderId="21" xfId="0" applyFont="1" applyBorder="1"/>
    <xf numFmtId="37" fontId="11" fillId="0" borderId="28" xfId="0" applyNumberFormat="1" applyFont="1" applyBorder="1"/>
    <xf numFmtId="37" fontId="11" fillId="0" borderId="94" xfId="0" applyNumberFormat="1" applyFont="1" applyBorder="1"/>
    <xf numFmtId="37" fontId="11" fillId="0" borderId="32" xfId="0" applyNumberFormat="1" applyFont="1" applyBorder="1"/>
    <xf numFmtId="37" fontId="11" fillId="0" borderId="1" xfId="0" applyNumberFormat="1" applyFont="1" applyBorder="1"/>
    <xf numFmtId="37" fontId="11" fillId="0" borderId="96" xfId="0" applyNumberFormat="1" applyFont="1" applyBorder="1"/>
    <xf numFmtId="37" fontId="0" fillId="0" borderId="0" xfId="0" applyNumberFormat="1"/>
    <xf numFmtId="0" fontId="13" fillId="0" borderId="0" xfId="0" applyFont="1"/>
    <xf numFmtId="0" fontId="13" fillId="0" borderId="0" xfId="0" applyFont="1"/>
    <xf numFmtId="0" fontId="10" fillId="0" borderId="0" xfId="0" applyFont="1" applyFill="1" applyBorder="1" applyAlignment="1">
      <alignment horizontal="left"/>
    </xf>
    <xf numFmtId="0" fontId="13" fillId="0" borderId="0" xfId="0" applyFont="1"/>
    <xf numFmtId="5" fontId="11" fillId="0" borderId="0" xfId="0" applyNumberFormat="1" applyFont="1" applyBorder="1"/>
    <xf numFmtId="0" fontId="13" fillId="0" borderId="0" xfId="0" applyFont="1" applyFill="1" applyBorder="1" applyAlignment="1">
      <alignment horizontal="center" vertical="center" wrapText="1"/>
    </xf>
    <xf numFmtId="0" fontId="11" fillId="0" borderId="0" xfId="17" applyFont="1" applyFill="1" applyBorder="1" applyAlignment="1">
      <alignment horizontal="center" vertical="top" wrapText="1"/>
    </xf>
    <xf numFmtId="5" fontId="13" fillId="0" borderId="0" xfId="17" applyNumberFormat="1" applyFont="1" applyFill="1" applyBorder="1"/>
    <xf numFmtId="5" fontId="13" fillId="0" borderId="0" xfId="1" applyNumberFormat="1" applyFont="1" applyFill="1" applyBorder="1"/>
    <xf numFmtId="5" fontId="11" fillId="0" borderId="0" xfId="1" applyNumberFormat="1" applyFont="1" applyFill="1" applyBorder="1" applyAlignment="1"/>
    <xf numFmtId="0" fontId="10" fillId="0" borderId="0" xfId="0" applyFont="1" applyFill="1" applyBorder="1" applyAlignment="1">
      <alignment wrapText="1"/>
    </xf>
    <xf numFmtId="0" fontId="11" fillId="6" borderId="26" xfId="0" applyFont="1" applyFill="1" applyBorder="1" applyAlignment="1">
      <alignment horizontal="center" vertical="center"/>
    </xf>
    <xf numFmtId="0" fontId="11" fillId="6" borderId="32" xfId="0" applyFont="1" applyFill="1" applyBorder="1"/>
    <xf numFmtId="37" fontId="11" fillId="6" borderId="28" xfId="0" applyNumberFormat="1" applyFont="1" applyFill="1" applyBorder="1"/>
    <xf numFmtId="37" fontId="11" fillId="6" borderId="96" xfId="0" applyNumberFormat="1" applyFont="1" applyFill="1" applyBorder="1"/>
    <xf numFmtId="176" fontId="13" fillId="0" borderId="0" xfId="17" applyNumberFormat="1" applyFont="1" applyFill="1" applyAlignment="1">
      <alignment vertical="center"/>
    </xf>
    <xf numFmtId="176" fontId="13" fillId="0" borderId="0" xfId="0" applyNumberFormat="1" applyFont="1"/>
    <xf numFmtId="0" fontId="13" fillId="0" borderId="0" xfId="0" applyFont="1"/>
    <xf numFmtId="0" fontId="13" fillId="0" borderId="0" xfId="0" applyFont="1"/>
    <xf numFmtId="165" fontId="13" fillId="0" borderId="5" xfId="0" applyNumberFormat="1" applyFont="1" applyFill="1" applyBorder="1"/>
    <xf numFmtId="165" fontId="13" fillId="0" borderId="0" xfId="0" applyNumberFormat="1" applyFont="1" applyFill="1" applyBorder="1"/>
    <xf numFmtId="5" fontId="13" fillId="0" borderId="0" xfId="0" applyNumberFormat="1" applyFont="1" applyBorder="1" applyAlignment="1">
      <alignment vertical="top" wrapText="1"/>
    </xf>
    <xf numFmtId="10" fontId="13" fillId="0" borderId="0" xfId="17" applyNumberFormat="1" applyFont="1"/>
    <xf numFmtId="5" fontId="13" fillId="0" borderId="20" xfId="17" applyNumberFormat="1" applyFont="1" applyFill="1" applyBorder="1"/>
    <xf numFmtId="37" fontId="13" fillId="0" borderId="82" xfId="1" applyNumberFormat="1" applyFont="1" applyBorder="1" applyAlignment="1">
      <alignment vertical="center"/>
    </xf>
    <xf numFmtId="7" fontId="13" fillId="0" borderId="0" xfId="17" applyNumberFormat="1" applyFont="1"/>
    <xf numFmtId="5" fontId="13" fillId="0" borderId="0" xfId="17" applyNumberFormat="1" applyFont="1" applyBorder="1"/>
    <xf numFmtId="177" fontId="13" fillId="0" borderId="0" xfId="18" applyNumberFormat="1" applyFont="1" applyFill="1" applyAlignment="1">
      <alignment vertical="center"/>
    </xf>
    <xf numFmtId="178" fontId="11" fillId="0" borderId="40" xfId="4" quotePrefix="1" applyNumberFormat="1" applyFont="1" applyBorder="1" applyAlignment="1">
      <alignment horizontal="center" vertical="center" wrapText="1"/>
    </xf>
    <xf numFmtId="178" fontId="11" fillId="0" borderId="73" xfId="4" quotePrefix="1" applyNumberFormat="1" applyFont="1" applyBorder="1" applyAlignment="1">
      <alignment horizontal="center" vertical="center" wrapText="1"/>
    </xf>
    <xf numFmtId="0" fontId="13" fillId="0" borderId="27" xfId="0" applyFont="1" applyFill="1" applyBorder="1" applyAlignment="1">
      <alignment vertical="center" wrapText="1"/>
    </xf>
    <xf numFmtId="165" fontId="13" fillId="0" borderId="16" xfId="1" applyNumberFormat="1" applyFont="1" applyFill="1" applyBorder="1" applyAlignment="1">
      <alignment vertical="center"/>
    </xf>
    <xf numFmtId="165" fontId="13" fillId="0" borderId="27" xfId="1" applyNumberFormat="1" applyFont="1" applyFill="1" applyBorder="1" applyAlignment="1">
      <alignment vertical="center"/>
    </xf>
    <xf numFmtId="165" fontId="13" fillId="0" borderId="26" xfId="1" applyNumberFormat="1" applyFont="1" applyFill="1" applyBorder="1" applyAlignment="1">
      <alignment vertical="center"/>
    </xf>
    <xf numFmtId="165" fontId="13" fillId="0" borderId="28" xfId="1" applyNumberFormat="1" applyFont="1" applyFill="1" applyBorder="1" applyAlignment="1">
      <alignment vertical="center"/>
    </xf>
    <xf numFmtId="0" fontId="23" fillId="0" borderId="0" xfId="0" applyFont="1" applyBorder="1"/>
    <xf numFmtId="165" fontId="13" fillId="0" borderId="18" xfId="1" applyNumberFormat="1" applyFont="1" applyFill="1" applyBorder="1" applyAlignment="1">
      <alignment vertical="center"/>
    </xf>
    <xf numFmtId="0" fontId="13" fillId="0" borderId="27" xfId="0" applyFont="1" applyBorder="1" applyAlignment="1">
      <alignment vertical="center" wrapText="1"/>
    </xf>
    <xf numFmtId="5" fontId="13" fillId="0" borderId="6" xfId="4" applyFont="1" applyFill="1" applyBorder="1" applyAlignment="1"/>
    <xf numFmtId="0" fontId="11" fillId="4" borderId="24" xfId="17" applyFont="1" applyFill="1" applyBorder="1" applyAlignment="1">
      <alignment vertical="center" wrapText="1"/>
    </xf>
    <xf numFmtId="0" fontId="11" fillId="4" borderId="26" xfId="17" applyFont="1" applyFill="1" applyBorder="1" applyAlignment="1">
      <alignment vertical="center" wrapText="1"/>
    </xf>
    <xf numFmtId="165" fontId="13" fillId="0" borderId="0" xfId="1" applyNumberFormat="1" applyFont="1" applyFill="1" applyBorder="1" applyAlignment="1">
      <alignment horizontal="left" vertical="center"/>
    </xf>
    <xf numFmtId="0" fontId="11" fillId="6" borderId="29" xfId="17" applyFont="1" applyFill="1" applyBorder="1" applyAlignment="1">
      <alignment vertical="center"/>
    </xf>
    <xf numFmtId="0" fontId="0" fillId="6" borderId="1" xfId="0" applyFill="1" applyBorder="1"/>
    <xf numFmtId="0" fontId="0" fillId="6" borderId="30" xfId="0" applyFill="1" applyBorder="1"/>
    <xf numFmtId="0" fontId="10" fillId="0" borderId="0" xfId="0" applyFont="1" applyFill="1" applyBorder="1" applyAlignment="1">
      <alignment horizontal="left" wrapText="1"/>
    </xf>
    <xf numFmtId="0" fontId="11" fillId="0" borderId="26" xfId="0" applyFont="1" applyFill="1" applyBorder="1" applyAlignment="1">
      <alignment horizontal="left" vertical="center" wrapText="1"/>
    </xf>
    <xf numFmtId="7" fontId="13" fillId="0" borderId="0" xfId="0" applyNumberFormat="1" applyFont="1"/>
    <xf numFmtId="0" fontId="18" fillId="0" borderId="0" xfId="30" applyFont="1" applyAlignment="1">
      <alignment vertical="center"/>
    </xf>
    <xf numFmtId="0" fontId="26" fillId="6" borderId="14" xfId="30" applyFont="1" applyFill="1" applyBorder="1" applyAlignment="1">
      <alignment horizontal="center" vertical="center"/>
    </xf>
    <xf numFmtId="17" fontId="26" fillId="0" borderId="40" xfId="30" applyNumberFormat="1" applyFont="1" applyBorder="1" applyAlignment="1">
      <alignment horizontal="center" vertical="center"/>
    </xf>
    <xf numFmtId="17" fontId="26" fillId="0" borderId="73" xfId="30" applyNumberFormat="1" applyFont="1" applyBorder="1" applyAlignment="1">
      <alignment horizontal="center" vertical="center"/>
    </xf>
    <xf numFmtId="17" fontId="26" fillId="0" borderId="41" xfId="30" applyNumberFormat="1" applyFont="1" applyBorder="1" applyAlignment="1">
      <alignment horizontal="center" vertical="center"/>
    </xf>
    <xf numFmtId="0" fontId="18" fillId="0" borderId="0" xfId="30" applyFont="1" applyAlignment="1">
      <alignment vertical="center" wrapText="1"/>
    </xf>
    <xf numFmtId="0" fontId="18" fillId="0" borderId="43" xfId="30" applyFont="1" applyBorder="1" applyAlignment="1">
      <alignment horizontal="left" vertical="center" wrapText="1"/>
    </xf>
    <xf numFmtId="5" fontId="18" fillId="0" borderId="42" xfId="30" applyNumberFormat="1" applyFont="1" applyFill="1" applyBorder="1" applyAlignment="1">
      <alignment horizontal="right" vertical="center"/>
    </xf>
    <xf numFmtId="5" fontId="26" fillId="0" borderId="43" xfId="30" applyNumberFormat="1" applyFont="1" applyFill="1" applyBorder="1" applyAlignment="1">
      <alignment horizontal="right" vertical="center"/>
    </xf>
    <xf numFmtId="0" fontId="18" fillId="0" borderId="35" xfId="30" applyFont="1" applyBorder="1" applyAlignment="1">
      <alignment horizontal="left" vertical="center" wrapText="1"/>
    </xf>
    <xf numFmtId="5" fontId="18" fillId="0" borderId="3" xfId="30" applyNumberFormat="1" applyFont="1" applyFill="1" applyBorder="1" applyAlignment="1">
      <alignment horizontal="right" vertical="center"/>
    </xf>
    <xf numFmtId="5" fontId="26" fillId="0" borderId="35" xfId="30" applyNumberFormat="1" applyFont="1" applyFill="1" applyBorder="1" applyAlignment="1">
      <alignment horizontal="right" vertical="center"/>
    </xf>
    <xf numFmtId="0" fontId="18" fillId="0" borderId="78" xfId="30" applyFont="1" applyBorder="1" applyAlignment="1">
      <alignment horizontal="left" vertical="center" wrapText="1"/>
    </xf>
    <xf numFmtId="5" fontId="18" fillId="0" borderId="77" xfId="30" applyNumberFormat="1" applyFont="1" applyFill="1" applyBorder="1" applyAlignment="1">
      <alignment horizontal="right" vertical="center"/>
    </xf>
    <xf numFmtId="5" fontId="26" fillId="0" borderId="78" xfId="30" applyNumberFormat="1" applyFont="1" applyFill="1" applyBorder="1" applyAlignment="1">
      <alignment horizontal="right" vertical="center"/>
    </xf>
    <xf numFmtId="0" fontId="26" fillId="0" borderId="100" xfId="30" applyFont="1" applyBorder="1" applyAlignment="1">
      <alignment horizontal="left" vertical="center" wrapText="1"/>
    </xf>
    <xf numFmtId="5" fontId="18" fillId="0" borderId="101" xfId="30" applyNumberFormat="1" applyFont="1" applyFill="1" applyBorder="1" applyAlignment="1">
      <alignment horizontal="right" vertical="center"/>
    </xf>
    <xf numFmtId="0" fontId="26" fillId="0" borderId="102" xfId="30" applyFont="1" applyBorder="1" applyAlignment="1">
      <alignment horizontal="left" vertical="center" wrapText="1"/>
    </xf>
    <xf numFmtId="5" fontId="26" fillId="0" borderId="103" xfId="30" applyNumberFormat="1" applyFont="1" applyFill="1" applyBorder="1" applyAlignment="1">
      <alignment horizontal="right" vertical="center"/>
    </xf>
    <xf numFmtId="5" fontId="18" fillId="0" borderId="20" xfId="30" applyNumberFormat="1" applyFont="1" applyFill="1" applyBorder="1" applyAlignment="1">
      <alignment horizontal="right" vertical="center"/>
    </xf>
    <xf numFmtId="5" fontId="26" fillId="0" borderId="39" xfId="30" applyNumberFormat="1" applyFont="1" applyFill="1" applyBorder="1" applyAlignment="1">
      <alignment horizontal="right" vertical="center"/>
    </xf>
    <xf numFmtId="5" fontId="26" fillId="0" borderId="20" xfId="30" applyNumberFormat="1" applyFont="1" applyFill="1" applyBorder="1" applyAlignment="1">
      <alignment horizontal="right" vertical="center"/>
    </xf>
    <xf numFmtId="37" fontId="18" fillId="0" borderId="3" xfId="30" applyNumberFormat="1" applyFont="1" applyFill="1" applyBorder="1" applyAlignment="1">
      <alignment horizontal="right" vertical="center"/>
    </xf>
    <xf numFmtId="37" fontId="26" fillId="0" borderId="35" xfId="30" applyNumberFormat="1" applyFont="1" applyFill="1" applyBorder="1" applyAlignment="1">
      <alignment horizontal="right" vertical="center"/>
    </xf>
    <xf numFmtId="7" fontId="18" fillId="0" borderId="36" xfId="30" applyNumberFormat="1" applyFont="1" applyBorder="1" applyAlignment="1">
      <alignment horizontal="right" vertical="center"/>
    </xf>
    <xf numFmtId="7" fontId="18" fillId="0" borderId="44" xfId="30" applyNumberFormat="1" applyFont="1" applyBorder="1" applyAlignment="1">
      <alignment horizontal="right" vertical="center"/>
    </xf>
    <xf numFmtId="7" fontId="18" fillId="0" borderId="44" xfId="30" applyNumberFormat="1" applyFont="1" applyFill="1" applyBorder="1" applyAlignment="1">
      <alignment horizontal="right" vertical="center"/>
    </xf>
    <xf numFmtId="7" fontId="18" fillId="0" borderId="37" xfId="30" applyNumberFormat="1" applyFont="1" applyFill="1" applyBorder="1" applyAlignment="1">
      <alignment horizontal="right" vertical="center"/>
    </xf>
    <xf numFmtId="0" fontId="26" fillId="0" borderId="80" xfId="30" applyFont="1" applyBorder="1" applyAlignment="1">
      <alignment horizontal="left" vertical="center" wrapText="1"/>
    </xf>
    <xf numFmtId="5" fontId="26" fillId="0" borderId="79" xfId="30" applyNumberFormat="1" applyFont="1" applyFill="1" applyBorder="1" applyAlignment="1">
      <alignment horizontal="right" vertical="center"/>
    </xf>
    <xf numFmtId="0" fontId="26" fillId="0" borderId="43" xfId="30" applyFont="1" applyBorder="1" applyAlignment="1">
      <alignment horizontal="left" vertical="center" wrapText="1"/>
    </xf>
    <xf numFmtId="0" fontId="26" fillId="0" borderId="35" xfId="30" applyFont="1" applyBorder="1" applyAlignment="1">
      <alignment horizontal="left" vertical="center" wrapText="1"/>
    </xf>
    <xf numFmtId="0" fontId="26" fillId="0" borderId="78" xfId="30" applyFont="1" applyBorder="1" applyAlignment="1">
      <alignment horizontal="left" vertical="center" wrapText="1"/>
    </xf>
    <xf numFmtId="0" fontId="26" fillId="0" borderId="39" xfId="30" applyFont="1" applyBorder="1" applyAlignment="1">
      <alignment horizontal="left" vertical="center" wrapText="1"/>
    </xf>
    <xf numFmtId="0" fontId="18" fillId="0" borderId="0" xfId="30" applyFont="1" applyAlignment="1">
      <alignment horizontal="center" vertical="center"/>
    </xf>
    <xf numFmtId="17" fontId="26" fillId="0" borderId="30" xfId="30" applyNumberFormat="1" applyFont="1" applyBorder="1" applyAlignment="1">
      <alignment horizontal="center" vertical="center"/>
    </xf>
    <xf numFmtId="5" fontId="26" fillId="0" borderId="50" xfId="30" applyNumberFormat="1" applyFont="1" applyFill="1" applyBorder="1" applyAlignment="1">
      <alignment horizontal="right" vertical="center"/>
    </xf>
    <xf numFmtId="5" fontId="26" fillId="0" borderId="52" xfId="30" applyNumberFormat="1" applyFont="1" applyFill="1" applyBorder="1" applyAlignment="1">
      <alignment horizontal="right" vertical="center"/>
    </xf>
    <xf numFmtId="5" fontId="26" fillId="0" borderId="105" xfId="30" applyNumberFormat="1" applyFont="1" applyFill="1" applyBorder="1" applyAlignment="1">
      <alignment horizontal="right" vertical="center"/>
    </xf>
    <xf numFmtId="5" fontId="26" fillId="0" borderId="83" xfId="30" applyNumberFormat="1" applyFont="1" applyFill="1" applyBorder="1" applyAlignment="1">
      <alignment horizontal="right" vertical="center"/>
    </xf>
    <xf numFmtId="5" fontId="26" fillId="0" borderId="23" xfId="30" applyNumberFormat="1" applyFont="1" applyFill="1" applyBorder="1" applyAlignment="1">
      <alignment horizontal="right" vertical="center"/>
    </xf>
    <xf numFmtId="5" fontId="26" fillId="0" borderId="54" xfId="30" applyNumberFormat="1" applyFont="1" applyFill="1" applyBorder="1" applyAlignment="1">
      <alignment horizontal="right" vertical="center"/>
    </xf>
    <xf numFmtId="37" fontId="26" fillId="0" borderId="52" xfId="30" applyNumberFormat="1" applyFont="1" applyFill="1" applyBorder="1" applyAlignment="1">
      <alignment horizontal="right" vertical="center"/>
    </xf>
    <xf numFmtId="5" fontId="26" fillId="0" borderId="32" xfId="30" applyNumberFormat="1" applyFont="1" applyFill="1" applyBorder="1" applyAlignment="1">
      <alignment horizontal="right" vertical="center"/>
    </xf>
    <xf numFmtId="17" fontId="26" fillId="0" borderId="108" xfId="30" applyNumberFormat="1" applyFont="1" applyBorder="1" applyAlignment="1">
      <alignment horizontal="center" vertical="center"/>
    </xf>
    <xf numFmtId="5" fontId="18" fillId="0" borderId="109" xfId="30" applyNumberFormat="1" applyFont="1" applyFill="1" applyBorder="1" applyAlignment="1">
      <alignment horizontal="right" vertical="center"/>
    </xf>
    <xf numFmtId="5" fontId="18" fillId="0" borderId="110" xfId="30" applyNumberFormat="1" applyFont="1" applyFill="1" applyBorder="1" applyAlignment="1">
      <alignment horizontal="right" vertical="center"/>
    </xf>
    <xf numFmtId="5" fontId="18" fillId="0" borderId="111" xfId="30" applyNumberFormat="1" applyFont="1" applyFill="1" applyBorder="1" applyAlignment="1">
      <alignment horizontal="right" vertical="center"/>
    </xf>
    <xf numFmtId="5" fontId="18" fillId="0" borderId="112" xfId="30" applyNumberFormat="1" applyFont="1" applyFill="1" applyBorder="1" applyAlignment="1">
      <alignment horizontal="right" vertical="center"/>
    </xf>
    <xf numFmtId="5" fontId="26" fillId="0" borderId="113" xfId="30" applyNumberFormat="1" applyFont="1" applyFill="1" applyBorder="1" applyAlignment="1">
      <alignment horizontal="right" vertical="center"/>
    </xf>
    <xf numFmtId="5" fontId="18" fillId="0" borderId="114" xfId="30" applyNumberFormat="1" applyFont="1" applyFill="1" applyBorder="1" applyAlignment="1">
      <alignment horizontal="right" vertical="center"/>
    </xf>
    <xf numFmtId="5" fontId="26" fillId="0" borderId="114" xfId="30" applyNumberFormat="1" applyFont="1" applyFill="1" applyBorder="1" applyAlignment="1">
      <alignment horizontal="right" vertical="center"/>
    </xf>
    <xf numFmtId="37" fontId="18" fillId="0" borderId="110" xfId="30" applyNumberFormat="1" applyFont="1" applyFill="1" applyBorder="1" applyAlignment="1">
      <alignment horizontal="right" vertical="center"/>
    </xf>
    <xf numFmtId="7" fontId="18" fillId="0" borderId="115" xfId="30" applyNumberFormat="1" applyFont="1" applyFill="1" applyBorder="1" applyAlignment="1">
      <alignment horizontal="right" vertical="center"/>
    </xf>
    <xf numFmtId="5" fontId="26" fillId="0" borderId="116" xfId="30" applyNumberFormat="1" applyFont="1" applyFill="1" applyBorder="1" applyAlignment="1">
      <alignment horizontal="right" vertical="center"/>
    </xf>
    <xf numFmtId="7" fontId="26" fillId="0" borderId="107" xfId="30" applyNumberFormat="1" applyFont="1" applyFill="1" applyBorder="1" applyAlignment="1">
      <alignment horizontal="right" vertical="center"/>
    </xf>
    <xf numFmtId="5" fontId="11" fillId="0" borderId="3" xfId="17" applyNumberFormat="1" applyFont="1" applyFill="1" applyBorder="1"/>
    <xf numFmtId="165" fontId="13" fillId="0" borderId="12" xfId="1" applyNumberFormat="1" applyFont="1" applyFill="1" applyBorder="1" applyAlignment="1">
      <alignment vertical="center"/>
    </xf>
    <xf numFmtId="165" fontId="11" fillId="0" borderId="2" xfId="1" applyNumberFormat="1" applyFont="1" applyFill="1" applyBorder="1" applyAlignment="1">
      <alignment vertical="center"/>
    </xf>
    <xf numFmtId="0" fontId="13" fillId="0" borderId="117" xfId="17" applyFont="1" applyBorder="1" applyAlignment="1">
      <alignment horizontal="center" vertical="center" wrapText="1"/>
    </xf>
    <xf numFmtId="165" fontId="13" fillId="0" borderId="39" xfId="1" applyNumberFormat="1" applyFont="1" applyFill="1" applyBorder="1" applyAlignment="1">
      <alignment vertical="center"/>
    </xf>
    <xf numFmtId="165" fontId="11" fillId="0" borderId="35" xfId="1" applyNumberFormat="1" applyFont="1" applyFill="1" applyBorder="1" applyAlignment="1">
      <alignment vertical="center"/>
    </xf>
    <xf numFmtId="0" fontId="13" fillId="0" borderId="68" xfId="17" applyFont="1" applyFill="1" applyBorder="1" applyAlignment="1">
      <alignment horizontal="center" vertical="top"/>
    </xf>
    <xf numFmtId="0" fontId="11" fillId="0" borderId="99" xfId="17" applyFont="1" applyFill="1" applyBorder="1" applyAlignment="1">
      <alignment horizontal="center" vertical="center" wrapText="1"/>
    </xf>
    <xf numFmtId="0" fontId="13" fillId="0" borderId="62" xfId="17" applyFont="1" applyFill="1" applyBorder="1" applyAlignment="1">
      <alignment horizontal="center" vertical="center" wrapText="1"/>
    </xf>
    <xf numFmtId="5" fontId="13" fillId="0" borderId="0" xfId="4" applyNumberFormat="1" applyFont="1" applyBorder="1"/>
    <xf numFmtId="5" fontId="13" fillId="0" borderId="0" xfId="0" applyNumberFormat="1" applyFont="1" applyAlignment="1">
      <alignment vertical="top"/>
    </xf>
    <xf numFmtId="0" fontId="13" fillId="0" borderId="0" xfId="0" applyFont="1"/>
    <xf numFmtId="0" fontId="13" fillId="0" borderId="98" xfId="17" applyFont="1" applyFill="1" applyBorder="1" applyAlignment="1">
      <alignment horizontal="center" vertical="center" wrapText="1"/>
    </xf>
    <xf numFmtId="5" fontId="13" fillId="0" borderId="12" xfId="17" applyNumberFormat="1" applyFont="1" applyFill="1" applyBorder="1"/>
    <xf numFmtId="5" fontId="11" fillId="0" borderId="2" xfId="17" applyNumberFormat="1" applyFont="1" applyFill="1" applyBorder="1"/>
    <xf numFmtId="5" fontId="13" fillId="0" borderId="69" xfId="17" applyNumberFormat="1" applyFont="1" applyFill="1" applyBorder="1"/>
    <xf numFmtId="5" fontId="13" fillId="0" borderId="39" xfId="17" applyNumberFormat="1" applyFont="1" applyFill="1" applyBorder="1"/>
    <xf numFmtId="5" fontId="11" fillId="0" borderId="39" xfId="17" applyNumberFormat="1" applyFont="1" applyFill="1" applyBorder="1"/>
    <xf numFmtId="0" fontId="11" fillId="0" borderId="0" xfId="29" applyFont="1" applyBorder="1" applyAlignment="1">
      <alignment horizontal="center" vertical="center"/>
    </xf>
    <xf numFmtId="0" fontId="13" fillId="0" borderId="0" xfId="29" applyFont="1" applyAlignment="1">
      <alignment vertical="center"/>
    </xf>
    <xf numFmtId="165" fontId="13" fillId="0" borderId="0" xfId="29" applyNumberFormat="1" applyFont="1" applyAlignment="1">
      <alignment vertical="top"/>
    </xf>
    <xf numFmtId="0" fontId="13" fillId="0" borderId="0" xfId="29" applyFont="1" applyAlignment="1">
      <alignment vertical="top"/>
    </xf>
    <xf numFmtId="0" fontId="3" fillId="0" borderId="0" xfId="29"/>
    <xf numFmtId="165" fontId="3" fillId="0" borderId="0" xfId="29" applyNumberFormat="1"/>
    <xf numFmtId="10" fontId="13" fillId="0" borderId="22" xfId="18" applyNumberFormat="1" applyFont="1" applyFill="1" applyBorder="1" applyAlignment="1">
      <alignment vertical="center"/>
    </xf>
    <xf numFmtId="165" fontId="11" fillId="0" borderId="32" xfId="1" applyNumberFormat="1" applyFont="1" applyFill="1" applyBorder="1" applyAlignment="1">
      <alignment vertical="center"/>
    </xf>
    <xf numFmtId="0" fontId="11" fillId="0" borderId="0" xfId="29" applyFont="1" applyAlignment="1">
      <alignment horizontal="center" vertical="center" wrapText="1"/>
    </xf>
    <xf numFmtId="0" fontId="13" fillId="0" borderId="0" xfId="29" applyFont="1" applyAlignment="1">
      <alignment wrapText="1"/>
    </xf>
    <xf numFmtId="0" fontId="11" fillId="4" borderId="0" xfId="29" applyFont="1" applyFill="1" applyBorder="1" applyAlignment="1">
      <alignment vertical="center"/>
    </xf>
    <xf numFmtId="0" fontId="11" fillId="4" borderId="0" xfId="29" applyFont="1" applyFill="1" applyBorder="1" applyAlignment="1">
      <alignment wrapText="1"/>
    </xf>
    <xf numFmtId="22" fontId="11" fillId="4" borderId="0" xfId="29" applyNumberFormat="1" applyFont="1" applyFill="1" applyBorder="1" applyAlignment="1">
      <alignment wrapText="1"/>
    </xf>
    <xf numFmtId="0" fontId="13" fillId="0" borderId="0" xfId="29" applyFont="1" applyBorder="1" applyAlignment="1">
      <alignment vertical="center"/>
    </xf>
    <xf numFmtId="17" fontId="13" fillId="0" borderId="0" xfId="29" applyNumberFormat="1" applyFont="1" applyAlignment="1">
      <alignment vertical="center"/>
    </xf>
    <xf numFmtId="37" fontId="13" fillId="0" borderId="0" xfId="29" applyNumberFormat="1" applyFont="1" applyAlignment="1">
      <alignment vertical="center"/>
    </xf>
    <xf numFmtId="165" fontId="13" fillId="0" borderId="0" xfId="29" applyNumberFormat="1" applyFont="1" applyAlignment="1">
      <alignment vertical="center"/>
    </xf>
    <xf numFmtId="37" fontId="11" fillId="0" borderId="0" xfId="29" applyNumberFormat="1" applyFont="1" applyAlignment="1">
      <alignment vertical="center"/>
    </xf>
    <xf numFmtId="0" fontId="13" fillId="0" borderId="0" xfId="29" applyFont="1" applyAlignment="1">
      <alignment horizontal="center" vertical="center"/>
    </xf>
    <xf numFmtId="5" fontId="13" fillId="0" borderId="0" xfId="4" applyFont="1" applyBorder="1"/>
    <xf numFmtId="0" fontId="13" fillId="0" borderId="0" xfId="0" applyFont="1" applyFill="1" applyBorder="1" applyAlignment="1">
      <alignment vertical="center" wrapText="1"/>
    </xf>
    <xf numFmtId="5" fontId="11" fillId="0" borderId="0" xfId="0" applyNumberFormat="1" applyFont="1" applyAlignment="1">
      <alignment vertical="center"/>
    </xf>
    <xf numFmtId="0" fontId="13" fillId="0" borderId="21" xfId="0" applyFont="1" applyBorder="1" applyAlignment="1">
      <alignment vertical="center" wrapText="1"/>
    </xf>
    <xf numFmtId="0" fontId="11" fillId="0" borderId="21" xfId="0" applyFont="1" applyBorder="1" applyAlignment="1">
      <alignment horizontal="center" vertical="center" wrapText="1"/>
    </xf>
    <xf numFmtId="170" fontId="11" fillId="0" borderId="28" xfId="4" applyNumberFormat="1" applyFont="1" applyFill="1" applyBorder="1" applyAlignment="1">
      <alignment horizontal="center" vertical="center" wrapText="1"/>
    </xf>
    <xf numFmtId="5" fontId="11" fillId="0" borderId="21" xfId="4" applyFont="1" applyFill="1" applyBorder="1" applyAlignment="1">
      <alignment horizontal="center" vertical="center" wrapText="1"/>
    </xf>
    <xf numFmtId="167" fontId="13" fillId="0" borderId="0" xfId="0" applyNumberFormat="1" applyFont="1" applyBorder="1"/>
    <xf numFmtId="0" fontId="11" fillId="0" borderId="0" xfId="17" quotePrefix="1" applyFont="1"/>
    <xf numFmtId="0" fontId="11" fillId="0" borderId="30" xfId="0" applyFont="1" applyBorder="1" applyAlignment="1">
      <alignment horizontal="center" vertical="center" wrapText="1"/>
    </xf>
    <xf numFmtId="17" fontId="13" fillId="0" borderId="61" xfId="17" applyNumberFormat="1" applyFont="1" applyBorder="1" applyAlignment="1">
      <alignment vertical="center"/>
    </xf>
    <xf numFmtId="37" fontId="13" fillId="0" borderId="22" xfId="1" applyNumberFormat="1" applyFont="1" applyFill="1" applyBorder="1" applyAlignment="1">
      <alignment horizontal="right"/>
    </xf>
    <xf numFmtId="37" fontId="13" fillId="0" borderId="22" xfId="1" applyNumberFormat="1" applyFont="1" applyFill="1" applyBorder="1"/>
    <xf numFmtId="37" fontId="13" fillId="0" borderId="69" xfId="0" applyNumberFormat="1" applyFont="1" applyFill="1" applyBorder="1"/>
    <xf numFmtId="37" fontId="13" fillId="0" borderId="69" xfId="0" applyNumberFormat="1" applyFont="1" applyBorder="1"/>
    <xf numFmtId="37" fontId="13" fillId="0" borderId="54" xfId="1" applyNumberFormat="1" applyFont="1" applyFill="1" applyBorder="1"/>
    <xf numFmtId="37" fontId="11" fillId="0" borderId="22" xfId="1" applyNumberFormat="1" applyFont="1" applyFill="1" applyBorder="1" applyAlignment="1"/>
    <xf numFmtId="37" fontId="13" fillId="0" borderId="22" xfId="1" applyNumberFormat="1" applyFont="1" applyFill="1" applyBorder="1" applyAlignment="1"/>
    <xf numFmtId="5" fontId="11" fillId="0" borderId="22" xfId="1" applyNumberFormat="1" applyFont="1" applyFill="1" applyBorder="1" applyAlignment="1"/>
    <xf numFmtId="10" fontId="13" fillId="0" borderId="15" xfId="18" applyNumberFormat="1" applyFont="1" applyFill="1" applyBorder="1" applyAlignment="1">
      <alignment vertical="center"/>
    </xf>
    <xf numFmtId="10" fontId="13" fillId="0" borderId="14" xfId="18" applyNumberFormat="1" applyFont="1" applyFill="1" applyBorder="1" applyAlignment="1">
      <alignment vertical="center"/>
    </xf>
    <xf numFmtId="37" fontId="13" fillId="0" borderId="22" xfId="1" applyNumberFormat="1" applyFont="1" applyFill="1" applyBorder="1" applyAlignment="1">
      <alignment horizontal="right" vertical="center"/>
    </xf>
    <xf numFmtId="37" fontId="13" fillId="5" borderId="22" xfId="1" applyNumberFormat="1" applyFont="1" applyFill="1" applyBorder="1" applyAlignment="1">
      <alignment horizontal="right" vertical="center"/>
    </xf>
    <xf numFmtId="37" fontId="13" fillId="0" borderId="22" xfId="1" applyNumberFormat="1" applyFont="1" applyFill="1" applyBorder="1" applyAlignment="1">
      <alignment vertical="center"/>
    </xf>
    <xf numFmtId="165" fontId="13" fillId="0" borderId="22" xfId="1" applyNumberFormat="1" applyFont="1" applyFill="1" applyBorder="1" applyAlignment="1">
      <alignment vertical="center"/>
    </xf>
    <xf numFmtId="0" fontId="13" fillId="0" borderId="51" xfId="0" applyNumberFormat="1" applyFont="1" applyBorder="1" applyAlignment="1">
      <alignment horizontal="center" wrapText="1"/>
    </xf>
    <xf numFmtId="0" fontId="11" fillId="0" borderId="52" xfId="0" applyNumberFormat="1" applyFont="1" applyBorder="1" applyAlignment="1">
      <alignment horizontal="center" vertical="center" wrapText="1"/>
    </xf>
    <xf numFmtId="37" fontId="13" fillId="0" borderId="56" xfId="0" applyNumberFormat="1" applyFont="1" applyBorder="1"/>
    <xf numFmtId="37" fontId="11" fillId="0" borderId="54" xfId="0" applyNumberFormat="1" applyFont="1" applyFill="1" applyBorder="1"/>
    <xf numFmtId="169" fontId="13" fillId="0" borderId="24" xfId="17" applyNumberFormat="1" applyFont="1" applyFill="1" applyBorder="1" applyAlignment="1">
      <alignment vertical="center"/>
    </xf>
    <xf numFmtId="37" fontId="11" fillId="0" borderId="54" xfId="0" applyNumberFormat="1" applyFont="1" applyBorder="1"/>
    <xf numFmtId="37" fontId="13" fillId="0" borderId="56" xfId="0" applyNumberFormat="1" applyFont="1" applyFill="1" applyBorder="1"/>
    <xf numFmtId="37" fontId="13" fillId="0" borderId="22" xfId="0" applyNumberFormat="1" applyFont="1" applyFill="1" applyBorder="1"/>
    <xf numFmtId="37" fontId="11" fillId="0" borderId="22" xfId="0" applyNumberFormat="1" applyFont="1" applyFill="1" applyBorder="1"/>
    <xf numFmtId="10" fontId="13" fillId="0" borderId="22" xfId="18" applyNumberFormat="1" applyFont="1" applyFill="1" applyBorder="1"/>
    <xf numFmtId="0" fontId="13" fillId="6" borderId="31" xfId="0" applyFont="1" applyFill="1" applyBorder="1" applyAlignment="1"/>
    <xf numFmtId="0" fontId="13" fillId="6" borderId="22" xfId="0" applyFont="1" applyFill="1" applyBorder="1" applyAlignment="1"/>
    <xf numFmtId="5" fontId="13" fillId="6" borderId="22" xfId="17" applyNumberFormat="1" applyFont="1" applyFill="1" applyBorder="1"/>
    <xf numFmtId="0" fontId="13" fillId="0" borderId="22" xfId="0" applyFont="1" applyFill="1" applyBorder="1" applyAlignment="1"/>
    <xf numFmtId="0" fontId="13" fillId="0" borderId="22" xfId="0" applyFont="1" applyFill="1" applyBorder="1" applyAlignment="1">
      <alignment horizontal="center"/>
    </xf>
    <xf numFmtId="0" fontId="13" fillId="0" borderId="60" xfId="17" applyFont="1" applyFill="1" applyBorder="1" applyAlignment="1">
      <alignment horizontal="center" vertical="top"/>
    </xf>
    <xf numFmtId="5" fontId="13" fillId="0" borderId="69" xfId="1" applyNumberFormat="1" applyFont="1" applyFill="1" applyBorder="1" applyAlignment="1">
      <alignment horizontal="right"/>
    </xf>
    <xf numFmtId="5" fontId="13" fillId="0" borderId="69" xfId="1" applyNumberFormat="1" applyFont="1" applyFill="1" applyBorder="1"/>
    <xf numFmtId="0" fontId="11" fillId="0" borderId="61" xfId="17" applyFont="1" applyFill="1" applyBorder="1" applyAlignment="1">
      <alignment vertical="center"/>
    </xf>
    <xf numFmtId="5" fontId="11" fillId="0" borderId="69" xfId="1" applyNumberFormat="1" applyFont="1" applyFill="1" applyBorder="1" applyAlignment="1"/>
    <xf numFmtId="0" fontId="0" fillId="0" borderId="24" xfId="0" applyBorder="1"/>
    <xf numFmtId="0" fontId="0" fillId="0" borderId="22" xfId="0" applyBorder="1"/>
    <xf numFmtId="5" fontId="13" fillId="0" borderId="0" xfId="4" applyNumberFormat="1" applyFont="1" applyFill="1" applyBorder="1" applyAlignment="1">
      <alignment vertical="center" wrapText="1"/>
    </xf>
    <xf numFmtId="5" fontId="13" fillId="0" borderId="0" xfId="4" applyFont="1" applyFill="1" applyBorder="1" applyAlignment="1">
      <alignment vertical="center" wrapText="1"/>
    </xf>
    <xf numFmtId="177" fontId="13" fillId="0" borderId="0" xfId="18" applyNumberFormat="1" applyFont="1" applyFill="1" applyBorder="1" applyAlignment="1">
      <alignment vertical="top"/>
    </xf>
    <xf numFmtId="10" fontId="13" fillId="0" borderId="0" xfId="18" applyFont="1" applyFill="1" applyBorder="1" applyAlignment="1">
      <alignment vertical="top"/>
    </xf>
    <xf numFmtId="175" fontId="13" fillId="0" borderId="0" xfId="0" applyNumberFormat="1" applyFont="1" applyBorder="1"/>
    <xf numFmtId="0" fontId="13" fillId="0" borderId="0" xfId="0" applyFont="1" applyAlignment="1">
      <alignment vertical="center"/>
    </xf>
    <xf numFmtId="165" fontId="18" fillId="0" borderId="25" xfId="1" applyNumberFormat="1" applyFont="1" applyBorder="1" applyAlignment="1">
      <alignment vertical="center"/>
    </xf>
    <xf numFmtId="165" fontId="18" fillId="0" borderId="24" xfId="1" applyNumberFormat="1" applyFont="1" applyBorder="1" applyAlignment="1">
      <alignment vertical="center"/>
    </xf>
    <xf numFmtId="165" fontId="18" fillId="0" borderId="0" xfId="1" applyNumberFormat="1" applyFont="1" applyBorder="1" applyAlignment="1">
      <alignment vertical="center"/>
    </xf>
    <xf numFmtId="0" fontId="18" fillId="0" borderId="15" xfId="0" applyFont="1" applyBorder="1" applyAlignment="1">
      <alignment vertical="center" wrapText="1"/>
    </xf>
    <xf numFmtId="0" fontId="18" fillId="0" borderId="21" xfId="0" applyFont="1" applyBorder="1" applyAlignment="1">
      <alignment vertical="center" wrapText="1"/>
    </xf>
    <xf numFmtId="5" fontId="18" fillId="0" borderId="0" xfId="0" applyNumberFormat="1" applyFont="1" applyFill="1" applyBorder="1" applyAlignment="1">
      <alignment vertical="center"/>
    </xf>
    <xf numFmtId="0" fontId="10" fillId="6" borderId="25" xfId="0" applyFont="1" applyFill="1" applyBorder="1" applyAlignment="1">
      <alignment vertical="center"/>
    </xf>
    <xf numFmtId="0" fontId="10" fillId="6" borderId="66" xfId="0" applyFont="1" applyFill="1" applyBorder="1" applyAlignment="1">
      <alignment vertical="center" wrapText="1"/>
    </xf>
    <xf numFmtId="0" fontId="10" fillId="6" borderId="66" xfId="0" applyFont="1" applyFill="1" applyBorder="1" applyAlignment="1">
      <alignment vertical="center"/>
    </xf>
    <xf numFmtId="0" fontId="10" fillId="6" borderId="67" xfId="0" applyFont="1" applyFill="1" applyBorder="1" applyAlignment="1">
      <alignment vertical="center"/>
    </xf>
    <xf numFmtId="0" fontId="10" fillId="6" borderId="16" xfId="0" applyFont="1" applyFill="1" applyBorder="1" applyAlignment="1">
      <alignment vertical="center"/>
    </xf>
    <xf numFmtId="0" fontId="10" fillId="6" borderId="31" xfId="0" applyFont="1" applyFill="1" applyBorder="1" applyAlignment="1">
      <alignment vertical="center"/>
    </xf>
    <xf numFmtId="5" fontId="13" fillId="0" borderId="0" xfId="17" applyNumberFormat="1" applyFont="1" applyAlignment="1">
      <alignment vertical="center"/>
    </xf>
    <xf numFmtId="5" fontId="13" fillId="6" borderId="22" xfId="0" applyNumberFormat="1" applyFont="1" applyFill="1" applyBorder="1" applyAlignment="1"/>
    <xf numFmtId="6" fontId="13" fillId="0" borderId="0" xfId="0" applyNumberFormat="1" applyFont="1"/>
    <xf numFmtId="5" fontId="13" fillId="0" borderId="18" xfId="1" applyNumberFormat="1" applyFont="1" applyFill="1" applyBorder="1" applyAlignment="1"/>
    <xf numFmtId="5" fontId="13" fillId="0" borderId="22" xfId="4" applyFont="1" applyFill="1" applyBorder="1" applyAlignment="1">
      <alignment vertical="top"/>
    </xf>
    <xf numFmtId="165" fontId="13" fillId="0" borderId="44" xfId="1" applyNumberFormat="1" applyFont="1" applyFill="1" applyBorder="1" applyAlignment="1">
      <alignment vertical="center"/>
    </xf>
    <xf numFmtId="10" fontId="11" fillId="0" borderId="0" xfId="18" applyFont="1" applyFill="1" applyBorder="1" applyAlignment="1"/>
    <xf numFmtId="5" fontId="13" fillId="0" borderId="15" xfId="1" applyNumberFormat="1" applyFont="1" applyFill="1" applyBorder="1" applyAlignment="1">
      <alignment vertical="center"/>
    </xf>
    <xf numFmtId="5" fontId="13" fillId="0" borderId="27" xfId="4" applyNumberFormat="1" applyFont="1" applyFill="1" applyBorder="1" applyAlignment="1">
      <alignment vertical="center"/>
    </xf>
    <xf numFmtId="5" fontId="18" fillId="0" borderId="15" xfId="4" applyFont="1" applyFill="1" applyBorder="1" applyAlignment="1">
      <alignment vertical="center"/>
    </xf>
    <xf numFmtId="5" fontId="13" fillId="0" borderId="21" xfId="4" applyNumberFormat="1" applyFont="1" applyFill="1" applyBorder="1" applyAlignment="1">
      <alignment vertical="center"/>
    </xf>
    <xf numFmtId="0" fontId="11" fillId="0" borderId="61" xfId="17" applyFont="1" applyFill="1" applyBorder="1" applyAlignment="1">
      <alignment vertical="center" wrapText="1"/>
    </xf>
    <xf numFmtId="5" fontId="11" fillId="0" borderId="6" xfId="1" applyNumberFormat="1" applyFont="1" applyFill="1" applyBorder="1" applyAlignment="1"/>
    <xf numFmtId="0" fontId="11" fillId="0" borderId="61" xfId="17" applyFont="1" applyBorder="1" applyAlignment="1">
      <alignment vertical="center" wrapText="1"/>
    </xf>
    <xf numFmtId="165" fontId="13" fillId="0" borderId="0" xfId="1" applyNumberFormat="1" applyFont="1" applyFill="1" applyBorder="1" applyAlignment="1">
      <alignment horizontal="right" vertical="center" wrapText="1"/>
    </xf>
    <xf numFmtId="165" fontId="13" fillId="0" borderId="15" xfId="4" applyNumberFormat="1" applyFont="1" applyFill="1" applyBorder="1" applyAlignment="1">
      <alignment horizontal="right" vertical="center"/>
    </xf>
    <xf numFmtId="0" fontId="13" fillId="6" borderId="71" xfId="0" applyFont="1" applyFill="1" applyBorder="1" applyAlignment="1">
      <alignment vertical="center"/>
    </xf>
    <xf numFmtId="0" fontId="13" fillId="6" borderId="29" xfId="0" applyFont="1" applyFill="1" applyBorder="1" applyAlignment="1">
      <alignment vertical="center"/>
    </xf>
    <xf numFmtId="0" fontId="13" fillId="6" borderId="71" xfId="0" applyFont="1" applyFill="1" applyBorder="1" applyAlignment="1">
      <alignment vertical="center" wrapText="1"/>
    </xf>
    <xf numFmtId="0" fontId="13" fillId="6" borderId="72" xfId="0" applyFont="1" applyFill="1" applyBorder="1" applyAlignment="1">
      <alignment vertical="center"/>
    </xf>
    <xf numFmtId="0" fontId="13" fillId="6" borderId="1" xfId="0" applyFont="1" applyFill="1" applyBorder="1" applyAlignment="1">
      <alignment vertical="center"/>
    </xf>
    <xf numFmtId="0" fontId="11" fillId="0" borderId="13" xfId="17" applyFont="1" applyBorder="1" applyAlignment="1">
      <alignment horizontal="center" vertical="center" wrapText="1"/>
    </xf>
    <xf numFmtId="0" fontId="11" fillId="0" borderId="17" xfId="17" applyFont="1" applyBorder="1" applyAlignment="1">
      <alignment horizontal="center" vertical="center" wrapText="1"/>
    </xf>
    <xf numFmtId="0" fontId="11" fillId="0" borderId="11" xfId="17" applyFont="1" applyBorder="1" applyAlignment="1">
      <alignment horizontal="center" vertical="center" wrapText="1"/>
    </xf>
    <xf numFmtId="0" fontId="11" fillId="0" borderId="70" xfId="17" applyFont="1" applyBorder="1" applyAlignment="1">
      <alignment horizontal="center" vertical="center" wrapText="1"/>
    </xf>
    <xf numFmtId="0" fontId="11" fillId="0" borderId="11" xfId="17" applyFont="1" applyFill="1" applyBorder="1" applyAlignment="1">
      <alignment horizontal="center" vertical="center" wrapText="1"/>
    </xf>
    <xf numFmtId="0" fontId="11" fillId="0" borderId="17" xfId="17" applyFont="1" applyFill="1" applyBorder="1" applyAlignment="1">
      <alignment horizontal="center" vertical="center" wrapText="1"/>
    </xf>
    <xf numFmtId="0" fontId="11" fillId="0" borderId="70" xfId="17" applyFont="1" applyFill="1" applyBorder="1" applyAlignment="1">
      <alignment horizontal="center" vertical="center" wrapText="1"/>
    </xf>
    <xf numFmtId="171" fontId="11" fillId="0" borderId="1" xfId="0" applyNumberFormat="1" applyFont="1" applyBorder="1" applyAlignment="1">
      <alignment horizontal="center" vertical="center" wrapText="1"/>
    </xf>
    <xf numFmtId="171" fontId="11" fillId="0" borderId="90" xfId="0" applyNumberFormat="1" applyFont="1" applyBorder="1" applyAlignment="1">
      <alignment horizontal="center" vertical="center" wrapText="1"/>
    </xf>
    <xf numFmtId="179" fontId="28" fillId="8" borderId="0" xfId="0" applyNumberFormat="1" applyFont="1" applyFill="1" applyAlignment="1">
      <alignment horizontal="right"/>
    </xf>
    <xf numFmtId="179" fontId="13" fillId="0" borderId="0" xfId="0" applyNumberFormat="1" applyFont="1"/>
    <xf numFmtId="0" fontId="13" fillId="0" borderId="117" xfId="17" applyFont="1" applyFill="1" applyBorder="1" applyAlignment="1">
      <alignment horizontal="center" vertical="center" wrapText="1"/>
    </xf>
    <xf numFmtId="10" fontId="13" fillId="0" borderId="0" xfId="18" applyFont="1" applyFill="1" applyBorder="1"/>
    <xf numFmtId="180" fontId="13" fillId="0" borderId="0" xfId="28" applyNumberFormat="1" applyFont="1" applyAlignment="1">
      <alignment vertical="top" wrapText="1"/>
    </xf>
    <xf numFmtId="0" fontId="13" fillId="0" borderId="0" xfId="17" applyFont="1" applyFill="1" applyBorder="1" applyAlignment="1">
      <alignment horizontal="left" wrapText="1"/>
    </xf>
    <xf numFmtId="0" fontId="13" fillId="0" borderId="0" xfId="0" applyFont="1" applyFill="1" applyBorder="1" applyAlignment="1">
      <alignment horizontal="left"/>
    </xf>
    <xf numFmtId="0" fontId="13" fillId="0" borderId="0" xfId="0" quotePrefix="1" applyFont="1" applyAlignment="1">
      <alignment vertical="center"/>
    </xf>
    <xf numFmtId="165" fontId="13" fillId="0" borderId="0" xfId="18" applyNumberFormat="1" applyFont="1" applyAlignment="1">
      <alignment vertical="center"/>
    </xf>
    <xf numFmtId="0" fontId="11" fillId="0" borderId="0" xfId="28" applyFont="1" applyAlignment="1">
      <alignment vertical="center"/>
    </xf>
    <xf numFmtId="0" fontId="13" fillId="0" borderId="0" xfId="29" applyFont="1"/>
    <xf numFmtId="165" fontId="29" fillId="0" borderId="0" xfId="1" applyNumberFormat="1" applyFont="1" applyFill="1" applyBorder="1" applyAlignment="1">
      <alignment vertical="center"/>
    </xf>
    <xf numFmtId="0" fontId="10" fillId="0" borderId="0" xfId="0" applyFont="1" applyBorder="1" applyAlignment="1">
      <alignment wrapText="1"/>
    </xf>
    <xf numFmtId="0" fontId="10" fillId="0" borderId="0" xfId="17" applyFont="1" applyAlignment="1">
      <alignment vertical="center" wrapText="1"/>
    </xf>
    <xf numFmtId="165" fontId="29" fillId="0" borderId="22" xfId="1" applyNumberFormat="1" applyFont="1" applyFill="1" applyBorder="1" applyAlignment="1">
      <alignment horizontal="right" vertical="center"/>
    </xf>
    <xf numFmtId="5" fontId="11" fillId="0" borderId="0" xfId="0" applyNumberFormat="1" applyFont="1" applyAlignment="1">
      <alignment vertical="center" wrapText="1"/>
    </xf>
    <xf numFmtId="0" fontId="3" fillId="0" borderId="0" xfId="0" applyFont="1" applyAlignment="1">
      <alignment wrapText="1"/>
    </xf>
    <xf numFmtId="0" fontId="10" fillId="0" borderId="0" xfId="0" applyFont="1" applyAlignment="1">
      <alignment wrapText="1"/>
    </xf>
    <xf numFmtId="0" fontId="10" fillId="0" borderId="0" xfId="17" applyFont="1" applyAlignment="1">
      <alignment wrapText="1"/>
    </xf>
    <xf numFmtId="0" fontId="10" fillId="0" borderId="0" xfId="0" applyFont="1" applyAlignment="1">
      <alignment vertical="center" wrapText="1"/>
    </xf>
    <xf numFmtId="5" fontId="29" fillId="0" borderId="0" xfId="4" applyNumberFormat="1" applyFont="1" applyFill="1" applyBorder="1" applyAlignment="1">
      <alignment vertical="center" wrapText="1"/>
    </xf>
    <xf numFmtId="5" fontId="29" fillId="0" borderId="1" xfId="4" applyNumberFormat="1" applyFont="1" applyFill="1" applyBorder="1" applyAlignment="1">
      <alignment vertical="center" wrapText="1"/>
    </xf>
    <xf numFmtId="5" fontId="29" fillId="0" borderId="0" xfId="4" applyFont="1" applyFill="1" applyBorder="1" applyAlignment="1">
      <alignment vertical="center" wrapText="1"/>
    </xf>
    <xf numFmtId="5" fontId="30" fillId="0" borderId="1" xfId="4" applyNumberFormat="1" applyFont="1" applyFill="1" applyBorder="1" applyAlignment="1">
      <alignment vertical="center" wrapText="1"/>
    </xf>
    <xf numFmtId="5" fontId="29" fillId="0" borderId="6" xfId="1" applyNumberFormat="1" applyFont="1" applyFill="1" applyBorder="1"/>
    <xf numFmtId="5" fontId="29" fillId="0" borderId="18" xfId="1" applyNumberFormat="1" applyFont="1" applyFill="1" applyBorder="1" applyAlignment="1">
      <alignment horizontal="right"/>
    </xf>
    <xf numFmtId="5" fontId="29" fillId="0" borderId="69" xfId="17" applyNumberFormat="1" applyFont="1" applyFill="1" applyBorder="1"/>
    <xf numFmtId="5" fontId="29" fillId="0" borderId="6" xfId="17" applyNumberFormat="1" applyFont="1" applyFill="1" applyBorder="1"/>
    <xf numFmtId="5" fontId="29" fillId="0" borderId="18" xfId="17" applyNumberFormat="1" applyFont="1" applyFill="1" applyBorder="1"/>
    <xf numFmtId="5" fontId="29" fillId="0" borderId="0" xfId="17" applyNumberFormat="1" applyFont="1" applyFill="1" applyBorder="1"/>
    <xf numFmtId="165" fontId="29" fillId="0" borderId="6" xfId="1" applyNumberFormat="1" applyFont="1" applyFill="1" applyBorder="1" applyAlignment="1">
      <alignment vertical="center"/>
    </xf>
    <xf numFmtId="165" fontId="29" fillId="0" borderId="69" xfId="1" applyNumberFormat="1" applyFont="1" applyFill="1" applyBorder="1" applyAlignment="1">
      <alignment vertical="center"/>
    </xf>
    <xf numFmtId="5" fontId="29" fillId="0" borderId="22" xfId="17" applyNumberFormat="1" applyFont="1" applyFill="1" applyBorder="1"/>
    <xf numFmtId="37" fontId="29" fillId="0" borderId="5" xfId="0" applyNumberFormat="1" applyFont="1" applyFill="1" applyBorder="1"/>
    <xf numFmtId="37" fontId="29" fillId="0" borderId="0" xfId="0" applyNumberFormat="1" applyFont="1" applyFill="1" applyBorder="1"/>
    <xf numFmtId="37" fontId="29" fillId="0" borderId="6" xfId="0" applyNumberFormat="1" applyFont="1" applyFill="1" applyBorder="1"/>
    <xf numFmtId="37" fontId="29" fillId="0" borderId="22" xfId="0" applyNumberFormat="1" applyFont="1" applyFill="1" applyBorder="1"/>
    <xf numFmtId="5" fontId="29" fillId="0" borderId="0" xfId="4" applyNumberFormat="1" applyFont="1" applyFill="1" applyBorder="1" applyAlignment="1">
      <alignment vertical="center"/>
    </xf>
    <xf numFmtId="5" fontId="29" fillId="0" borderId="1" xfId="4" applyNumberFormat="1" applyFont="1" applyFill="1" applyBorder="1" applyAlignment="1">
      <alignment vertical="center"/>
    </xf>
    <xf numFmtId="37" fontId="29" fillId="0" borderId="22" xfId="1" applyNumberFormat="1" applyFont="1" applyFill="1" applyBorder="1"/>
    <xf numFmtId="167" fontId="13" fillId="0" borderId="0" xfId="0" applyNumberFormat="1" applyFont="1" applyBorder="1" applyAlignment="1">
      <alignment vertical="center" wrapText="1"/>
    </xf>
    <xf numFmtId="6" fontId="13" fillId="0" borderId="0" xfId="0" applyNumberFormat="1" applyFont="1" applyBorder="1" applyAlignment="1">
      <alignment vertical="center" wrapText="1"/>
    </xf>
    <xf numFmtId="172" fontId="13" fillId="0" borderId="0" xfId="1" applyFont="1" applyBorder="1" applyAlignment="1">
      <alignment vertical="center" wrapText="1"/>
    </xf>
    <xf numFmtId="175" fontId="13" fillId="0" borderId="0" xfId="0" applyNumberFormat="1" applyFont="1" applyBorder="1" applyAlignment="1">
      <alignment vertical="center" wrapText="1"/>
    </xf>
    <xf numFmtId="0" fontId="13" fillId="0" borderId="0" xfId="0" applyFont="1" applyFill="1" applyBorder="1" applyAlignment="1">
      <alignment vertical="top" wrapText="1"/>
    </xf>
    <xf numFmtId="0" fontId="25" fillId="0" borderId="0" xfId="0" applyFont="1" applyBorder="1" applyAlignment="1">
      <alignment wrapText="1"/>
    </xf>
    <xf numFmtId="0" fontId="13" fillId="0" borderId="0" xfId="28" applyFont="1" applyBorder="1" applyAlignment="1">
      <alignment vertical="center"/>
    </xf>
    <xf numFmtId="5" fontId="11" fillId="0" borderId="0" xfId="28" applyNumberFormat="1" applyFont="1" applyBorder="1" applyAlignment="1">
      <alignment vertical="center"/>
    </xf>
    <xf numFmtId="5" fontId="13" fillId="0" borderId="0" xfId="28" applyNumberFormat="1" applyFont="1" applyBorder="1" applyAlignment="1">
      <alignment vertical="center"/>
    </xf>
    <xf numFmtId="0" fontId="13" fillId="0" borderId="0" xfId="17" applyFont="1" applyBorder="1" applyAlignment="1">
      <alignment vertical="center"/>
    </xf>
    <xf numFmtId="0" fontId="13" fillId="0" borderId="0" xfId="29" applyFont="1" applyBorder="1" applyAlignment="1">
      <alignment wrapText="1"/>
    </xf>
    <xf numFmtId="0" fontId="11" fillId="4" borderId="0" xfId="17" applyFont="1" applyFill="1" applyBorder="1" applyAlignment="1">
      <alignment vertical="center"/>
    </xf>
    <xf numFmtId="0" fontId="11" fillId="4" borderId="0" xfId="29" applyFont="1" applyFill="1" applyBorder="1" applyAlignment="1">
      <alignment vertical="top"/>
    </xf>
    <xf numFmtId="22" fontId="11" fillId="4" borderId="0" xfId="29" applyNumberFormat="1" applyFont="1" applyFill="1" applyBorder="1" applyAlignment="1">
      <alignment vertical="center"/>
    </xf>
    <xf numFmtId="10" fontId="13" fillId="0" borderId="0" xfId="18" applyFont="1" applyBorder="1" applyAlignment="1">
      <alignment vertical="center"/>
    </xf>
    <xf numFmtId="0" fontId="13" fillId="0" borderId="0" xfId="17" applyFont="1" applyFill="1" applyBorder="1" applyAlignment="1">
      <alignment vertical="center"/>
    </xf>
    <xf numFmtId="10" fontId="13" fillId="0" borderId="0" xfId="18" applyFont="1" applyFill="1" applyBorder="1" applyAlignment="1">
      <alignment vertical="center"/>
    </xf>
    <xf numFmtId="164" fontId="13" fillId="0" borderId="0" xfId="18" applyNumberFormat="1" applyFont="1" applyFill="1" applyBorder="1" applyAlignment="1">
      <alignment vertical="center"/>
    </xf>
    <xf numFmtId="0" fontId="11" fillId="0" borderId="0" xfId="17" applyFont="1" applyFill="1" applyBorder="1" applyAlignment="1">
      <alignment horizontal="left" vertical="center"/>
    </xf>
    <xf numFmtId="165" fontId="11" fillId="0" borderId="0" xfId="17" applyNumberFormat="1" applyFont="1" applyFill="1" applyBorder="1" applyAlignment="1">
      <alignment horizontal="left" vertical="center" wrapText="1"/>
    </xf>
    <xf numFmtId="0" fontId="13" fillId="0" borderId="0" xfId="29" applyFont="1" applyBorder="1"/>
    <xf numFmtId="0" fontId="11" fillId="0" borderId="0" xfId="17" applyFont="1" applyBorder="1"/>
    <xf numFmtId="5" fontId="11" fillId="0" borderId="0" xfId="17" applyNumberFormat="1" applyFont="1" applyBorder="1"/>
    <xf numFmtId="5" fontId="13" fillId="0" borderId="0" xfId="0" applyNumberFormat="1" applyFont="1" applyBorder="1" applyAlignment="1">
      <alignment vertical="top"/>
    </xf>
    <xf numFmtId="0" fontId="13" fillId="0" borderId="0" xfId="0" applyFont="1" applyBorder="1" applyAlignment="1">
      <alignment vertical="top"/>
    </xf>
    <xf numFmtId="0" fontId="11" fillId="0" borderId="0" xfId="0" applyFont="1" applyBorder="1" applyAlignment="1">
      <alignment horizontal="center" vertical="center" wrapText="1"/>
    </xf>
    <xf numFmtId="0" fontId="13" fillId="0" borderId="0" xfId="0" applyFont="1" applyBorder="1" applyAlignment="1">
      <alignment wrapText="1"/>
    </xf>
    <xf numFmtId="172" fontId="13" fillId="0" borderId="0" xfId="1" applyFont="1" applyBorder="1" applyAlignment="1">
      <alignment wrapText="1"/>
    </xf>
    <xf numFmtId="14" fontId="13" fillId="0" borderId="0" xfId="0" applyNumberFormat="1" applyFont="1" applyBorder="1" applyAlignment="1">
      <alignment wrapText="1"/>
    </xf>
    <xf numFmtId="17" fontId="13" fillId="0" borderId="0" xfId="0" applyNumberFormat="1" applyFont="1" applyBorder="1"/>
    <xf numFmtId="0" fontId="10" fillId="0" borderId="0" xfId="0" applyFont="1" applyFill="1" applyBorder="1" applyAlignment="1">
      <alignment vertical="top" wrapText="1"/>
    </xf>
    <xf numFmtId="0" fontId="13" fillId="0" borderId="27" xfId="0" applyFont="1" applyFill="1" applyBorder="1" applyAlignment="1">
      <alignment horizontal="center" vertical="center"/>
    </xf>
    <xf numFmtId="0" fontId="13" fillId="0" borderId="21" xfId="0" applyFont="1" applyFill="1" applyBorder="1" applyAlignment="1">
      <alignment horizontal="center" vertical="center"/>
    </xf>
    <xf numFmtId="0" fontId="13" fillId="6" borderId="25" xfId="0" applyFont="1" applyFill="1" applyBorder="1" applyAlignment="1">
      <alignment horizontal="left" vertical="center"/>
    </xf>
    <xf numFmtId="0" fontId="13" fillId="6" borderId="16" xfId="0" applyFont="1" applyFill="1" applyBorder="1" applyAlignment="1">
      <alignment horizontal="left" vertical="center"/>
    </xf>
    <xf numFmtId="0" fontId="13" fillId="6" borderId="31" xfId="0" applyFont="1" applyFill="1" applyBorder="1" applyAlignment="1">
      <alignment horizontal="left" vertical="center"/>
    </xf>
    <xf numFmtId="0" fontId="13" fillId="6" borderId="24"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22" xfId="0" applyFont="1" applyFill="1" applyBorder="1" applyAlignment="1">
      <alignment horizontal="left" vertical="top" wrapText="1"/>
    </xf>
    <xf numFmtId="0" fontId="11" fillId="0" borderId="0" xfId="0" applyFont="1" applyBorder="1" applyAlignment="1">
      <alignment horizontal="center" vertical="center" wrapText="1"/>
    </xf>
    <xf numFmtId="5" fontId="11" fillId="0" borderId="28" xfId="4" applyFont="1" applyFill="1" applyBorder="1" applyAlignment="1">
      <alignment horizontal="center" vertical="center" wrapText="1"/>
    </xf>
    <xf numFmtId="0" fontId="13" fillId="0" borderId="27"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21" xfId="0" applyFont="1" applyBorder="1" applyAlignment="1">
      <alignment horizontal="center" vertical="center" textRotation="90" wrapText="1"/>
    </xf>
    <xf numFmtId="0" fontId="13" fillId="6" borderId="26"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32" xfId="0" applyFont="1" applyFill="1" applyBorder="1" applyAlignment="1">
      <alignment horizontal="left" vertical="top" wrapText="1"/>
    </xf>
    <xf numFmtId="0" fontId="11" fillId="0" borderId="0" xfId="16"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0" xfId="28" applyFont="1" applyAlignment="1">
      <alignment horizontal="left" vertical="top" wrapText="1"/>
    </xf>
    <xf numFmtId="0" fontId="13" fillId="6" borderId="0" xfId="28" applyFont="1" applyFill="1" applyBorder="1" applyAlignment="1">
      <alignment horizontal="left" vertical="center"/>
    </xf>
    <xf numFmtId="0" fontId="11" fillId="0" borderId="29" xfId="28" applyFont="1" applyBorder="1" applyAlignment="1">
      <alignment horizontal="center" vertical="center"/>
    </xf>
    <xf numFmtId="0" fontId="11" fillId="0" borderId="1" xfId="28" applyFont="1" applyBorder="1" applyAlignment="1">
      <alignment horizontal="center" vertical="center"/>
    </xf>
    <xf numFmtId="0" fontId="11" fillId="0" borderId="30" xfId="28" applyFont="1" applyBorder="1" applyAlignment="1">
      <alignment horizontal="center" vertical="center"/>
    </xf>
    <xf numFmtId="0" fontId="11" fillId="0" borderId="25" xfId="28" applyFont="1" applyBorder="1" applyAlignment="1">
      <alignment horizontal="center" vertical="center" textRotation="90" wrapText="1"/>
    </xf>
    <xf numFmtId="0" fontId="11" fillId="0" borderId="24" xfId="28" applyFont="1" applyBorder="1" applyAlignment="1">
      <alignment horizontal="center" vertical="center" textRotation="90" wrapText="1"/>
    </xf>
    <xf numFmtId="0" fontId="11" fillId="0" borderId="26" xfId="28" applyFont="1" applyBorder="1" applyAlignment="1">
      <alignment horizontal="center" vertical="center" textRotation="90" wrapText="1"/>
    </xf>
    <xf numFmtId="0" fontId="11" fillId="0" borderId="29" xfId="28" applyFont="1" applyBorder="1" applyAlignment="1">
      <alignment horizontal="center" vertical="center" wrapText="1"/>
    </xf>
    <xf numFmtId="0" fontId="11" fillId="0" borderId="1" xfId="28" applyFont="1" applyBorder="1" applyAlignment="1">
      <alignment horizontal="center" vertical="center" wrapText="1"/>
    </xf>
    <xf numFmtId="0" fontId="18" fillId="0" borderId="0" xfId="29" applyFont="1" applyAlignment="1">
      <alignment vertical="top"/>
    </xf>
    <xf numFmtId="0" fontId="13" fillId="0" borderId="0" xfId="29" applyFont="1"/>
    <xf numFmtId="0" fontId="21" fillId="0" borderId="0" xfId="29" applyFont="1" applyBorder="1" applyAlignment="1">
      <alignment vertical="top"/>
    </xf>
    <xf numFmtId="0" fontId="13" fillId="0" borderId="0" xfId="29" applyFont="1" applyBorder="1"/>
    <xf numFmtId="0" fontId="11" fillId="0" borderId="48" xfId="29" applyFont="1" applyBorder="1" applyAlignment="1">
      <alignment horizontal="center" vertical="center"/>
    </xf>
    <xf numFmtId="0" fontId="11" fillId="0" borderId="49" xfId="29" applyFont="1" applyBorder="1" applyAlignment="1">
      <alignment horizontal="center" vertical="center"/>
    </xf>
    <xf numFmtId="0" fontId="11" fillId="0" borderId="50" xfId="29" applyFont="1" applyBorder="1" applyAlignment="1">
      <alignment horizontal="center" vertical="center"/>
    </xf>
    <xf numFmtId="0" fontId="10" fillId="0" borderId="84" xfId="17" applyFont="1" applyFill="1" applyBorder="1" applyAlignment="1">
      <alignment horizontal="left" vertical="center"/>
    </xf>
    <xf numFmtId="0" fontId="10" fillId="0" borderId="57" xfId="17" applyFont="1" applyFill="1" applyBorder="1" applyAlignment="1">
      <alignment horizontal="left" vertical="center"/>
    </xf>
    <xf numFmtId="0" fontId="10" fillId="0" borderId="85" xfId="17" applyFont="1" applyFill="1" applyBorder="1" applyAlignment="1">
      <alignment horizontal="left" vertical="center"/>
    </xf>
    <xf numFmtId="0" fontId="10" fillId="0" borderId="24" xfId="17" applyFont="1" applyFill="1" applyBorder="1" applyAlignment="1">
      <alignment horizontal="left" vertical="center" wrapText="1"/>
    </xf>
    <xf numFmtId="0" fontId="10" fillId="0" borderId="0" xfId="17" applyFont="1" applyFill="1" applyBorder="1" applyAlignment="1">
      <alignment horizontal="left" vertical="center" wrapText="1"/>
    </xf>
    <xf numFmtId="0" fontId="10" fillId="0" borderId="22" xfId="17" applyFont="1" applyFill="1" applyBorder="1" applyAlignment="1">
      <alignment horizontal="left" vertical="center" wrapText="1"/>
    </xf>
    <xf numFmtId="0" fontId="10" fillId="0" borderId="88" xfId="17" applyFont="1" applyFill="1" applyBorder="1" applyAlignment="1">
      <alignment horizontal="left" vertical="center" wrapText="1"/>
    </xf>
    <xf numFmtId="0" fontId="10" fillId="0" borderId="45" xfId="17" applyFont="1" applyFill="1" applyBorder="1" applyAlignment="1">
      <alignment horizontal="left" vertical="center" wrapText="1"/>
    </xf>
    <xf numFmtId="0" fontId="10" fillId="0" borderId="89" xfId="17" applyFont="1" applyFill="1" applyBorder="1" applyAlignment="1">
      <alignment horizontal="left" vertical="center" wrapText="1"/>
    </xf>
    <xf numFmtId="0" fontId="10" fillId="6" borderId="24" xfId="17" applyFont="1" applyFill="1" applyBorder="1" applyAlignment="1">
      <alignment horizontal="left" vertical="center" wrapText="1"/>
    </xf>
    <xf numFmtId="0" fontId="10" fillId="6" borderId="0" xfId="17" applyFont="1" applyFill="1" applyBorder="1" applyAlignment="1">
      <alignment horizontal="left" vertical="center" wrapText="1"/>
    </xf>
    <xf numFmtId="0" fontId="10" fillId="6" borderId="22" xfId="17" applyFont="1" applyFill="1" applyBorder="1" applyAlignment="1">
      <alignment horizontal="left" vertical="center" wrapText="1"/>
    </xf>
    <xf numFmtId="0" fontId="10" fillId="6" borderId="26" xfId="17" applyFont="1" applyFill="1" applyBorder="1" applyAlignment="1">
      <alignment horizontal="left" vertical="center" wrapText="1"/>
    </xf>
    <xf numFmtId="0" fontId="10" fillId="6" borderId="28" xfId="17" applyFont="1" applyFill="1" applyBorder="1" applyAlignment="1">
      <alignment horizontal="left" vertical="center" wrapText="1"/>
    </xf>
    <xf numFmtId="0" fontId="10" fillId="6" borderId="32" xfId="17" applyFont="1" applyFill="1" applyBorder="1" applyAlignment="1">
      <alignment horizontal="left" vertical="center" wrapText="1"/>
    </xf>
    <xf numFmtId="0" fontId="10" fillId="7" borderId="0" xfId="17" applyFont="1" applyFill="1" applyBorder="1" applyAlignment="1">
      <alignment horizontal="left" vertical="center" wrapText="1"/>
    </xf>
    <xf numFmtId="0" fontId="10" fillId="7" borderId="0" xfId="17" quotePrefix="1" applyFont="1" applyFill="1" applyBorder="1" applyAlignment="1">
      <alignment horizontal="left" vertical="top" wrapText="1"/>
    </xf>
    <xf numFmtId="0" fontId="10" fillId="7" borderId="0" xfId="17" applyFont="1" applyFill="1" applyBorder="1" applyAlignment="1">
      <alignment horizontal="left" vertical="top" wrapText="1"/>
    </xf>
    <xf numFmtId="0" fontId="10" fillId="0" borderId="0" xfId="17" quotePrefix="1" applyFont="1" applyFill="1" applyBorder="1" applyAlignment="1">
      <alignment horizontal="left" vertical="top" wrapText="1"/>
    </xf>
    <xf numFmtId="37" fontId="29" fillId="0" borderId="0" xfId="1" applyNumberFormat="1" applyFont="1" applyFill="1" applyBorder="1" applyAlignment="1">
      <alignment horizontal="center" vertical="center"/>
    </xf>
    <xf numFmtId="37" fontId="11" fillId="0" borderId="0" xfId="1" applyNumberFormat="1" applyFont="1" applyFill="1" applyBorder="1" applyAlignment="1">
      <alignment horizontal="center" vertical="center"/>
    </xf>
    <xf numFmtId="37" fontId="13" fillId="0" borderId="0" xfId="1" applyNumberFormat="1" applyFont="1" applyFill="1" applyBorder="1" applyAlignment="1">
      <alignment horizontal="center" vertical="center"/>
    </xf>
    <xf numFmtId="10" fontId="13" fillId="0" borderId="0" xfId="18" applyNumberFormat="1" applyFont="1" applyFill="1" applyBorder="1" applyAlignment="1">
      <alignment horizontal="center" vertical="center"/>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10" fillId="0" borderId="0" xfId="17" applyFont="1" applyFill="1" applyBorder="1" applyAlignment="1">
      <alignment horizontal="left" vertical="center"/>
    </xf>
    <xf numFmtId="0" fontId="0" fillId="0" borderId="0" xfId="0" applyBorder="1" applyAlignment="1">
      <alignment horizontal="left"/>
    </xf>
    <xf numFmtId="0" fontId="10" fillId="6" borderId="25" xfId="17" applyFont="1" applyFill="1" applyBorder="1" applyAlignment="1">
      <alignment horizontal="left" vertical="center"/>
    </xf>
    <xf numFmtId="0" fontId="10" fillId="6" borderId="16" xfId="17" applyFont="1" applyFill="1" applyBorder="1" applyAlignment="1">
      <alignment horizontal="left" vertical="center"/>
    </xf>
    <xf numFmtId="0" fontId="10" fillId="6" borderId="31" xfId="17" applyFont="1" applyFill="1" applyBorder="1" applyAlignment="1">
      <alignment horizontal="left" vertical="center"/>
    </xf>
    <xf numFmtId="0" fontId="10" fillId="6" borderId="24" xfId="17" applyFont="1" applyFill="1" applyBorder="1" applyAlignment="1">
      <alignment horizontal="left" vertical="center"/>
    </xf>
    <xf numFmtId="0" fontId="10" fillId="6" borderId="0" xfId="17" applyFont="1" applyFill="1" applyBorder="1" applyAlignment="1">
      <alignment horizontal="left" vertical="center"/>
    </xf>
    <xf numFmtId="0" fontId="10" fillId="6" borderId="22" xfId="17" applyFont="1" applyFill="1" applyBorder="1" applyAlignment="1">
      <alignment horizontal="left" vertical="center"/>
    </xf>
    <xf numFmtId="0" fontId="10" fillId="6" borderId="86" xfId="17" applyFont="1" applyFill="1" applyBorder="1" applyAlignment="1">
      <alignment horizontal="left" vertical="center" wrapText="1"/>
    </xf>
    <xf numFmtId="0" fontId="10" fillId="6" borderId="46" xfId="17" applyFont="1" applyFill="1" applyBorder="1" applyAlignment="1">
      <alignment horizontal="left" vertical="center" wrapText="1"/>
    </xf>
    <xf numFmtId="0" fontId="10" fillId="6" borderId="87" xfId="17" applyFont="1" applyFill="1" applyBorder="1" applyAlignment="1">
      <alignment horizontal="left" vertical="center" wrapText="1"/>
    </xf>
    <xf numFmtId="0" fontId="10" fillId="0" borderId="86" xfId="17" applyFont="1" applyFill="1" applyBorder="1" applyAlignment="1">
      <alignment horizontal="left" vertical="center"/>
    </xf>
    <xf numFmtId="0" fontId="10" fillId="0" borderId="46" xfId="17" applyFont="1" applyFill="1" applyBorder="1" applyAlignment="1">
      <alignment horizontal="left" vertical="center"/>
    </xf>
    <xf numFmtId="0" fontId="10" fillId="0" borderId="87" xfId="17" applyFont="1" applyFill="1" applyBorder="1" applyAlignment="1">
      <alignment horizontal="left" vertical="center"/>
    </xf>
    <xf numFmtId="41" fontId="29" fillId="0" borderId="0" xfId="1" applyNumberFormat="1" applyFont="1" applyFill="1" applyBorder="1" applyAlignment="1">
      <alignment horizontal="center" vertical="center"/>
    </xf>
    <xf numFmtId="0" fontId="13" fillId="6" borderId="26" xfId="0" applyFont="1" applyFill="1" applyBorder="1" applyAlignment="1">
      <alignment horizontal="left"/>
    </xf>
    <xf numFmtId="0" fontId="13" fillId="6" borderId="28" xfId="0" applyFont="1" applyFill="1" applyBorder="1" applyAlignment="1">
      <alignment horizontal="left"/>
    </xf>
    <xf numFmtId="0" fontId="13" fillId="6" borderId="32" xfId="0" applyFont="1" applyFill="1" applyBorder="1" applyAlignment="1">
      <alignment horizontal="left"/>
    </xf>
    <xf numFmtId="0" fontId="11" fillId="0" borderId="29"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27" xfId="0" applyFont="1" applyBorder="1" applyAlignment="1">
      <alignment horizontal="center" vertical="center" textRotation="89"/>
    </xf>
    <xf numFmtId="0" fontId="11" fillId="0" borderId="15" xfId="0" applyFont="1" applyBorder="1" applyAlignment="1">
      <alignment horizontal="center" vertical="center" textRotation="89"/>
    </xf>
    <xf numFmtId="0" fontId="11" fillId="0" borderId="21" xfId="0" applyFont="1" applyBorder="1" applyAlignment="1">
      <alignment horizontal="center" vertical="center" textRotation="89"/>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48" xfId="17" applyNumberFormat="1"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0" fillId="0" borderId="25" xfId="0" applyFont="1" applyFill="1" applyBorder="1" applyAlignment="1">
      <alignment horizontal="left"/>
    </xf>
    <xf numFmtId="0" fontId="10" fillId="0" borderId="16" xfId="0" applyFont="1" applyFill="1" applyBorder="1" applyAlignment="1">
      <alignment horizontal="left"/>
    </xf>
    <xf numFmtId="0" fontId="10" fillId="0" borderId="31" xfId="0" applyFont="1" applyFill="1" applyBorder="1" applyAlignment="1">
      <alignment horizontal="left"/>
    </xf>
    <xf numFmtId="0" fontId="10" fillId="0" borderId="88" xfId="17" applyFont="1" applyFill="1" applyBorder="1" applyAlignment="1">
      <alignment wrapText="1"/>
    </xf>
    <xf numFmtId="0" fontId="10" fillId="0" borderId="45" xfId="0" applyFont="1" applyFill="1" applyBorder="1" applyAlignment="1">
      <alignment wrapText="1"/>
    </xf>
    <xf numFmtId="0" fontId="10" fillId="0" borderId="89" xfId="0" applyFont="1" applyFill="1" applyBorder="1" applyAlignment="1">
      <alignment wrapText="1"/>
    </xf>
    <xf numFmtId="0" fontId="10" fillId="6" borderId="26" xfId="17" applyFont="1" applyFill="1" applyBorder="1" applyAlignment="1">
      <alignment wrapText="1"/>
    </xf>
    <xf numFmtId="0" fontId="10" fillId="6" borderId="28" xfId="0" applyFont="1" applyFill="1" applyBorder="1" applyAlignment="1">
      <alignment wrapText="1"/>
    </xf>
    <xf numFmtId="0" fontId="10" fillId="6" borderId="32" xfId="0" applyFont="1" applyFill="1" applyBorder="1" applyAlignment="1">
      <alignment wrapText="1"/>
    </xf>
    <xf numFmtId="0" fontId="10" fillId="6" borderId="0" xfId="17" applyFont="1" applyFill="1" applyBorder="1" applyAlignment="1">
      <alignment horizontal="left" wrapText="1"/>
    </xf>
    <xf numFmtId="0" fontId="10" fillId="0" borderId="88" xfId="17" applyFont="1" applyFill="1" applyBorder="1" applyAlignment="1">
      <alignment horizontal="left" wrapText="1"/>
    </xf>
    <xf numFmtId="0" fontId="10" fillId="0" borderId="45" xfId="0" applyFont="1" applyFill="1" applyBorder="1" applyAlignment="1">
      <alignment horizontal="left" wrapText="1"/>
    </xf>
    <xf numFmtId="0" fontId="10" fillId="0" borderId="89" xfId="0" applyFont="1" applyFill="1" applyBorder="1" applyAlignment="1">
      <alignment horizontal="left" wrapText="1"/>
    </xf>
    <xf numFmtId="0" fontId="13" fillId="0" borderId="24" xfId="17" applyFont="1" applyFill="1" applyBorder="1" applyAlignment="1">
      <alignment horizontal="left" wrapText="1"/>
    </xf>
    <xf numFmtId="0" fontId="13" fillId="0" borderId="0" xfId="17" applyFont="1" applyFill="1" applyBorder="1" applyAlignment="1">
      <alignment horizontal="left" wrapText="1"/>
    </xf>
    <xf numFmtId="0" fontId="11" fillId="0" borderId="29" xfId="17" applyNumberFormat="1"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0" fontId="11" fillId="0" borderId="30" xfId="17" applyNumberFormat="1" applyFont="1" applyFill="1" applyBorder="1" applyAlignment="1">
      <alignment horizontal="center" vertical="center" wrapText="1"/>
    </xf>
    <xf numFmtId="10" fontId="13" fillId="0" borderId="7" xfId="18" applyFont="1" applyFill="1" applyBorder="1" applyAlignment="1">
      <alignment horizontal="center" wrapText="1"/>
    </xf>
    <xf numFmtId="10" fontId="13" fillId="0" borderId="13" xfId="18" applyFont="1" applyFill="1" applyBorder="1" applyAlignment="1">
      <alignment horizontal="center" wrapText="1"/>
    </xf>
    <xf numFmtId="10" fontId="13" fillId="0" borderId="56" xfId="18" applyFont="1" applyFill="1" applyBorder="1" applyAlignment="1">
      <alignment horizontal="center" wrapText="1"/>
    </xf>
    <xf numFmtId="10" fontId="13" fillId="0" borderId="97" xfId="18" applyFont="1" applyFill="1" applyBorder="1" applyAlignment="1">
      <alignment horizontal="center" wrapText="1"/>
    </xf>
    <xf numFmtId="10" fontId="13" fillId="0" borderId="28" xfId="18" applyFont="1" applyFill="1" applyBorder="1" applyAlignment="1">
      <alignment horizontal="center" wrapText="1"/>
    </xf>
    <xf numFmtId="10" fontId="13" fillId="0" borderId="32" xfId="18" applyFont="1" applyFill="1" applyBorder="1" applyAlignment="1">
      <alignment horizontal="center" wrapText="1"/>
    </xf>
    <xf numFmtId="0" fontId="13" fillId="0" borderId="24" xfId="0" applyFont="1" applyFill="1" applyBorder="1" applyAlignment="1">
      <alignment horizontal="left"/>
    </xf>
    <xf numFmtId="0" fontId="13" fillId="0" borderId="0" xfId="0" applyFont="1" applyFill="1" applyBorder="1" applyAlignment="1">
      <alignment horizontal="left"/>
    </xf>
    <xf numFmtId="0" fontId="13" fillId="0" borderId="6" xfId="0" applyFont="1" applyFill="1" applyBorder="1" applyAlignment="1">
      <alignment horizontal="left"/>
    </xf>
    <xf numFmtId="0" fontId="10" fillId="6" borderId="0" xfId="17" applyFont="1" applyFill="1" applyBorder="1" applyAlignment="1">
      <alignment horizontal="left" vertical="top" wrapText="1"/>
    </xf>
    <xf numFmtId="0" fontId="13" fillId="0" borderId="88" xfId="0" applyFont="1" applyFill="1" applyBorder="1" applyAlignment="1">
      <alignment horizontal="center"/>
    </xf>
    <xf numFmtId="0" fontId="13" fillId="0" borderId="45" xfId="0" applyFont="1" applyFill="1" applyBorder="1" applyAlignment="1">
      <alignment horizontal="center"/>
    </xf>
    <xf numFmtId="0" fontId="13" fillId="0" borderId="89" xfId="0" applyFont="1" applyFill="1" applyBorder="1" applyAlignment="1">
      <alignment horizontal="center"/>
    </xf>
    <xf numFmtId="37" fontId="13" fillId="0" borderId="28" xfId="1" applyNumberFormat="1" applyFont="1" applyFill="1" applyBorder="1" applyAlignment="1">
      <alignment horizontal="center" wrapText="1"/>
    </xf>
    <xf numFmtId="37" fontId="13" fillId="0" borderId="32" xfId="1" applyNumberFormat="1" applyFont="1" applyFill="1" applyBorder="1" applyAlignment="1">
      <alignment horizontal="center" wrapText="1"/>
    </xf>
    <xf numFmtId="0" fontId="10" fillId="6" borderId="25" xfId="0" applyFont="1" applyFill="1" applyBorder="1" applyAlignment="1">
      <alignment horizontal="left"/>
    </xf>
    <xf numFmtId="0" fontId="10" fillId="6" borderId="16" xfId="0" applyFont="1" applyFill="1" applyBorder="1" applyAlignment="1">
      <alignment horizontal="left"/>
    </xf>
    <xf numFmtId="0" fontId="10" fillId="6" borderId="31" xfId="0" applyFont="1" applyFill="1" applyBorder="1" applyAlignment="1">
      <alignment horizontal="left"/>
    </xf>
    <xf numFmtId="0" fontId="10" fillId="6" borderId="58" xfId="17" applyFont="1" applyFill="1" applyBorder="1" applyAlignment="1">
      <alignment horizontal="left" vertical="center" wrapText="1"/>
    </xf>
    <xf numFmtId="0" fontId="10" fillId="6" borderId="47" xfId="17" applyFont="1" applyFill="1" applyBorder="1" applyAlignment="1">
      <alignment horizontal="left" vertical="center" wrapText="1"/>
    </xf>
    <xf numFmtId="0" fontId="10" fillId="6" borderId="59" xfId="17" applyFont="1" applyFill="1" applyBorder="1" applyAlignment="1">
      <alignment horizontal="left" vertical="center" wrapText="1"/>
    </xf>
    <xf numFmtId="0" fontId="10" fillId="6" borderId="88" xfId="17" applyFont="1" applyFill="1" applyBorder="1" applyAlignment="1">
      <alignment horizontal="left" vertical="center" wrapText="1"/>
    </xf>
    <xf numFmtId="0" fontId="10" fillId="6" borderId="45" xfId="17" applyFont="1" applyFill="1" applyBorder="1" applyAlignment="1">
      <alignment horizontal="left" vertical="center" wrapText="1"/>
    </xf>
    <xf numFmtId="0" fontId="10" fillId="6" borderId="89" xfId="17" applyFont="1" applyFill="1" applyBorder="1" applyAlignment="1">
      <alignment horizontal="left" vertical="center" wrapText="1"/>
    </xf>
    <xf numFmtId="0" fontId="11" fillId="0" borderId="25" xfId="17" applyNumberFormat="1" applyFont="1" applyFill="1" applyBorder="1" applyAlignment="1">
      <alignment horizontal="center" vertical="center" wrapText="1"/>
    </xf>
    <xf numFmtId="0" fontId="11" fillId="0" borderId="16" xfId="17" applyNumberFormat="1" applyFont="1" applyFill="1" applyBorder="1" applyAlignment="1">
      <alignment horizontal="center" vertical="center" wrapText="1"/>
    </xf>
    <xf numFmtId="0" fontId="11" fillId="0" borderId="31" xfId="17" applyNumberFormat="1" applyFont="1" applyFill="1" applyBorder="1" applyAlignment="1">
      <alignment horizontal="center" vertical="center" wrapText="1"/>
    </xf>
    <xf numFmtId="0" fontId="10" fillId="6" borderId="25" xfId="17" applyFont="1" applyFill="1" applyBorder="1" applyAlignment="1">
      <alignment horizontal="left" vertical="center" wrapText="1"/>
    </xf>
    <xf numFmtId="0" fontId="10" fillId="6" borderId="16" xfId="17" applyFont="1" applyFill="1" applyBorder="1" applyAlignment="1">
      <alignment horizontal="left" vertical="center" wrapText="1"/>
    </xf>
    <xf numFmtId="0" fontId="10" fillId="6" borderId="31" xfId="17" applyFont="1" applyFill="1" applyBorder="1" applyAlignment="1">
      <alignment horizontal="left" vertical="center" wrapText="1"/>
    </xf>
    <xf numFmtId="0" fontId="10" fillId="4" borderId="0" xfId="17" applyFont="1" applyFill="1" applyBorder="1" applyAlignment="1">
      <alignment horizontal="left" vertical="top" wrapText="1"/>
    </xf>
    <xf numFmtId="0" fontId="10" fillId="0" borderId="25" xfId="17" applyFont="1" applyFill="1" applyBorder="1" applyAlignment="1">
      <alignment horizontal="left" vertical="center"/>
    </xf>
    <xf numFmtId="0" fontId="10" fillId="0" borderId="16" xfId="17" applyFont="1" applyFill="1" applyBorder="1" applyAlignment="1">
      <alignment horizontal="left" vertical="center"/>
    </xf>
    <xf numFmtId="0" fontId="10" fillId="0" borderId="31" xfId="17" applyFont="1" applyFill="1" applyBorder="1" applyAlignment="1">
      <alignment horizontal="left" vertical="center"/>
    </xf>
    <xf numFmtId="0" fontId="10" fillId="0" borderId="88" xfId="0" applyFont="1" applyFill="1" applyBorder="1" applyAlignment="1">
      <alignment horizontal="left" wrapText="1"/>
    </xf>
    <xf numFmtId="0" fontId="10" fillId="0"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6" borderId="26" xfId="0" applyFont="1" applyFill="1" applyBorder="1" applyAlignment="1">
      <alignment horizontal="left" vertical="top" wrapText="1"/>
    </xf>
    <xf numFmtId="0" fontId="10" fillId="6" borderId="28" xfId="0" applyFont="1" applyFill="1" applyBorder="1" applyAlignment="1">
      <alignment horizontal="left" vertical="top" wrapText="1"/>
    </xf>
    <xf numFmtId="0" fontId="10" fillId="6" borderId="32" xfId="0" applyFont="1" applyFill="1" applyBorder="1" applyAlignment="1">
      <alignment horizontal="left" vertical="top" wrapText="1"/>
    </xf>
    <xf numFmtId="0" fontId="11" fillId="0" borderId="48" xfId="0" applyFont="1" applyBorder="1" applyAlignment="1">
      <alignment horizontal="center"/>
    </xf>
    <xf numFmtId="0" fontId="11" fillId="0" borderId="49" xfId="0" applyFont="1" applyBorder="1" applyAlignment="1">
      <alignment horizontal="center"/>
    </xf>
    <xf numFmtId="0" fontId="11" fillId="0" borderId="50" xfId="0" applyFont="1" applyBorder="1" applyAlignment="1">
      <alignment horizontal="center"/>
    </xf>
    <xf numFmtId="0" fontId="13" fillId="0" borderId="0" xfId="0" applyFont="1" applyBorder="1" applyAlignment="1">
      <alignment horizontal="center"/>
    </xf>
    <xf numFmtId="173" fontId="13" fillId="0" borderId="0" xfId="0" applyNumberFormat="1" applyFont="1" applyBorder="1" applyAlignment="1">
      <alignment horizontal="center"/>
    </xf>
    <xf numFmtId="5" fontId="11" fillId="0" borderId="29" xfId="4" applyFont="1" applyFill="1" applyBorder="1" applyAlignment="1">
      <alignment horizontal="center" vertical="center"/>
    </xf>
    <xf numFmtId="5" fontId="11" fillId="0" borderId="1" xfId="4" applyFont="1" applyFill="1" applyBorder="1" applyAlignment="1">
      <alignment horizontal="center" vertical="center"/>
    </xf>
    <xf numFmtId="5" fontId="11" fillId="0" borderId="30" xfId="4" applyFont="1" applyFill="1" applyBorder="1" applyAlignment="1">
      <alignment horizontal="center" vertical="center"/>
    </xf>
    <xf numFmtId="0" fontId="10" fillId="0" borderId="58"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58" xfId="0" applyFont="1" applyBorder="1" applyAlignment="1">
      <alignment horizontal="left" vertical="center"/>
    </xf>
    <xf numFmtId="0" fontId="10" fillId="0" borderId="47" xfId="0" applyFont="1" applyBorder="1" applyAlignment="1">
      <alignment horizontal="left" vertical="center"/>
    </xf>
    <xf numFmtId="0" fontId="10" fillId="0" borderId="59" xfId="0" applyFont="1" applyBorder="1" applyAlignment="1">
      <alignment horizontal="left" vertical="center"/>
    </xf>
    <xf numFmtId="0" fontId="13" fillId="0" borderId="27" xfId="0" applyFont="1" applyBorder="1" applyAlignment="1">
      <alignment horizontal="center" vertical="center" textRotation="90"/>
    </xf>
    <xf numFmtId="0" fontId="13" fillId="0" borderId="15" xfId="0" applyFont="1" applyBorder="1" applyAlignment="1">
      <alignment horizontal="center" vertical="center" textRotation="90"/>
    </xf>
    <xf numFmtId="0" fontId="13" fillId="0" borderId="21" xfId="0" applyFont="1" applyBorder="1" applyAlignment="1">
      <alignment horizontal="center" vertical="center" textRotation="90"/>
    </xf>
    <xf numFmtId="0" fontId="10" fillId="6" borderId="26"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10" fillId="6" borderId="32" xfId="0" applyFont="1" applyFill="1" applyBorder="1" applyAlignment="1">
      <alignment horizontal="left" vertical="center" wrapText="1"/>
    </xf>
    <xf numFmtId="5" fontId="11" fillId="0" borderId="29" xfId="4" applyFont="1" applyFill="1" applyBorder="1" applyAlignment="1">
      <alignment horizontal="center" vertical="center" wrapText="1"/>
    </xf>
    <xf numFmtId="5" fontId="11" fillId="0" borderId="30" xfId="4" applyFont="1" applyFill="1" applyBorder="1" applyAlignment="1">
      <alignment horizontal="center" vertical="center" wrapText="1"/>
    </xf>
    <xf numFmtId="165" fontId="13" fillId="0" borderId="25" xfId="1" applyNumberFormat="1" applyFont="1" applyFill="1" applyBorder="1" applyAlignment="1">
      <alignment horizontal="center" vertical="center"/>
    </xf>
    <xf numFmtId="165" fontId="13" fillId="0" borderId="31" xfId="1" applyNumberFormat="1" applyFont="1" applyFill="1" applyBorder="1" applyAlignment="1">
      <alignment horizontal="center" vertical="center"/>
    </xf>
    <xf numFmtId="165" fontId="13" fillId="0" borderId="24" xfId="1" applyNumberFormat="1" applyFont="1" applyFill="1" applyBorder="1" applyAlignment="1">
      <alignment horizontal="center" vertical="center"/>
    </xf>
    <xf numFmtId="165" fontId="13" fillId="0" borderId="22" xfId="1" applyNumberFormat="1" applyFont="1" applyFill="1" applyBorder="1" applyAlignment="1">
      <alignment horizontal="center" vertical="center"/>
    </xf>
    <xf numFmtId="0" fontId="10" fillId="6" borderId="24"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22" xfId="0" applyFont="1" applyFill="1" applyBorder="1" applyAlignment="1">
      <alignment horizontal="left" vertical="center" wrapText="1"/>
    </xf>
    <xf numFmtId="165" fontId="13" fillId="0" borderId="26" xfId="1" applyNumberFormat="1" applyFont="1" applyFill="1" applyBorder="1" applyAlignment="1">
      <alignment horizontal="center" vertical="center"/>
    </xf>
    <xf numFmtId="165" fontId="13" fillId="0" borderId="32" xfId="1" applyNumberFormat="1" applyFont="1" applyFill="1" applyBorder="1" applyAlignment="1">
      <alignment horizontal="center" vertical="center"/>
    </xf>
    <xf numFmtId="165" fontId="13" fillId="0" borderId="29" xfId="1" applyNumberFormat="1" applyFont="1" applyFill="1" applyBorder="1" applyAlignment="1">
      <alignment horizontal="center" vertical="center"/>
    </xf>
    <xf numFmtId="165" fontId="13" fillId="0" borderId="30" xfId="1"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0" xfId="0" applyFont="1" applyFill="1" applyBorder="1" applyAlignment="1">
      <alignment horizontal="center" vertical="center"/>
    </xf>
    <xf numFmtId="0" fontId="10" fillId="0" borderId="123" xfId="0" applyFont="1" applyBorder="1" applyAlignment="1">
      <alignment horizontal="left" vertical="center" wrapText="1"/>
    </xf>
    <xf numFmtId="0" fontId="10" fillId="0" borderId="124" xfId="0" applyFont="1" applyBorder="1" applyAlignment="1">
      <alignment horizontal="left" vertical="center" wrapText="1"/>
    </xf>
    <xf numFmtId="0" fontId="10" fillId="0" borderId="125" xfId="0" applyFont="1" applyBorder="1" applyAlignment="1">
      <alignment horizontal="left" vertical="center" wrapText="1"/>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6" borderId="26" xfId="0" applyFont="1" applyFill="1" applyBorder="1" applyAlignment="1">
      <alignment horizontal="left" wrapText="1"/>
    </xf>
    <xf numFmtId="0" fontId="10" fillId="6" borderId="28" xfId="0" applyFont="1" applyFill="1" applyBorder="1" applyAlignment="1">
      <alignment horizontal="left" wrapText="1"/>
    </xf>
    <xf numFmtId="0" fontId="10" fillId="6" borderId="32" xfId="0" applyFont="1" applyFill="1" applyBorder="1" applyAlignment="1">
      <alignment horizontal="left" wrapText="1"/>
    </xf>
    <xf numFmtId="0" fontId="10" fillId="0" borderId="129" xfId="0" applyFont="1" applyFill="1" applyBorder="1" applyAlignment="1">
      <alignment horizontal="left" vertical="top" wrapText="1"/>
    </xf>
    <xf numFmtId="0" fontId="10" fillId="0" borderId="130" xfId="0" applyFont="1" applyFill="1" applyBorder="1" applyAlignment="1">
      <alignment horizontal="left" vertical="top" wrapText="1"/>
    </xf>
    <xf numFmtId="0" fontId="10" fillId="0" borderId="131" xfId="0" applyFont="1" applyFill="1" applyBorder="1" applyAlignment="1">
      <alignment horizontal="left" vertical="top" wrapText="1"/>
    </xf>
    <xf numFmtId="0" fontId="10" fillId="0" borderId="126" xfId="0" applyFont="1" applyFill="1" applyBorder="1" applyAlignment="1">
      <alignment horizontal="left" vertical="top" wrapText="1"/>
    </xf>
    <xf numFmtId="0" fontId="10" fillId="0" borderId="127" xfId="0" applyFont="1" applyFill="1" applyBorder="1" applyAlignment="1">
      <alignment horizontal="left" vertical="top" wrapText="1"/>
    </xf>
    <xf numFmtId="0" fontId="10" fillId="0" borderId="128" xfId="0" applyFont="1" applyFill="1" applyBorder="1" applyAlignment="1">
      <alignment horizontal="left" vertical="top" wrapText="1"/>
    </xf>
    <xf numFmtId="0" fontId="10" fillId="0" borderId="118" xfId="0" applyFont="1" applyBorder="1" applyAlignment="1">
      <alignment horizontal="left" vertical="top"/>
    </xf>
    <xf numFmtId="0" fontId="10" fillId="0" borderId="65" xfId="0" applyFont="1" applyBorder="1" applyAlignment="1">
      <alignment horizontal="left" vertical="top"/>
    </xf>
    <xf numFmtId="0" fontId="10" fillId="0" borderId="119" xfId="0" applyFont="1" applyBorder="1" applyAlignment="1">
      <alignment horizontal="left" vertical="top"/>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0" fillId="0" borderId="58" xfId="17" applyFont="1" applyFill="1" applyBorder="1" applyAlignment="1">
      <alignment wrapText="1"/>
    </xf>
    <xf numFmtId="0" fontId="10" fillId="0" borderId="47" xfId="0" applyFont="1" applyFill="1" applyBorder="1" applyAlignment="1">
      <alignment wrapText="1"/>
    </xf>
    <xf numFmtId="0" fontId="10" fillId="0" borderId="59" xfId="0" applyFont="1" applyFill="1" applyBorder="1" applyAlignment="1">
      <alignment wrapText="1"/>
    </xf>
    <xf numFmtId="0" fontId="10" fillId="0" borderId="88" xfId="17" applyFont="1" applyFill="1" applyBorder="1" applyAlignment="1">
      <alignment horizontal="left" vertical="top" wrapText="1"/>
    </xf>
    <xf numFmtId="0" fontId="10" fillId="0" borderId="45" xfId="17" applyFont="1" applyFill="1" applyBorder="1" applyAlignment="1">
      <alignment horizontal="left" vertical="top" wrapText="1"/>
    </xf>
    <xf numFmtId="0" fontId="10" fillId="0" borderId="89" xfId="17" applyFont="1" applyFill="1" applyBorder="1" applyAlignment="1">
      <alignment horizontal="left" vertical="top" wrapText="1"/>
    </xf>
    <xf numFmtId="0" fontId="10" fillId="0" borderId="25" xfId="17" applyFont="1" applyFill="1" applyBorder="1" applyAlignment="1">
      <alignment vertical="top" wrapText="1"/>
    </xf>
    <xf numFmtId="0" fontId="10" fillId="0" borderId="16" xfId="0" applyFont="1" applyFill="1" applyBorder="1" applyAlignment="1">
      <alignment vertical="top" wrapText="1"/>
    </xf>
    <xf numFmtId="0" fontId="10" fillId="0" borderId="31" xfId="0" applyFont="1" applyFill="1" applyBorder="1" applyAlignment="1">
      <alignment vertical="top" wrapText="1"/>
    </xf>
    <xf numFmtId="0" fontId="10" fillId="0" borderId="120" xfId="0" applyFont="1" applyFill="1" applyBorder="1" applyAlignment="1">
      <alignment horizontal="left" vertical="top" wrapText="1"/>
    </xf>
    <xf numFmtId="0" fontId="10" fillId="0" borderId="121" xfId="0" applyFont="1" applyFill="1" applyBorder="1" applyAlignment="1">
      <alignment horizontal="left" vertical="top" wrapText="1"/>
    </xf>
    <xf numFmtId="0" fontId="10" fillId="0" borderId="122" xfId="0" applyFont="1" applyFill="1" applyBorder="1" applyAlignment="1">
      <alignment horizontal="left" vertical="top" wrapText="1"/>
    </xf>
    <xf numFmtId="0" fontId="10" fillId="0" borderId="0" xfId="0" applyFont="1" applyBorder="1" applyAlignment="1">
      <alignment horizontal="left"/>
    </xf>
    <xf numFmtId="0" fontId="26" fillId="0" borderId="28" xfId="30" applyFont="1" applyBorder="1" applyAlignment="1">
      <alignment horizontal="center" vertical="center"/>
    </xf>
    <xf numFmtId="0" fontId="26" fillId="6" borderId="29" xfId="30" applyFont="1" applyFill="1" applyBorder="1" applyAlignment="1">
      <alignment horizontal="center" vertical="center"/>
    </xf>
    <xf numFmtId="0" fontId="26" fillId="6" borderId="30" xfId="30" applyFont="1" applyFill="1" applyBorder="1" applyAlignment="1">
      <alignment horizontal="center" vertical="center"/>
    </xf>
    <xf numFmtId="0" fontId="26" fillId="0" borderId="27" xfId="30" applyFont="1" applyBorder="1" applyAlignment="1">
      <alignment horizontal="center" vertical="center" wrapText="1"/>
    </xf>
    <xf numFmtId="0" fontId="26" fillId="0" borderId="15" xfId="30" applyFont="1" applyBorder="1" applyAlignment="1">
      <alignment horizontal="center" vertical="center" wrapText="1"/>
    </xf>
    <xf numFmtId="0" fontId="26" fillId="0" borderId="21" xfId="30" applyFont="1" applyBorder="1" applyAlignment="1">
      <alignment horizontal="center" vertical="center" wrapText="1"/>
    </xf>
    <xf numFmtId="0" fontId="26" fillId="0" borderId="68" xfId="30" applyFont="1" applyBorder="1" applyAlignment="1">
      <alignment horizontal="center" vertical="center" wrapText="1"/>
    </xf>
    <xf numFmtId="0" fontId="26" fillId="0" borderId="61" xfId="30" applyFont="1" applyBorder="1" applyAlignment="1">
      <alignment horizontal="center" vertical="center" wrapText="1"/>
    </xf>
    <xf numFmtId="0" fontId="26" fillId="0" borderId="63" xfId="30" applyFont="1" applyBorder="1" applyAlignment="1">
      <alignment horizontal="center" vertical="center" wrapText="1"/>
    </xf>
    <xf numFmtId="0" fontId="26" fillId="0" borderId="53" xfId="30" applyFont="1" applyBorder="1" applyAlignment="1">
      <alignment horizontal="left" vertical="center" wrapText="1"/>
    </xf>
    <xf numFmtId="0" fontId="26" fillId="0" borderId="54" xfId="30" applyFont="1" applyBorder="1" applyAlignment="1">
      <alignment horizontal="left" vertical="center" wrapText="1"/>
    </xf>
    <xf numFmtId="0" fontId="26" fillId="0" borderId="104" xfId="30" applyFont="1" applyBorder="1" applyAlignment="1">
      <alignment horizontal="left" vertical="center" wrapText="1"/>
    </xf>
    <xf numFmtId="0" fontId="26" fillId="0" borderId="105" xfId="30" applyFont="1" applyBorder="1" applyAlignment="1">
      <alignment horizontal="left" vertical="center" wrapText="1"/>
    </xf>
    <xf numFmtId="0" fontId="18" fillId="0" borderId="51" xfId="30" applyFont="1" applyBorder="1" applyAlignment="1">
      <alignment horizontal="left" vertical="center" wrapText="1"/>
    </xf>
    <xf numFmtId="0" fontId="18" fillId="0" borderId="52" xfId="30" applyFont="1" applyBorder="1" applyAlignment="1">
      <alignment horizontal="left" vertical="center" wrapText="1"/>
    </xf>
    <xf numFmtId="0" fontId="18" fillId="0" borderId="106" xfId="30" applyFont="1" applyBorder="1" applyAlignment="1">
      <alignment horizontal="left" vertical="center" wrapText="1"/>
    </xf>
    <xf numFmtId="0" fontId="18" fillId="0" borderId="107" xfId="30" applyFont="1" applyBorder="1" applyAlignment="1">
      <alignment horizontal="left" vertical="center" wrapText="1"/>
    </xf>
    <xf numFmtId="0" fontId="26" fillId="0" borderId="16" xfId="30" applyFont="1" applyBorder="1" applyAlignment="1">
      <alignment horizontal="left" vertical="center" wrapText="1"/>
    </xf>
    <xf numFmtId="0" fontId="18" fillId="0" borderId="0" xfId="30" applyFont="1" applyBorder="1" applyAlignment="1">
      <alignment horizontal="left" vertical="center" wrapText="1"/>
    </xf>
    <xf numFmtId="0" fontId="18" fillId="0" borderId="0" xfId="30" applyFont="1" applyFill="1" applyBorder="1" applyAlignment="1">
      <alignment horizontal="left" vertical="center" wrapText="1"/>
    </xf>
    <xf numFmtId="0" fontId="26" fillId="0" borderId="51" xfId="30" applyFont="1" applyBorder="1" applyAlignment="1">
      <alignment horizontal="left" vertical="center" wrapText="1"/>
    </xf>
    <xf numFmtId="0" fontId="26" fillId="0" borderId="52" xfId="30" applyFont="1" applyBorder="1" applyAlignment="1">
      <alignment horizontal="left" vertical="center" wrapText="1"/>
    </xf>
    <xf numFmtId="0" fontId="26" fillId="0" borderId="38" xfId="30" applyFont="1" applyBorder="1" applyAlignment="1">
      <alignment horizontal="center" vertical="center" wrapText="1"/>
    </xf>
    <xf numFmtId="0" fontId="26" fillId="0" borderId="106" xfId="30" applyFont="1" applyBorder="1" applyAlignment="1">
      <alignment horizontal="left" vertical="center" wrapText="1"/>
    </xf>
    <xf numFmtId="0" fontId="26" fillId="0" borderId="107" xfId="30" applyFont="1" applyBorder="1" applyAlignment="1">
      <alignment horizontal="left" vertical="center" wrapText="1"/>
    </xf>
  </cellXfs>
  <cellStyles count="60">
    <cellStyle name="Comma" xfId="1" builtinId="3" customBuiltin="1"/>
    <cellStyle name="Comma 2" xfId="27"/>
    <cellStyle name="Comma 2 2" xfId="41"/>
    <cellStyle name="Comma 3" xfId="2"/>
    <cellStyle name="Comma 3 2" xfId="38"/>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2" xfId="21"/>
    <cellStyle name="Normal 2 2" xfId="40"/>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192519160"/>
        <c:axId val="192519552"/>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192519944"/>
        <c:axId val="192520336"/>
      </c:lineChart>
      <c:catAx>
        <c:axId val="19251916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92519552"/>
        <c:crosses val="autoZero"/>
        <c:auto val="0"/>
        <c:lblAlgn val="ctr"/>
        <c:lblOffset val="100"/>
        <c:tickLblSkip val="1"/>
        <c:tickMarkSkip val="1"/>
        <c:noMultiLvlLbl val="0"/>
      </c:catAx>
      <c:valAx>
        <c:axId val="192519552"/>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19160"/>
        <c:crosses val="autoZero"/>
        <c:crossBetween val="between"/>
        <c:majorUnit val="20000"/>
      </c:valAx>
      <c:catAx>
        <c:axId val="192519944"/>
        <c:scaling>
          <c:orientation val="minMax"/>
        </c:scaling>
        <c:delete val="1"/>
        <c:axPos val="b"/>
        <c:numFmt formatCode="mmm\ yyyy" sourceLinked="1"/>
        <c:majorTickMark val="out"/>
        <c:minorTickMark val="none"/>
        <c:tickLblPos val="none"/>
        <c:crossAx val="192520336"/>
        <c:crosses val="autoZero"/>
        <c:auto val="0"/>
        <c:lblAlgn val="ctr"/>
        <c:lblOffset val="100"/>
        <c:noMultiLvlLbl val="0"/>
      </c:catAx>
      <c:valAx>
        <c:axId val="192520336"/>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19944"/>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192521120"/>
        <c:axId val="192521512"/>
      </c:lineChart>
      <c:catAx>
        <c:axId val="19252112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92521512"/>
        <c:crosses val="autoZero"/>
        <c:auto val="0"/>
        <c:lblAlgn val="ctr"/>
        <c:lblOffset val="100"/>
        <c:tickLblSkip val="1"/>
        <c:tickMarkSkip val="1"/>
        <c:noMultiLvlLbl val="0"/>
      </c:catAx>
      <c:valAx>
        <c:axId val="192521512"/>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21120"/>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192522296"/>
        <c:axId val="368678240"/>
      </c:barChart>
      <c:catAx>
        <c:axId val="192522296"/>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68678240"/>
        <c:crosses val="autoZero"/>
        <c:auto val="0"/>
        <c:lblAlgn val="ctr"/>
        <c:lblOffset val="100"/>
        <c:tickLblSkip val="1"/>
        <c:tickMarkSkip val="1"/>
        <c:noMultiLvlLbl val="0"/>
      </c:catAx>
      <c:valAx>
        <c:axId val="368678240"/>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92522296"/>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view="pageBreakPreview" zoomScale="70" zoomScaleNormal="100" zoomScaleSheetLayoutView="70" workbookViewId="0">
      <selection activeCell="K25" sqref="K25"/>
    </sheetView>
  </sheetViews>
  <sheetFormatPr defaultColWidth="9.140625" defaultRowHeight="15.75" x14ac:dyDescent="0.2"/>
  <cols>
    <col min="1" max="1" width="5.5703125" style="167" customWidth="1"/>
    <col min="2" max="2" width="33.5703125" style="167" customWidth="1"/>
    <col min="3" max="4" width="17.7109375" style="167" customWidth="1"/>
    <col min="5" max="5" width="18.7109375" style="167" bestFit="1" customWidth="1"/>
    <col min="6" max="6" width="17.7109375" style="167" customWidth="1"/>
    <col min="7" max="7" width="18.7109375" style="167" bestFit="1" customWidth="1"/>
    <col min="8" max="15" width="17.7109375" style="167" customWidth="1"/>
    <col min="16" max="16" width="17.42578125" style="167" bestFit="1" customWidth="1"/>
    <col min="17" max="17" width="14.28515625" style="167" bestFit="1" customWidth="1"/>
    <col min="18" max="18" width="23.140625" style="167" customWidth="1"/>
    <col min="19" max="19" width="18.140625" style="167" customWidth="1"/>
    <col min="20" max="16384" width="9.140625" style="167"/>
  </cols>
  <sheetData>
    <row r="1" spans="1:18" s="169" customFormat="1" ht="16.5" customHeight="1" thickBot="1" x14ac:dyDescent="0.25">
      <c r="A1" s="631" t="s">
        <v>299</v>
      </c>
      <c r="B1" s="631"/>
      <c r="C1" s="631"/>
      <c r="D1" s="631"/>
      <c r="E1" s="631"/>
      <c r="F1" s="631"/>
      <c r="G1" s="631"/>
      <c r="H1" s="631"/>
      <c r="I1" s="631"/>
      <c r="J1" s="631"/>
      <c r="K1" s="631"/>
      <c r="L1" s="631"/>
      <c r="M1" s="631"/>
      <c r="N1" s="631"/>
      <c r="O1" s="631"/>
    </row>
    <row r="2" spans="1:18" ht="32.25" thickBot="1" x14ac:dyDescent="0.25">
      <c r="A2" s="79"/>
      <c r="B2" s="80" t="s">
        <v>49</v>
      </c>
      <c r="C2" s="81">
        <v>42552</v>
      </c>
      <c r="D2" s="81">
        <v>42583</v>
      </c>
      <c r="E2" s="81">
        <v>42614</v>
      </c>
      <c r="F2" s="81">
        <v>42644</v>
      </c>
      <c r="G2" s="81">
        <v>42675</v>
      </c>
      <c r="H2" s="81">
        <v>42705</v>
      </c>
      <c r="I2" s="81">
        <v>42736</v>
      </c>
      <c r="J2" s="81">
        <v>42767</v>
      </c>
      <c r="K2" s="81">
        <v>42795</v>
      </c>
      <c r="L2" s="81">
        <v>42826</v>
      </c>
      <c r="M2" s="81">
        <v>42856</v>
      </c>
      <c r="N2" s="81">
        <v>42887</v>
      </c>
      <c r="O2" s="82" t="s">
        <v>300</v>
      </c>
    </row>
    <row r="3" spans="1:18" x14ac:dyDescent="0.2">
      <c r="A3" s="632" t="s">
        <v>50</v>
      </c>
      <c r="B3" s="170" t="s">
        <v>51</v>
      </c>
      <c r="C3" s="503">
        <v>51180194</v>
      </c>
      <c r="D3" s="503">
        <v>63940070</v>
      </c>
      <c r="E3" s="503">
        <v>50530485</v>
      </c>
      <c r="F3" s="503">
        <v>68635471</v>
      </c>
      <c r="G3" s="503">
        <v>51211880</v>
      </c>
      <c r="H3" s="503">
        <v>56694400</v>
      </c>
      <c r="I3" s="503">
        <v>64139352</v>
      </c>
      <c r="J3" s="503">
        <v>52650924</v>
      </c>
      <c r="K3" s="571">
        <v>51431237.400000013</v>
      </c>
      <c r="L3" s="571">
        <v>47323930.400000006</v>
      </c>
      <c r="M3" s="571">
        <v>55257359.309999987</v>
      </c>
      <c r="N3" s="503"/>
      <c r="O3" s="171">
        <f t="shared" ref="O3:O38" si="0">ROUND(SUM(C3:N3),0)</f>
        <v>612995303</v>
      </c>
      <c r="Q3" s="168"/>
      <c r="R3" s="558"/>
    </row>
    <row r="4" spans="1:18" x14ac:dyDescent="0.2">
      <c r="A4" s="633"/>
      <c r="B4" s="170" t="s">
        <v>52</v>
      </c>
      <c r="C4" s="503">
        <v>2231186</v>
      </c>
      <c r="D4" s="503">
        <v>3425724</v>
      </c>
      <c r="E4" s="503">
        <v>2497610</v>
      </c>
      <c r="F4" s="503">
        <v>2793181</v>
      </c>
      <c r="G4" s="503">
        <v>2048018</v>
      </c>
      <c r="H4" s="503">
        <v>2007853</v>
      </c>
      <c r="I4" s="503">
        <v>2353493</v>
      </c>
      <c r="J4" s="503">
        <v>1551472</v>
      </c>
      <c r="K4" s="571">
        <v>-380</v>
      </c>
      <c r="L4" s="571">
        <v>0</v>
      </c>
      <c r="M4" s="571">
        <v>1421</v>
      </c>
      <c r="N4" s="503"/>
      <c r="O4" s="171">
        <f t="shared" si="0"/>
        <v>18909578</v>
      </c>
      <c r="Q4" s="168"/>
      <c r="R4" s="558"/>
    </row>
    <row r="5" spans="1:18" x14ac:dyDescent="0.2">
      <c r="A5" s="633"/>
      <c r="B5" s="170" t="s">
        <v>53</v>
      </c>
      <c r="C5" s="503">
        <v>1989094</v>
      </c>
      <c r="D5" s="503">
        <v>2393038</v>
      </c>
      <c r="E5" s="503">
        <v>2127248</v>
      </c>
      <c r="F5" s="503">
        <v>2623738</v>
      </c>
      <c r="G5" s="503">
        <v>2531653</v>
      </c>
      <c r="H5" s="503">
        <v>2096685</v>
      </c>
      <c r="I5" s="503">
        <v>2811554</v>
      </c>
      <c r="J5" s="503">
        <v>1696893</v>
      </c>
      <c r="K5" s="571">
        <v>2821675</v>
      </c>
      <c r="L5" s="571">
        <v>6052346.8299999991</v>
      </c>
      <c r="M5" s="571">
        <v>8654639.2200000007</v>
      </c>
      <c r="N5" s="503"/>
      <c r="O5" s="171">
        <f t="shared" si="0"/>
        <v>35798564</v>
      </c>
      <c r="Q5" s="168"/>
    </row>
    <row r="6" spans="1:18" ht="31.5" x14ac:dyDescent="0.2">
      <c r="A6" s="633"/>
      <c r="B6" s="170" t="s">
        <v>54</v>
      </c>
      <c r="C6" s="503">
        <v>1588109</v>
      </c>
      <c r="D6" s="503">
        <v>1821243</v>
      </c>
      <c r="E6" s="503">
        <v>1525628</v>
      </c>
      <c r="F6" s="503">
        <v>2271226</v>
      </c>
      <c r="G6" s="503">
        <v>1792520</v>
      </c>
      <c r="H6" s="503">
        <v>1635014</v>
      </c>
      <c r="I6" s="503">
        <v>2170060</v>
      </c>
      <c r="J6" s="503">
        <v>1587626</v>
      </c>
      <c r="K6" s="571">
        <v>2037687.4300000002</v>
      </c>
      <c r="L6" s="571">
        <v>4795783.6400000025</v>
      </c>
      <c r="M6" s="571">
        <v>2422691.669999999</v>
      </c>
      <c r="N6" s="503"/>
      <c r="O6" s="171">
        <f t="shared" si="0"/>
        <v>23647589</v>
      </c>
      <c r="Q6" s="168"/>
    </row>
    <row r="7" spans="1:18" x14ac:dyDescent="0.2">
      <c r="A7" s="633"/>
      <c r="B7" s="170" t="s">
        <v>55</v>
      </c>
      <c r="C7" s="503">
        <v>20146151</v>
      </c>
      <c r="D7" s="503">
        <v>40599515</v>
      </c>
      <c r="E7" s="503">
        <v>28948833</v>
      </c>
      <c r="F7" s="503">
        <v>33521673</v>
      </c>
      <c r="G7" s="503">
        <v>27070032</v>
      </c>
      <c r="H7" s="503">
        <v>25012795</v>
      </c>
      <c r="I7" s="503">
        <v>27864071</v>
      </c>
      <c r="J7" s="503">
        <v>21458545</v>
      </c>
      <c r="K7" s="571">
        <v>31882733.390000001</v>
      </c>
      <c r="L7" s="571">
        <v>25792145.570000004</v>
      </c>
      <c r="M7" s="571">
        <v>31967307.000000004</v>
      </c>
      <c r="N7" s="503"/>
      <c r="O7" s="171">
        <f t="shared" si="0"/>
        <v>314263801</v>
      </c>
      <c r="Q7" s="168"/>
    </row>
    <row r="8" spans="1:18" x14ac:dyDescent="0.2">
      <c r="A8" s="633"/>
      <c r="B8" s="170" t="s">
        <v>56</v>
      </c>
      <c r="C8" s="503">
        <v>414107</v>
      </c>
      <c r="D8" s="503">
        <v>568314</v>
      </c>
      <c r="E8" s="503">
        <v>419642</v>
      </c>
      <c r="F8" s="503">
        <v>823850</v>
      </c>
      <c r="G8" s="503">
        <v>485030</v>
      </c>
      <c r="H8" s="503">
        <v>508657</v>
      </c>
      <c r="I8" s="503">
        <v>599656</v>
      </c>
      <c r="J8" s="503">
        <v>464590</v>
      </c>
      <c r="K8" s="571">
        <v>90260.03</v>
      </c>
      <c r="L8" s="571">
        <v>109073.71000000002</v>
      </c>
      <c r="M8" s="571">
        <v>20918.37</v>
      </c>
      <c r="N8" s="503"/>
      <c r="O8" s="171">
        <f t="shared" si="0"/>
        <v>4504098</v>
      </c>
      <c r="Q8" s="168"/>
    </row>
    <row r="9" spans="1:18" x14ac:dyDescent="0.2">
      <c r="A9" s="633"/>
      <c r="B9" s="170" t="s">
        <v>57</v>
      </c>
      <c r="C9" s="503">
        <v>33122182</v>
      </c>
      <c r="D9" s="503">
        <v>32703618</v>
      </c>
      <c r="E9" s="503">
        <v>33465252</v>
      </c>
      <c r="F9" s="503">
        <v>34237891</v>
      </c>
      <c r="G9" s="503">
        <v>33536834</v>
      </c>
      <c r="H9" s="503">
        <v>26948886</v>
      </c>
      <c r="I9" s="503">
        <v>34262716</v>
      </c>
      <c r="J9" s="503">
        <v>34584667</v>
      </c>
      <c r="K9" s="571">
        <v>32546644.919999979</v>
      </c>
      <c r="L9" s="571">
        <v>34271112.590000004</v>
      </c>
      <c r="M9" s="571">
        <v>37428400.420000069</v>
      </c>
      <c r="N9" s="503"/>
      <c r="O9" s="171">
        <f t="shared" si="0"/>
        <v>367108204</v>
      </c>
      <c r="Q9" s="168"/>
    </row>
    <row r="10" spans="1:18" x14ac:dyDescent="0.2">
      <c r="A10" s="633"/>
      <c r="B10" s="170" t="s">
        <v>16</v>
      </c>
      <c r="C10" s="503">
        <v>51219322</v>
      </c>
      <c r="D10" s="503">
        <v>57681227</v>
      </c>
      <c r="E10" s="503">
        <v>60591899</v>
      </c>
      <c r="F10" s="503">
        <v>75352277</v>
      </c>
      <c r="G10" s="503">
        <v>54432354</v>
      </c>
      <c r="H10" s="503">
        <v>61936906</v>
      </c>
      <c r="I10" s="503">
        <v>81018140</v>
      </c>
      <c r="J10" s="503">
        <v>48879338</v>
      </c>
      <c r="K10" s="571">
        <v>42755467.290000007</v>
      </c>
      <c r="L10" s="571">
        <v>58329752.079999998</v>
      </c>
      <c r="M10" s="571">
        <v>76872566.709999993</v>
      </c>
      <c r="N10" s="503"/>
      <c r="O10" s="171">
        <f t="shared" si="0"/>
        <v>669069249</v>
      </c>
      <c r="Q10" s="168"/>
    </row>
    <row r="11" spans="1:18" x14ac:dyDescent="0.2">
      <c r="A11" s="633"/>
      <c r="B11" s="170" t="s">
        <v>17</v>
      </c>
      <c r="C11" s="503">
        <v>51455926</v>
      </c>
      <c r="D11" s="503">
        <v>48325880</v>
      </c>
      <c r="E11" s="503">
        <v>50136333</v>
      </c>
      <c r="F11" s="503">
        <v>66402863</v>
      </c>
      <c r="G11" s="503">
        <v>46015784</v>
      </c>
      <c r="H11" s="503">
        <v>42052677</v>
      </c>
      <c r="I11" s="503">
        <v>47093230</v>
      </c>
      <c r="J11" s="503">
        <v>33011080</v>
      </c>
      <c r="K11" s="571">
        <v>31498785.879999995</v>
      </c>
      <c r="L11" s="571">
        <v>46324194.399999999</v>
      </c>
      <c r="M11" s="571">
        <v>74200370.649999991</v>
      </c>
      <c r="N11" s="503"/>
      <c r="O11" s="171">
        <f t="shared" si="0"/>
        <v>536517124</v>
      </c>
      <c r="Q11" s="168"/>
    </row>
    <row r="12" spans="1:18" x14ac:dyDescent="0.2">
      <c r="A12" s="633"/>
      <c r="B12" s="170" t="s">
        <v>58</v>
      </c>
      <c r="C12" s="503">
        <v>8910847</v>
      </c>
      <c r="D12" s="503">
        <v>11600298</v>
      </c>
      <c r="E12" s="503">
        <v>9542222</v>
      </c>
      <c r="F12" s="503">
        <v>12821369</v>
      </c>
      <c r="G12" s="503">
        <v>9525766</v>
      </c>
      <c r="H12" s="503">
        <v>10178402</v>
      </c>
      <c r="I12" s="503">
        <v>12064248</v>
      </c>
      <c r="J12" s="503">
        <v>8302267</v>
      </c>
      <c r="K12" s="571">
        <v>3480891.5900000026</v>
      </c>
      <c r="L12" s="571">
        <v>8300381.1200000048</v>
      </c>
      <c r="M12" s="571">
        <v>10721053.480000002</v>
      </c>
      <c r="N12" s="503"/>
      <c r="O12" s="171">
        <f t="shared" si="0"/>
        <v>105447745</v>
      </c>
      <c r="Q12" s="168"/>
    </row>
    <row r="13" spans="1:18" x14ac:dyDescent="0.2">
      <c r="A13" s="633"/>
      <c r="B13" s="170" t="s">
        <v>59</v>
      </c>
      <c r="C13" s="503">
        <v>13839505</v>
      </c>
      <c r="D13" s="503">
        <v>17114435</v>
      </c>
      <c r="E13" s="503">
        <v>13608632</v>
      </c>
      <c r="F13" s="503">
        <v>19052581</v>
      </c>
      <c r="G13" s="503">
        <v>14098534</v>
      </c>
      <c r="H13" s="503">
        <v>15240715</v>
      </c>
      <c r="I13" s="503">
        <v>17097987</v>
      </c>
      <c r="J13" s="503">
        <v>12108459</v>
      </c>
      <c r="K13" s="571">
        <v>6651166.6699999999</v>
      </c>
      <c r="L13" s="571">
        <v>11951380.390000001</v>
      </c>
      <c r="M13" s="571">
        <v>17921252.859999999</v>
      </c>
      <c r="N13" s="503"/>
      <c r="O13" s="171">
        <f t="shared" si="0"/>
        <v>158684648</v>
      </c>
      <c r="Q13" s="168"/>
    </row>
    <row r="14" spans="1:18" x14ac:dyDescent="0.2">
      <c r="A14" s="633"/>
      <c r="B14" s="170" t="s">
        <v>15</v>
      </c>
      <c r="C14" s="503">
        <v>66239821</v>
      </c>
      <c r="D14" s="503">
        <v>87220032</v>
      </c>
      <c r="E14" s="503">
        <v>69975082</v>
      </c>
      <c r="F14" s="503">
        <v>90019350</v>
      </c>
      <c r="G14" s="503">
        <v>70279174</v>
      </c>
      <c r="H14" s="503">
        <v>77730002</v>
      </c>
      <c r="I14" s="503">
        <v>93253864</v>
      </c>
      <c r="J14" s="503">
        <v>86968403</v>
      </c>
      <c r="K14" s="571">
        <v>78589905.209999993</v>
      </c>
      <c r="L14" s="571">
        <v>76468806.459999993</v>
      </c>
      <c r="M14" s="571">
        <v>95102339.680000007</v>
      </c>
      <c r="N14" s="503"/>
      <c r="O14" s="171">
        <f t="shared" si="0"/>
        <v>891846779</v>
      </c>
      <c r="Q14" s="168"/>
    </row>
    <row r="15" spans="1:18" x14ac:dyDescent="0.2">
      <c r="A15" s="633"/>
      <c r="B15" s="170" t="s">
        <v>60</v>
      </c>
      <c r="C15" s="503">
        <v>0</v>
      </c>
      <c r="D15" s="503">
        <v>0</v>
      </c>
      <c r="E15" s="503">
        <v>-128245815</v>
      </c>
      <c r="F15" s="503">
        <v>-2743065</v>
      </c>
      <c r="G15" s="503">
        <v>0</v>
      </c>
      <c r="H15" s="503">
        <v>-154735457</v>
      </c>
      <c r="I15" s="503">
        <v>0</v>
      </c>
      <c r="J15" s="503">
        <v>0</v>
      </c>
      <c r="K15" s="571">
        <v>-143959957</v>
      </c>
      <c r="L15" s="571">
        <v>0</v>
      </c>
      <c r="M15" s="571">
        <v>-129277415</v>
      </c>
      <c r="N15" s="503"/>
      <c r="O15" s="171">
        <f t="shared" si="0"/>
        <v>-558961709</v>
      </c>
      <c r="Q15" s="168"/>
    </row>
    <row r="16" spans="1:18" x14ac:dyDescent="0.2">
      <c r="A16" s="633"/>
      <c r="B16" s="170" t="s">
        <v>82</v>
      </c>
      <c r="C16" s="503">
        <v>1275745</v>
      </c>
      <c r="D16" s="503">
        <v>1758207</v>
      </c>
      <c r="E16" s="503">
        <v>1366726</v>
      </c>
      <c r="F16" s="503">
        <v>2405453</v>
      </c>
      <c r="G16" s="503">
        <v>1623965</v>
      </c>
      <c r="H16" s="503">
        <v>1613099</v>
      </c>
      <c r="I16" s="503">
        <v>2339821</v>
      </c>
      <c r="J16" s="503">
        <v>1637189</v>
      </c>
      <c r="K16" s="571">
        <v>480051.85</v>
      </c>
      <c r="L16" s="571">
        <v>226459.41</v>
      </c>
      <c r="M16" s="571">
        <v>971510.26000000013</v>
      </c>
      <c r="N16" s="503"/>
      <c r="O16" s="171">
        <f t="shared" si="0"/>
        <v>15698227</v>
      </c>
      <c r="Q16" s="168"/>
    </row>
    <row r="17" spans="1:18" x14ac:dyDescent="0.2">
      <c r="A17" s="633"/>
      <c r="B17" s="170" t="s">
        <v>83</v>
      </c>
      <c r="C17" s="503">
        <v>10637575</v>
      </c>
      <c r="D17" s="503">
        <v>15070819</v>
      </c>
      <c r="E17" s="503">
        <v>10238089</v>
      </c>
      <c r="F17" s="503">
        <v>15864410</v>
      </c>
      <c r="G17" s="503">
        <v>11057789</v>
      </c>
      <c r="H17" s="503">
        <v>13205105</v>
      </c>
      <c r="I17" s="503">
        <v>15540914</v>
      </c>
      <c r="J17" s="503">
        <v>8928769</v>
      </c>
      <c r="K17" s="571">
        <v>6284089.790000001</v>
      </c>
      <c r="L17" s="571">
        <v>3165809.0999999866</v>
      </c>
      <c r="M17" s="571">
        <v>7669807.1800000016</v>
      </c>
      <c r="N17" s="503"/>
      <c r="O17" s="171">
        <f t="shared" si="0"/>
        <v>117663176</v>
      </c>
      <c r="Q17" s="168"/>
    </row>
    <row r="18" spans="1:18" ht="31.5" x14ac:dyDescent="0.2">
      <c r="A18" s="633"/>
      <c r="B18" s="170" t="s">
        <v>84</v>
      </c>
      <c r="C18" s="503">
        <v>5782235</v>
      </c>
      <c r="D18" s="503">
        <v>4415367</v>
      </c>
      <c r="E18" s="503">
        <v>1842196</v>
      </c>
      <c r="F18" s="503">
        <v>3314080</v>
      </c>
      <c r="G18" s="503">
        <v>10579722</v>
      </c>
      <c r="H18" s="503">
        <v>5789647</v>
      </c>
      <c r="I18" s="503">
        <v>2472131</v>
      </c>
      <c r="J18" s="503">
        <v>7629742</v>
      </c>
      <c r="K18" s="571">
        <v>1020799.73</v>
      </c>
      <c r="L18" s="571">
        <v>246932.16999999998</v>
      </c>
      <c r="M18" s="571">
        <v>8736245.2599999998</v>
      </c>
      <c r="N18" s="503"/>
      <c r="O18" s="171">
        <f t="shared" si="0"/>
        <v>51829097</v>
      </c>
      <c r="Q18" s="168"/>
    </row>
    <row r="19" spans="1:18" ht="31.5" x14ac:dyDescent="0.2">
      <c r="A19" s="633"/>
      <c r="B19" s="170" t="s">
        <v>85</v>
      </c>
      <c r="C19" s="503">
        <v>327774</v>
      </c>
      <c r="D19" s="503">
        <v>249521</v>
      </c>
      <c r="E19" s="503">
        <v>237626</v>
      </c>
      <c r="F19" s="503">
        <v>285635</v>
      </c>
      <c r="G19" s="503">
        <v>155107</v>
      </c>
      <c r="H19" s="503">
        <v>204678</v>
      </c>
      <c r="I19" s="503">
        <v>319112</v>
      </c>
      <c r="J19" s="503">
        <v>355297</v>
      </c>
      <c r="K19" s="571">
        <v>-16</v>
      </c>
      <c r="L19" s="571">
        <v>0</v>
      </c>
      <c r="M19" s="571">
        <v>78</v>
      </c>
      <c r="N19" s="503"/>
      <c r="O19" s="171">
        <f t="shared" si="0"/>
        <v>2134812</v>
      </c>
      <c r="Q19" s="168"/>
      <c r="R19" s="508"/>
    </row>
    <row r="20" spans="1:18" ht="31.5" x14ac:dyDescent="0.2">
      <c r="A20" s="633"/>
      <c r="B20" s="170" t="s">
        <v>86</v>
      </c>
      <c r="C20" s="503">
        <v>0</v>
      </c>
      <c r="D20" s="503">
        <v>0</v>
      </c>
      <c r="E20" s="503">
        <v>0</v>
      </c>
      <c r="F20" s="503">
        <v>0</v>
      </c>
      <c r="G20" s="503">
        <v>0</v>
      </c>
      <c r="H20" s="503">
        <v>0</v>
      </c>
      <c r="I20" s="503">
        <v>0</v>
      </c>
      <c r="J20" s="503">
        <v>0</v>
      </c>
      <c r="K20" s="571">
        <v>0</v>
      </c>
      <c r="L20" s="571">
        <v>0</v>
      </c>
      <c r="M20" s="571">
        <v>0</v>
      </c>
      <c r="N20" s="503"/>
      <c r="O20" s="171">
        <f t="shared" si="0"/>
        <v>0</v>
      </c>
      <c r="Q20" s="168"/>
    </row>
    <row r="21" spans="1:18" x14ac:dyDescent="0.2">
      <c r="A21" s="633"/>
      <c r="B21" s="170" t="s">
        <v>87</v>
      </c>
      <c r="C21" s="503">
        <v>0</v>
      </c>
      <c r="D21" s="503">
        <v>1203</v>
      </c>
      <c r="E21" s="503">
        <v>0</v>
      </c>
      <c r="F21" s="503">
        <v>0</v>
      </c>
      <c r="G21" s="503">
        <v>0</v>
      </c>
      <c r="H21" s="503">
        <v>0</v>
      </c>
      <c r="I21" s="503">
        <v>0</v>
      </c>
      <c r="J21" s="503">
        <v>0</v>
      </c>
      <c r="K21" s="571">
        <v>0</v>
      </c>
      <c r="L21" s="571">
        <v>0</v>
      </c>
      <c r="M21" s="571">
        <v>0</v>
      </c>
      <c r="N21" s="503"/>
      <c r="O21" s="171">
        <f t="shared" si="0"/>
        <v>1203</v>
      </c>
      <c r="Q21" s="168"/>
    </row>
    <row r="22" spans="1:18" hidden="1" x14ac:dyDescent="0.2">
      <c r="A22" s="633"/>
      <c r="B22" s="170" t="s">
        <v>347</v>
      </c>
      <c r="C22" s="503">
        <v>0</v>
      </c>
      <c r="D22" s="503">
        <v>0</v>
      </c>
      <c r="E22" s="503">
        <v>0</v>
      </c>
      <c r="F22" s="503">
        <v>0</v>
      </c>
      <c r="G22" s="503">
        <v>0</v>
      </c>
      <c r="H22" s="503">
        <v>0</v>
      </c>
      <c r="I22" s="503">
        <v>0</v>
      </c>
      <c r="J22" s="503">
        <v>0</v>
      </c>
      <c r="K22" s="571">
        <v>0</v>
      </c>
      <c r="L22" s="571">
        <v>0</v>
      </c>
      <c r="M22" s="571">
        <v>0</v>
      </c>
      <c r="N22" s="503"/>
      <c r="O22" s="171">
        <f t="shared" ref="O22" si="1">ROUND(SUM(C22:N22),0)</f>
        <v>0</v>
      </c>
      <c r="Q22" s="168"/>
    </row>
    <row r="23" spans="1:18" ht="16.5" thickBot="1" x14ac:dyDescent="0.25">
      <c r="A23" s="633"/>
      <c r="B23" s="170" t="s">
        <v>273</v>
      </c>
      <c r="C23" s="503">
        <v>2649694</v>
      </c>
      <c r="D23" s="503">
        <v>2607966</v>
      </c>
      <c r="E23" s="503">
        <v>2421751</v>
      </c>
      <c r="F23" s="503">
        <v>3107158</v>
      </c>
      <c r="G23" s="503">
        <v>2332759</v>
      </c>
      <c r="H23" s="503">
        <v>2209207</v>
      </c>
      <c r="I23" s="503">
        <v>2628177</v>
      </c>
      <c r="J23" s="503">
        <v>1883834</v>
      </c>
      <c r="K23" s="571">
        <v>2648203.58</v>
      </c>
      <c r="L23" s="571">
        <v>3680660.1400000006</v>
      </c>
      <c r="M23" s="571">
        <v>8091181.5199999996</v>
      </c>
      <c r="N23" s="503"/>
      <c r="O23" s="171">
        <f t="shared" si="0"/>
        <v>34260591</v>
      </c>
      <c r="Q23" s="168"/>
    </row>
    <row r="24" spans="1:18" ht="16.5" thickBot="1" x14ac:dyDescent="0.25">
      <c r="A24" s="634"/>
      <c r="B24" s="172" t="s">
        <v>61</v>
      </c>
      <c r="C24" s="173">
        <f t="shared" ref="C24:H24" si="2">SUM(C3:C23)</f>
        <v>323009467</v>
      </c>
      <c r="D24" s="173">
        <f t="shared" si="2"/>
        <v>391496477</v>
      </c>
      <c r="E24" s="173">
        <f t="shared" si="2"/>
        <v>211229439</v>
      </c>
      <c r="F24" s="173">
        <f t="shared" si="2"/>
        <v>430789141</v>
      </c>
      <c r="G24" s="173">
        <f t="shared" si="2"/>
        <v>338776921</v>
      </c>
      <c r="H24" s="173">
        <f t="shared" si="2"/>
        <v>190329271</v>
      </c>
      <c r="I24" s="173">
        <f t="shared" ref="I24:J24" si="3">SUM(I3:I23)</f>
        <v>408028526</v>
      </c>
      <c r="J24" s="173">
        <f t="shared" si="3"/>
        <v>323699095</v>
      </c>
      <c r="K24" s="572">
        <f>SUM(K3:K23)</f>
        <v>150259246.75999993</v>
      </c>
      <c r="L24" s="572">
        <f>SUM(L3:L23)</f>
        <v>327038768.00999999</v>
      </c>
      <c r="M24" s="572">
        <f>SUM(M3:M23)</f>
        <v>306761727.59000003</v>
      </c>
      <c r="N24" s="173"/>
      <c r="O24" s="174">
        <f t="shared" si="0"/>
        <v>3401418079</v>
      </c>
      <c r="P24" s="175"/>
      <c r="Q24" s="168"/>
    </row>
    <row r="25" spans="1:18" ht="31.5" x14ac:dyDescent="0.2">
      <c r="A25" s="632" t="s">
        <v>62</v>
      </c>
      <c r="B25" s="170" t="s">
        <v>88</v>
      </c>
      <c r="C25" s="504">
        <v>27382102</v>
      </c>
      <c r="D25" s="504">
        <v>31474398</v>
      </c>
      <c r="E25" s="504">
        <v>27271358</v>
      </c>
      <c r="F25" s="504">
        <v>32402491</v>
      </c>
      <c r="G25" s="504">
        <v>27075014</v>
      </c>
      <c r="H25" s="503">
        <v>30280981</v>
      </c>
      <c r="I25" s="503">
        <v>33894039</v>
      </c>
      <c r="J25" s="504">
        <v>26766359</v>
      </c>
      <c r="K25" s="573">
        <v>31587785.400000155</v>
      </c>
      <c r="L25" s="573">
        <v>23794648.350001588</v>
      </c>
      <c r="M25" s="573">
        <v>34417867.650004014</v>
      </c>
      <c r="N25" s="504"/>
      <c r="O25" s="171">
        <f>ROUND(SUM(C25:N25),0)</f>
        <v>326347043</v>
      </c>
      <c r="Q25" s="168"/>
    </row>
    <row r="26" spans="1:18" x14ac:dyDescent="0.2">
      <c r="A26" s="633"/>
      <c r="B26" s="170" t="s">
        <v>89</v>
      </c>
      <c r="C26" s="504">
        <v>3026569</v>
      </c>
      <c r="D26" s="504">
        <v>3405918</v>
      </c>
      <c r="E26" s="504">
        <v>3031112</v>
      </c>
      <c r="F26" s="504">
        <v>3459378</v>
      </c>
      <c r="G26" s="504">
        <v>3089498</v>
      </c>
      <c r="H26" s="503">
        <v>3220630</v>
      </c>
      <c r="I26" s="503">
        <v>3577618</v>
      </c>
      <c r="J26" s="504">
        <v>3131690</v>
      </c>
      <c r="K26" s="573">
        <v>1801190.6299999983</v>
      </c>
      <c r="L26" s="573">
        <v>2545470.7199999872</v>
      </c>
      <c r="M26" s="573">
        <v>4006351.2599999439</v>
      </c>
      <c r="N26" s="504"/>
      <c r="O26" s="171">
        <f t="shared" si="0"/>
        <v>34295426</v>
      </c>
      <c r="Q26" s="168"/>
    </row>
    <row r="27" spans="1:18" x14ac:dyDescent="0.2">
      <c r="A27" s="633"/>
      <c r="B27" s="170" t="s">
        <v>63</v>
      </c>
      <c r="C27" s="504">
        <v>1204309</v>
      </c>
      <c r="D27" s="504">
        <v>1322927</v>
      </c>
      <c r="E27" s="504">
        <v>1201948</v>
      </c>
      <c r="F27" s="504">
        <v>1377153</v>
      </c>
      <c r="G27" s="504">
        <v>1182536</v>
      </c>
      <c r="H27" s="503">
        <v>1448631</v>
      </c>
      <c r="I27" s="503">
        <v>1634423</v>
      </c>
      <c r="J27" s="504">
        <v>1093110</v>
      </c>
      <c r="K27" s="573">
        <v>1391738.8199999835</v>
      </c>
      <c r="L27" s="573">
        <v>1336708.9699999946</v>
      </c>
      <c r="M27" s="573">
        <v>1895782.7899999982</v>
      </c>
      <c r="N27" s="504"/>
      <c r="O27" s="171">
        <f t="shared" si="0"/>
        <v>15089268</v>
      </c>
      <c r="Q27" s="168"/>
    </row>
    <row r="28" spans="1:18" x14ac:dyDescent="0.2">
      <c r="A28" s="633"/>
      <c r="B28" s="170" t="s">
        <v>172</v>
      </c>
      <c r="C28" s="504">
        <v>0</v>
      </c>
      <c r="D28" s="504">
        <v>0</v>
      </c>
      <c r="E28" s="504">
        <v>0</v>
      </c>
      <c r="F28" s="504">
        <v>0</v>
      </c>
      <c r="G28" s="504">
        <v>0</v>
      </c>
      <c r="H28" s="503">
        <v>0</v>
      </c>
      <c r="I28" s="503">
        <v>0</v>
      </c>
      <c r="J28" s="504">
        <v>0</v>
      </c>
      <c r="K28" s="573">
        <v>0</v>
      </c>
      <c r="L28" s="573">
        <v>0</v>
      </c>
      <c r="M28" s="573">
        <v>0</v>
      </c>
      <c r="N28" s="504"/>
      <c r="O28" s="171">
        <f t="shared" si="0"/>
        <v>0</v>
      </c>
      <c r="Q28" s="168"/>
    </row>
    <row r="29" spans="1:18" ht="31.5" x14ac:dyDescent="0.2">
      <c r="A29" s="633"/>
      <c r="B29" s="170" t="s">
        <v>64</v>
      </c>
      <c r="C29" s="504">
        <v>0</v>
      </c>
      <c r="D29" s="504">
        <v>9908</v>
      </c>
      <c r="E29" s="504">
        <v>317708</v>
      </c>
      <c r="F29" s="504">
        <v>163907</v>
      </c>
      <c r="G29" s="504">
        <v>11340</v>
      </c>
      <c r="H29" s="503">
        <v>108647</v>
      </c>
      <c r="I29" s="503">
        <v>231598</v>
      </c>
      <c r="J29" s="504">
        <v>23451</v>
      </c>
      <c r="K29" s="573">
        <v>172698</v>
      </c>
      <c r="L29" s="573">
        <v>10498</v>
      </c>
      <c r="M29" s="573">
        <v>337545</v>
      </c>
      <c r="N29" s="504"/>
      <c r="O29" s="171">
        <f t="shared" si="0"/>
        <v>1387300</v>
      </c>
      <c r="Q29" s="168"/>
      <c r="R29" s="175"/>
    </row>
    <row r="30" spans="1:18" x14ac:dyDescent="0.2">
      <c r="A30" s="633"/>
      <c r="B30" s="170" t="s">
        <v>65</v>
      </c>
      <c r="C30" s="504">
        <v>1584957</v>
      </c>
      <c r="D30" s="504">
        <v>1438661</v>
      </c>
      <c r="E30" s="504">
        <v>1501668</v>
      </c>
      <c r="F30" s="504">
        <v>2332059</v>
      </c>
      <c r="G30" s="504">
        <v>1416481</v>
      </c>
      <c r="H30" s="503">
        <v>1405398</v>
      </c>
      <c r="I30" s="503">
        <v>2342207</v>
      </c>
      <c r="J30" s="504">
        <v>1607455</v>
      </c>
      <c r="K30" s="573">
        <v>442119.35999999993</v>
      </c>
      <c r="L30" s="573">
        <v>1023892.5000000028</v>
      </c>
      <c r="M30" s="573">
        <v>3222452.1200000313</v>
      </c>
      <c r="N30" s="504"/>
      <c r="O30" s="171">
        <f t="shared" si="0"/>
        <v>18317350</v>
      </c>
      <c r="Q30" s="168"/>
      <c r="R30" s="175"/>
    </row>
    <row r="31" spans="1:18" x14ac:dyDescent="0.2">
      <c r="A31" s="633"/>
      <c r="B31" s="176" t="s">
        <v>66</v>
      </c>
      <c r="C31" s="504">
        <v>32706</v>
      </c>
      <c r="D31" s="504">
        <v>42163</v>
      </c>
      <c r="E31" s="504">
        <v>36113</v>
      </c>
      <c r="F31" s="504">
        <v>66021</v>
      </c>
      <c r="G31" s="504">
        <v>51646</v>
      </c>
      <c r="H31" s="503">
        <v>43500</v>
      </c>
      <c r="I31" s="503">
        <v>33030</v>
      </c>
      <c r="J31" s="504">
        <v>80481</v>
      </c>
      <c r="K31" s="573">
        <v>23666.760000000002</v>
      </c>
      <c r="L31" s="573">
        <v>28246.970000000005</v>
      </c>
      <c r="M31" s="573">
        <v>69032.689999999784</v>
      </c>
      <c r="N31" s="504"/>
      <c r="O31" s="171">
        <f t="shared" si="0"/>
        <v>506606</v>
      </c>
      <c r="Q31" s="168"/>
    </row>
    <row r="32" spans="1:18" x14ac:dyDescent="0.2">
      <c r="A32" s="633"/>
      <c r="B32" s="176" t="s">
        <v>67</v>
      </c>
      <c r="C32" s="504">
        <v>50577</v>
      </c>
      <c r="D32" s="504">
        <v>72479</v>
      </c>
      <c r="E32" s="504">
        <v>65694</v>
      </c>
      <c r="F32" s="504">
        <v>56030</v>
      </c>
      <c r="G32" s="504">
        <v>54746</v>
      </c>
      <c r="H32" s="503">
        <v>57288</v>
      </c>
      <c r="I32" s="503">
        <v>77007</v>
      </c>
      <c r="J32" s="504">
        <v>54153</v>
      </c>
      <c r="K32" s="573">
        <v>19598.500000000025</v>
      </c>
      <c r="L32" s="573">
        <v>33552.840000000033</v>
      </c>
      <c r="M32" s="573">
        <v>104713.82999999916</v>
      </c>
      <c r="N32" s="504"/>
      <c r="O32" s="171">
        <f t="shared" si="0"/>
        <v>645839</v>
      </c>
      <c r="Q32" s="168"/>
    </row>
    <row r="33" spans="1:18" x14ac:dyDescent="0.2">
      <c r="A33" s="633"/>
      <c r="B33" s="176" t="s">
        <v>123</v>
      </c>
      <c r="C33" s="504">
        <v>188063</v>
      </c>
      <c r="D33" s="504">
        <v>217878</v>
      </c>
      <c r="E33" s="504">
        <v>213643</v>
      </c>
      <c r="F33" s="504">
        <v>271346</v>
      </c>
      <c r="G33" s="504">
        <v>251821</v>
      </c>
      <c r="H33" s="503">
        <v>299064</v>
      </c>
      <c r="I33" s="503">
        <v>305916</v>
      </c>
      <c r="J33" s="504">
        <v>223012</v>
      </c>
      <c r="K33" s="573">
        <v>174909.35999999996</v>
      </c>
      <c r="L33" s="573">
        <v>134811.42999999993</v>
      </c>
      <c r="M33" s="573">
        <v>239782.69000000018</v>
      </c>
      <c r="N33" s="504"/>
      <c r="O33" s="171">
        <f t="shared" si="0"/>
        <v>2520246</v>
      </c>
      <c r="Q33" s="168"/>
    </row>
    <row r="34" spans="1:18" x14ac:dyDescent="0.2">
      <c r="A34" s="633"/>
      <c r="B34" s="176" t="s">
        <v>297</v>
      </c>
      <c r="C34" s="504">
        <v>202696</v>
      </c>
      <c r="D34" s="504">
        <v>243156</v>
      </c>
      <c r="E34" s="504">
        <v>237156</v>
      </c>
      <c r="F34" s="504">
        <v>368864</v>
      </c>
      <c r="G34" s="504">
        <v>247914</v>
      </c>
      <c r="H34" s="503">
        <v>275044</v>
      </c>
      <c r="I34" s="503">
        <v>365257</v>
      </c>
      <c r="J34" s="504">
        <v>224762</v>
      </c>
      <c r="K34" s="573">
        <v>6758.1799999999994</v>
      </c>
      <c r="L34" s="573">
        <v>6761.0499999999993</v>
      </c>
      <c r="M34" s="573">
        <v>10604.91</v>
      </c>
      <c r="N34" s="504"/>
      <c r="O34" s="171">
        <f t="shared" si="0"/>
        <v>2188973</v>
      </c>
      <c r="Q34" s="168"/>
    </row>
    <row r="35" spans="1:18" x14ac:dyDescent="0.2">
      <c r="A35" s="633"/>
      <c r="B35" s="170" t="s">
        <v>14</v>
      </c>
      <c r="C35" s="504">
        <v>5643463</v>
      </c>
      <c r="D35" s="504">
        <v>8650868</v>
      </c>
      <c r="E35" s="504">
        <v>7257148</v>
      </c>
      <c r="F35" s="504">
        <v>8605654</v>
      </c>
      <c r="G35" s="504">
        <v>6863178</v>
      </c>
      <c r="H35" s="503">
        <v>6715100</v>
      </c>
      <c r="I35" s="503">
        <v>8008069</v>
      </c>
      <c r="J35" s="504">
        <v>5464500</v>
      </c>
      <c r="K35" s="573">
        <v>7377176.1600000001</v>
      </c>
      <c r="L35" s="573">
        <v>7368335.2199999988</v>
      </c>
      <c r="M35" s="573">
        <v>8512854.4100000001</v>
      </c>
      <c r="N35" s="504"/>
      <c r="O35" s="171">
        <f t="shared" si="0"/>
        <v>80466346</v>
      </c>
      <c r="Q35" s="168"/>
    </row>
    <row r="36" spans="1:18" x14ac:dyDescent="0.2">
      <c r="A36" s="633"/>
      <c r="B36" s="170" t="s">
        <v>274</v>
      </c>
      <c r="C36" s="504">
        <v>19676046</v>
      </c>
      <c r="D36" s="504">
        <v>25069901</v>
      </c>
      <c r="E36" s="504">
        <v>21290249</v>
      </c>
      <c r="F36" s="504">
        <v>26349152</v>
      </c>
      <c r="G36" s="504">
        <v>20867334</v>
      </c>
      <c r="H36" s="503">
        <v>21486977</v>
      </c>
      <c r="I36" s="503">
        <v>26568527</v>
      </c>
      <c r="J36" s="504">
        <v>18643709</v>
      </c>
      <c r="K36" s="573">
        <v>16544799.890000001</v>
      </c>
      <c r="L36" s="573">
        <v>21039119.27</v>
      </c>
      <c r="M36" s="573">
        <v>24827507.710000001</v>
      </c>
      <c r="N36" s="504"/>
      <c r="O36" s="171">
        <f t="shared" si="0"/>
        <v>242363322</v>
      </c>
      <c r="Q36" s="168"/>
      <c r="R36" s="508"/>
    </row>
    <row r="37" spans="1:18" ht="16.5" thickBot="1" x14ac:dyDescent="0.25">
      <c r="A37" s="633"/>
      <c r="B37" s="170" t="s">
        <v>68</v>
      </c>
      <c r="C37" s="504">
        <v>3998808</v>
      </c>
      <c r="D37" s="504">
        <v>5164620</v>
      </c>
      <c r="E37" s="504">
        <v>4731266</v>
      </c>
      <c r="F37" s="504">
        <v>5149545</v>
      </c>
      <c r="G37" s="504">
        <v>4753947</v>
      </c>
      <c r="H37" s="503">
        <v>4557535</v>
      </c>
      <c r="I37" s="503">
        <v>4511380</v>
      </c>
      <c r="J37" s="504">
        <v>4816153</v>
      </c>
      <c r="K37" s="573">
        <v>437304.36</v>
      </c>
      <c r="L37" s="573">
        <v>5691962.0099999998</v>
      </c>
      <c r="M37" s="573">
        <v>5687571.6100000003</v>
      </c>
      <c r="N37" s="504"/>
      <c r="O37" s="171">
        <f t="shared" si="0"/>
        <v>49500092</v>
      </c>
      <c r="Q37" s="168"/>
    </row>
    <row r="38" spans="1:18" ht="16.5" thickBot="1" x14ac:dyDescent="0.25">
      <c r="A38" s="634"/>
      <c r="B38" s="172" t="s">
        <v>69</v>
      </c>
      <c r="C38" s="173">
        <f t="shared" ref="C38:H38" si="4">SUM(C25:C37)</f>
        <v>62990296</v>
      </c>
      <c r="D38" s="173">
        <f t="shared" si="4"/>
        <v>77112877</v>
      </c>
      <c r="E38" s="173">
        <f t="shared" si="4"/>
        <v>67155063</v>
      </c>
      <c r="F38" s="173">
        <f t="shared" si="4"/>
        <v>80601600</v>
      </c>
      <c r="G38" s="173">
        <f t="shared" si="4"/>
        <v>65865455</v>
      </c>
      <c r="H38" s="173">
        <f t="shared" si="4"/>
        <v>69898795</v>
      </c>
      <c r="I38" s="173">
        <f t="shared" ref="I38:J38" si="5">SUM(I25:I37)</f>
        <v>81549071</v>
      </c>
      <c r="J38" s="173">
        <f t="shared" si="5"/>
        <v>62128835</v>
      </c>
      <c r="K38" s="572">
        <f>SUM(K25:K37)</f>
        <v>59979745.420000136</v>
      </c>
      <c r="L38" s="572">
        <f>SUM(L25:L37)</f>
        <v>63014007.33000157</v>
      </c>
      <c r="M38" s="572">
        <f>SUM(M25:M37)</f>
        <v>83332066.670003995</v>
      </c>
      <c r="N38" s="173"/>
      <c r="O38" s="174">
        <f t="shared" si="0"/>
        <v>773627811</v>
      </c>
      <c r="P38" s="175"/>
      <c r="Q38" s="168"/>
    </row>
    <row r="39" spans="1:18" x14ac:dyDescent="0.2">
      <c r="A39" s="632" t="s">
        <v>70</v>
      </c>
      <c r="B39" s="170" t="s">
        <v>90</v>
      </c>
      <c r="C39" s="503">
        <v>49788416</v>
      </c>
      <c r="D39" s="503">
        <v>59931491</v>
      </c>
      <c r="E39" s="503">
        <v>55422233</v>
      </c>
      <c r="F39" s="503">
        <v>57806133</v>
      </c>
      <c r="G39" s="503">
        <v>53490236</v>
      </c>
      <c r="H39" s="503">
        <v>53627362</v>
      </c>
      <c r="I39" s="503">
        <v>56097803</v>
      </c>
      <c r="J39" s="503">
        <v>43755140</v>
      </c>
      <c r="K39" s="571">
        <v>48685941.969999999</v>
      </c>
      <c r="L39" s="571">
        <v>53652041.609999999</v>
      </c>
      <c r="M39" s="571">
        <v>63145745.460000001</v>
      </c>
      <c r="N39" s="503"/>
      <c r="O39" s="171">
        <f t="shared" ref="O39:O57" si="6">ROUND(SUM(C39:N39),0)</f>
        <v>595402543</v>
      </c>
      <c r="Q39" s="168"/>
    </row>
    <row r="40" spans="1:18" x14ac:dyDescent="0.2">
      <c r="A40" s="633"/>
      <c r="B40" s="170" t="s">
        <v>91</v>
      </c>
      <c r="C40" s="503">
        <v>271225</v>
      </c>
      <c r="D40" s="503">
        <v>186550</v>
      </c>
      <c r="E40" s="503">
        <v>343049</v>
      </c>
      <c r="F40" s="503">
        <v>165172</v>
      </c>
      <c r="G40" s="503">
        <v>420552</v>
      </c>
      <c r="H40" s="503">
        <v>313318</v>
      </c>
      <c r="I40" s="503">
        <v>441053</v>
      </c>
      <c r="J40" s="503">
        <v>360630</v>
      </c>
      <c r="K40" s="571">
        <v>217294.35</v>
      </c>
      <c r="L40" s="571">
        <v>254993.83</v>
      </c>
      <c r="M40" s="571">
        <v>246436.55</v>
      </c>
      <c r="N40" s="503"/>
      <c r="O40" s="171">
        <f t="shared" si="6"/>
        <v>3220274</v>
      </c>
      <c r="Q40" s="168"/>
    </row>
    <row r="41" spans="1:18" ht="31.5" x14ac:dyDescent="0.2">
      <c r="A41" s="633"/>
      <c r="B41" s="170" t="s">
        <v>92</v>
      </c>
      <c r="C41" s="503">
        <v>12011470</v>
      </c>
      <c r="D41" s="503">
        <v>12464803</v>
      </c>
      <c r="E41" s="503">
        <v>12925601</v>
      </c>
      <c r="F41" s="503">
        <v>12629604</v>
      </c>
      <c r="G41" s="503">
        <v>20527665</v>
      </c>
      <c r="H41" s="503">
        <v>13835215</v>
      </c>
      <c r="I41" s="503">
        <v>-1251154</v>
      </c>
      <c r="J41" s="503">
        <v>16343717</v>
      </c>
      <c r="K41" s="571">
        <v>20922040.499999985</v>
      </c>
      <c r="L41" s="571">
        <v>5435388.0899999887</v>
      </c>
      <c r="M41" s="571">
        <v>5516230.3599999985</v>
      </c>
      <c r="N41" s="503"/>
      <c r="O41" s="171">
        <f t="shared" si="6"/>
        <v>131360580</v>
      </c>
      <c r="Q41" s="168"/>
    </row>
    <row r="42" spans="1:18" ht="31.5" x14ac:dyDescent="0.2">
      <c r="A42" s="633"/>
      <c r="B42" s="170" t="s">
        <v>71</v>
      </c>
      <c r="C42" s="503">
        <v>14211874</v>
      </c>
      <c r="D42" s="503">
        <v>14012388</v>
      </c>
      <c r="E42" s="503">
        <v>13970667</v>
      </c>
      <c r="F42" s="503">
        <v>14410578</v>
      </c>
      <c r="G42" s="503">
        <v>14087929</v>
      </c>
      <c r="H42" s="503">
        <v>14202963</v>
      </c>
      <c r="I42" s="503">
        <v>15421772</v>
      </c>
      <c r="J42" s="503">
        <v>1301594</v>
      </c>
      <c r="K42" s="571">
        <v>30221565</v>
      </c>
      <c r="L42" s="571">
        <v>15983163</v>
      </c>
      <c r="M42" s="571">
        <v>15117880</v>
      </c>
      <c r="N42" s="503"/>
      <c r="O42" s="171">
        <f t="shared" si="6"/>
        <v>162942373</v>
      </c>
      <c r="Q42" s="168"/>
    </row>
    <row r="43" spans="1:18" ht="16.5" thickBot="1" x14ac:dyDescent="0.25">
      <c r="A43" s="633"/>
      <c r="B43" s="170" t="s">
        <v>72</v>
      </c>
      <c r="C43" s="503">
        <v>150214</v>
      </c>
      <c r="D43" s="503">
        <v>170777</v>
      </c>
      <c r="E43" s="503">
        <v>165627</v>
      </c>
      <c r="F43" s="503">
        <v>164716</v>
      </c>
      <c r="G43" s="503">
        <v>173838</v>
      </c>
      <c r="H43" s="503">
        <v>176622</v>
      </c>
      <c r="I43" s="503">
        <v>176555</v>
      </c>
      <c r="J43" s="503">
        <v>184123</v>
      </c>
      <c r="K43" s="571">
        <v>190551</v>
      </c>
      <c r="L43" s="571">
        <v>192668</v>
      </c>
      <c r="M43" s="571">
        <v>159859</v>
      </c>
      <c r="N43" s="503"/>
      <c r="O43" s="171">
        <f t="shared" si="6"/>
        <v>1905550</v>
      </c>
      <c r="Q43" s="168"/>
    </row>
    <row r="44" spans="1:18" ht="16.5" thickBot="1" x14ac:dyDescent="0.25">
      <c r="A44" s="634"/>
      <c r="B44" s="172" t="s">
        <v>73</v>
      </c>
      <c r="C44" s="173">
        <f t="shared" ref="C44:D44" si="7">SUM(C39:C43)</f>
        <v>76433199</v>
      </c>
      <c r="D44" s="173">
        <f t="shared" si="7"/>
        <v>86766009</v>
      </c>
      <c r="E44" s="173">
        <f t="shared" ref="E44:J44" si="8">SUM(E39:E43)</f>
        <v>82827177</v>
      </c>
      <c r="F44" s="173">
        <f t="shared" si="8"/>
        <v>85176203</v>
      </c>
      <c r="G44" s="173">
        <f t="shared" si="8"/>
        <v>88700220</v>
      </c>
      <c r="H44" s="173">
        <f t="shared" si="8"/>
        <v>82155480</v>
      </c>
      <c r="I44" s="173">
        <f t="shared" si="8"/>
        <v>70886029</v>
      </c>
      <c r="J44" s="173">
        <f t="shared" si="8"/>
        <v>61945204</v>
      </c>
      <c r="K44" s="572">
        <f>SUM(K39:K43)</f>
        <v>100237392.81999999</v>
      </c>
      <c r="L44" s="572">
        <f>SUM(L39:L43)</f>
        <v>75518254.529999986</v>
      </c>
      <c r="M44" s="572">
        <f>SUM(M39:M43)</f>
        <v>84186151.36999999</v>
      </c>
      <c r="N44" s="173"/>
      <c r="O44" s="174">
        <f t="shared" si="6"/>
        <v>894831320</v>
      </c>
      <c r="P44" s="175"/>
      <c r="Q44" s="168"/>
    </row>
    <row r="45" spans="1:18" x14ac:dyDescent="0.2">
      <c r="A45" s="632" t="s">
        <v>163</v>
      </c>
      <c r="B45" s="170" t="s">
        <v>93</v>
      </c>
      <c r="C45" s="503">
        <v>0</v>
      </c>
      <c r="D45" s="503">
        <v>-76907</v>
      </c>
      <c r="E45" s="503">
        <v>2773332</v>
      </c>
      <c r="F45" s="503">
        <v>2800438</v>
      </c>
      <c r="G45" s="503">
        <v>5569156</v>
      </c>
      <c r="H45" s="503">
        <v>2823340</v>
      </c>
      <c r="I45" s="503">
        <v>2779151</v>
      </c>
      <c r="J45" s="503">
        <v>0</v>
      </c>
      <c r="K45" s="571">
        <v>5613676</v>
      </c>
      <c r="L45" s="571">
        <v>2868737</v>
      </c>
      <c r="M45" s="571">
        <v>0</v>
      </c>
      <c r="N45" s="503"/>
      <c r="O45" s="171">
        <f t="shared" si="6"/>
        <v>25150923</v>
      </c>
      <c r="Q45" s="168"/>
    </row>
    <row r="46" spans="1:18" x14ac:dyDescent="0.2">
      <c r="A46" s="633"/>
      <c r="B46" s="170" t="s">
        <v>94</v>
      </c>
      <c r="C46" s="503">
        <v>0</v>
      </c>
      <c r="D46" s="503">
        <v>0</v>
      </c>
      <c r="E46" s="503">
        <v>0</v>
      </c>
      <c r="F46" s="503">
        <v>0</v>
      </c>
      <c r="G46" s="503">
        <v>0</v>
      </c>
      <c r="H46" s="503">
        <v>0</v>
      </c>
      <c r="I46" s="503">
        <v>0</v>
      </c>
      <c r="J46" s="503">
        <v>0</v>
      </c>
      <c r="K46" s="571">
        <v>0</v>
      </c>
      <c r="L46" s="571">
        <v>0</v>
      </c>
      <c r="M46" s="571">
        <v>0</v>
      </c>
      <c r="N46" s="503"/>
      <c r="O46" s="171">
        <f t="shared" si="6"/>
        <v>0</v>
      </c>
      <c r="Q46" s="168"/>
    </row>
    <row r="47" spans="1:18" ht="32.25" thickBot="1" x14ac:dyDescent="0.25">
      <c r="A47" s="633"/>
      <c r="B47" s="170" t="s">
        <v>95</v>
      </c>
      <c r="C47" s="503">
        <v>10119409</v>
      </c>
      <c r="D47" s="503">
        <v>10379746</v>
      </c>
      <c r="E47" s="503">
        <v>12421652</v>
      </c>
      <c r="F47" s="503">
        <v>14504414</v>
      </c>
      <c r="G47" s="503">
        <v>10541077</v>
      </c>
      <c r="H47" s="503">
        <v>17115225</v>
      </c>
      <c r="I47" s="503">
        <v>13057935</v>
      </c>
      <c r="J47" s="503">
        <v>10354274</v>
      </c>
      <c r="K47" s="571">
        <v>11704007.409999983</v>
      </c>
      <c r="L47" s="571">
        <v>10946851.490000002</v>
      </c>
      <c r="M47" s="571">
        <v>10986432.729999989</v>
      </c>
      <c r="N47" s="503"/>
      <c r="O47" s="171">
        <f t="shared" si="6"/>
        <v>132131024</v>
      </c>
      <c r="Q47" s="168"/>
    </row>
    <row r="48" spans="1:18" ht="16.5" thickBot="1" x14ac:dyDescent="0.25">
      <c r="A48" s="634"/>
      <c r="B48" s="172" t="s">
        <v>74</v>
      </c>
      <c r="C48" s="173">
        <f t="shared" ref="C48:J48" si="9">SUM(C45:C47)</f>
        <v>10119409</v>
      </c>
      <c r="D48" s="173">
        <f t="shared" si="9"/>
        <v>10302839</v>
      </c>
      <c r="E48" s="173">
        <f t="shared" si="9"/>
        <v>15194984</v>
      </c>
      <c r="F48" s="173">
        <f t="shared" si="9"/>
        <v>17304852</v>
      </c>
      <c r="G48" s="173">
        <f t="shared" si="9"/>
        <v>16110233</v>
      </c>
      <c r="H48" s="173">
        <f t="shared" si="9"/>
        <v>19938565</v>
      </c>
      <c r="I48" s="173">
        <f t="shared" si="9"/>
        <v>15837086</v>
      </c>
      <c r="J48" s="173">
        <f t="shared" si="9"/>
        <v>10354274</v>
      </c>
      <c r="K48" s="572">
        <f>SUM(K45:K47)</f>
        <v>17317683.409999982</v>
      </c>
      <c r="L48" s="572">
        <f>SUM(L45:L47)</f>
        <v>13815588.490000002</v>
      </c>
      <c r="M48" s="572">
        <f>SUM(M45:M47)</f>
        <v>10986432.729999989</v>
      </c>
      <c r="N48" s="173"/>
      <c r="O48" s="174">
        <f t="shared" si="6"/>
        <v>157281947</v>
      </c>
      <c r="P48" s="175"/>
      <c r="Q48" s="168"/>
    </row>
    <row r="49" spans="1:18" ht="31.5" x14ac:dyDescent="0.2">
      <c r="A49" s="632" t="s">
        <v>75</v>
      </c>
      <c r="B49" s="170" t="s">
        <v>103</v>
      </c>
      <c r="C49" s="503">
        <v>0</v>
      </c>
      <c r="D49" s="503">
        <v>0</v>
      </c>
      <c r="E49" s="503">
        <v>0</v>
      </c>
      <c r="F49" s="503">
        <v>0</v>
      </c>
      <c r="G49" s="503">
        <v>0</v>
      </c>
      <c r="H49" s="503">
        <v>3174958</v>
      </c>
      <c r="I49" s="503">
        <v>0</v>
      </c>
      <c r="J49" s="503">
        <v>0</v>
      </c>
      <c r="K49" s="571">
        <v>0</v>
      </c>
      <c r="L49" s="571">
        <v>0</v>
      </c>
      <c r="M49" s="571">
        <v>0</v>
      </c>
      <c r="N49" s="503"/>
      <c r="O49" s="171">
        <f t="shared" si="6"/>
        <v>3174958</v>
      </c>
      <c r="Q49" s="168"/>
    </row>
    <row r="50" spans="1:18" ht="31.5" x14ac:dyDescent="0.2">
      <c r="A50" s="633"/>
      <c r="B50" s="170" t="s">
        <v>76</v>
      </c>
      <c r="C50" s="503">
        <v>0</v>
      </c>
      <c r="D50" s="503">
        <v>0</v>
      </c>
      <c r="E50" s="503">
        <v>0</v>
      </c>
      <c r="F50" s="503">
        <v>0</v>
      </c>
      <c r="G50" s="503">
        <v>0</v>
      </c>
      <c r="H50" s="503">
        <v>0</v>
      </c>
      <c r="I50" s="503">
        <v>0</v>
      </c>
      <c r="J50" s="503">
        <v>0</v>
      </c>
      <c r="K50" s="571">
        <v>0</v>
      </c>
      <c r="L50" s="571">
        <v>0</v>
      </c>
      <c r="M50" s="571">
        <v>0</v>
      </c>
      <c r="N50" s="503"/>
      <c r="O50" s="171">
        <f t="shared" si="6"/>
        <v>0</v>
      </c>
      <c r="Q50" s="168"/>
    </row>
    <row r="51" spans="1:18" ht="31.5" x14ac:dyDescent="0.2">
      <c r="A51" s="633"/>
      <c r="B51" s="170" t="s">
        <v>77</v>
      </c>
      <c r="C51" s="503">
        <v>0</v>
      </c>
      <c r="D51" s="503">
        <v>0</v>
      </c>
      <c r="E51" s="503">
        <v>0</v>
      </c>
      <c r="F51" s="503">
        <v>0</v>
      </c>
      <c r="G51" s="503">
        <v>0</v>
      </c>
      <c r="H51" s="503">
        <v>0</v>
      </c>
      <c r="I51" s="503">
        <v>0</v>
      </c>
      <c r="J51" s="503">
        <v>0</v>
      </c>
      <c r="K51" s="571">
        <v>0</v>
      </c>
      <c r="L51" s="571">
        <v>0</v>
      </c>
      <c r="M51" s="571">
        <v>0</v>
      </c>
      <c r="N51" s="503"/>
      <c r="O51" s="171">
        <f t="shared" si="6"/>
        <v>0</v>
      </c>
      <c r="Q51" s="168"/>
    </row>
    <row r="52" spans="1:18" ht="31.5" x14ac:dyDescent="0.2">
      <c r="A52" s="633"/>
      <c r="B52" s="170" t="s">
        <v>96</v>
      </c>
      <c r="C52" s="503">
        <v>62067717</v>
      </c>
      <c r="D52" s="503">
        <v>59690531</v>
      </c>
      <c r="E52" s="503">
        <v>37886747</v>
      </c>
      <c r="F52" s="503">
        <v>47502321</v>
      </c>
      <c r="G52" s="503">
        <v>57067957</v>
      </c>
      <c r="H52" s="503">
        <v>60389399</v>
      </c>
      <c r="I52" s="503">
        <v>55653878</v>
      </c>
      <c r="J52" s="503">
        <v>54817272</v>
      </c>
      <c r="K52" s="571">
        <v>55887379</v>
      </c>
      <c r="L52" s="571">
        <v>57068785</v>
      </c>
      <c r="M52" s="571">
        <v>57068785</v>
      </c>
      <c r="N52" s="503"/>
      <c r="O52" s="171">
        <f t="shared" si="6"/>
        <v>605100771</v>
      </c>
      <c r="Q52" s="168"/>
    </row>
    <row r="53" spans="1:18" ht="31.5" x14ac:dyDescent="0.2">
      <c r="A53" s="633"/>
      <c r="B53" s="170" t="s">
        <v>98</v>
      </c>
      <c r="C53" s="503">
        <v>6882342</v>
      </c>
      <c r="D53" s="503">
        <v>10182930</v>
      </c>
      <c r="E53" s="503">
        <v>8691020</v>
      </c>
      <c r="F53" s="503">
        <v>8563105</v>
      </c>
      <c r="G53" s="503">
        <v>8529369</v>
      </c>
      <c r="H53" s="503">
        <v>8715599</v>
      </c>
      <c r="I53" s="503">
        <v>8537215</v>
      </c>
      <c r="J53" s="503">
        <v>8537215</v>
      </c>
      <c r="K53" s="571">
        <v>8707753</v>
      </c>
      <c r="L53" s="571">
        <v>8537215</v>
      </c>
      <c r="M53" s="571">
        <v>8537215</v>
      </c>
      <c r="N53" s="503"/>
      <c r="O53" s="171">
        <f t="shared" si="6"/>
        <v>94420978</v>
      </c>
      <c r="Q53" s="168"/>
    </row>
    <row r="54" spans="1:18" x14ac:dyDescent="0.2">
      <c r="A54" s="633"/>
      <c r="B54" s="170" t="s">
        <v>99</v>
      </c>
      <c r="C54" s="503">
        <v>0</v>
      </c>
      <c r="D54" s="503">
        <v>0</v>
      </c>
      <c r="E54" s="503">
        <v>0</v>
      </c>
      <c r="F54" s="503">
        <v>0</v>
      </c>
      <c r="G54" s="503">
        <v>0</v>
      </c>
      <c r="H54" s="503">
        <v>27081</v>
      </c>
      <c r="I54" s="503">
        <v>0</v>
      </c>
      <c r="J54" s="503">
        <v>0</v>
      </c>
      <c r="K54" s="571">
        <v>0</v>
      </c>
      <c r="L54" s="571">
        <v>0</v>
      </c>
      <c r="M54" s="571">
        <v>0</v>
      </c>
      <c r="N54" s="503"/>
      <c r="O54" s="171">
        <f t="shared" si="6"/>
        <v>27081</v>
      </c>
      <c r="Q54" s="168"/>
    </row>
    <row r="55" spans="1:18" x14ac:dyDescent="0.2">
      <c r="A55" s="633"/>
      <c r="B55" s="170" t="s">
        <v>97</v>
      </c>
      <c r="C55" s="503">
        <v>0</v>
      </c>
      <c r="D55" s="503">
        <v>0</v>
      </c>
      <c r="E55" s="503">
        <v>0</v>
      </c>
      <c r="F55" s="503">
        <v>0</v>
      </c>
      <c r="G55" s="503">
        <v>0</v>
      </c>
      <c r="H55" s="503">
        <v>5396841</v>
      </c>
      <c r="I55" s="503">
        <v>0</v>
      </c>
      <c r="J55" s="503">
        <v>0</v>
      </c>
      <c r="K55" s="571">
        <v>0</v>
      </c>
      <c r="L55" s="571">
        <v>0</v>
      </c>
      <c r="M55" s="571">
        <v>0</v>
      </c>
      <c r="N55" s="503"/>
      <c r="O55" s="171">
        <f t="shared" si="6"/>
        <v>5396841</v>
      </c>
      <c r="Q55" s="168"/>
    </row>
    <row r="56" spans="1:18" ht="16.5" thickBot="1" x14ac:dyDescent="0.25">
      <c r="A56" s="633"/>
      <c r="B56" s="176" t="s">
        <v>146</v>
      </c>
      <c r="C56" s="503">
        <v>-352373</v>
      </c>
      <c r="D56" s="503">
        <v>-1076354</v>
      </c>
      <c r="E56" s="503">
        <v>745848</v>
      </c>
      <c r="F56" s="503">
        <v>-26241</v>
      </c>
      <c r="G56" s="503">
        <v>127082</v>
      </c>
      <c r="H56" s="503">
        <v>370066</v>
      </c>
      <c r="I56" s="503">
        <v>-132500</v>
      </c>
      <c r="J56" s="503">
        <v>-564202</v>
      </c>
      <c r="K56" s="571">
        <v>-20838364.449999899</v>
      </c>
      <c r="L56" s="571">
        <v>8081229.7299999893</v>
      </c>
      <c r="M56" s="571">
        <v>19492637.489999965</v>
      </c>
      <c r="N56" s="503"/>
      <c r="O56" s="171">
        <f t="shared" si="6"/>
        <v>5826829</v>
      </c>
      <c r="Q56" s="168"/>
    </row>
    <row r="57" spans="1:18" ht="16.5" thickBot="1" x14ac:dyDescent="0.25">
      <c r="A57" s="634"/>
      <c r="B57" s="172" t="s">
        <v>78</v>
      </c>
      <c r="C57" s="173">
        <f t="shared" ref="C57:J57" si="10">SUM(C49:C56)</f>
        <v>68597686</v>
      </c>
      <c r="D57" s="173">
        <f t="shared" si="10"/>
        <v>68797107</v>
      </c>
      <c r="E57" s="173">
        <f t="shared" si="10"/>
        <v>47323615</v>
      </c>
      <c r="F57" s="173">
        <f t="shared" si="10"/>
        <v>56039185</v>
      </c>
      <c r="G57" s="173">
        <f t="shared" si="10"/>
        <v>65724408</v>
      </c>
      <c r="H57" s="173">
        <f t="shared" si="10"/>
        <v>78073944</v>
      </c>
      <c r="I57" s="173">
        <f t="shared" si="10"/>
        <v>64058593</v>
      </c>
      <c r="J57" s="173">
        <f t="shared" si="10"/>
        <v>62790285</v>
      </c>
      <c r="K57" s="572">
        <f>SUM(K49:K56)</f>
        <v>43756767.550000101</v>
      </c>
      <c r="L57" s="572">
        <f>SUM(L49:L56)</f>
        <v>73687229.729999989</v>
      </c>
      <c r="M57" s="572">
        <f>SUM(M49:M56)</f>
        <v>85098637.489999965</v>
      </c>
      <c r="N57" s="173"/>
      <c r="O57" s="174">
        <f t="shared" si="6"/>
        <v>713947458</v>
      </c>
      <c r="Q57" s="168"/>
    </row>
    <row r="58" spans="1:18" s="179" customFormat="1" ht="16.5" thickBot="1" x14ac:dyDescent="0.25">
      <c r="A58" s="622"/>
      <c r="B58" s="177" t="s">
        <v>100</v>
      </c>
      <c r="C58" s="92">
        <v>4</v>
      </c>
      <c r="D58" s="92">
        <v>5</v>
      </c>
      <c r="E58" s="92">
        <v>4</v>
      </c>
      <c r="F58" s="92">
        <v>5</v>
      </c>
      <c r="G58" s="92">
        <v>4</v>
      </c>
      <c r="H58" s="92">
        <v>4</v>
      </c>
      <c r="I58" s="92">
        <v>5</v>
      </c>
      <c r="J58" s="92">
        <v>4</v>
      </c>
      <c r="K58" s="92">
        <v>4</v>
      </c>
      <c r="L58" s="92">
        <v>4</v>
      </c>
      <c r="M58" s="92">
        <v>5</v>
      </c>
      <c r="N58" s="92">
        <v>4</v>
      </c>
      <c r="O58" s="178">
        <f>SUM(C58:N58)</f>
        <v>52</v>
      </c>
      <c r="Q58" s="168"/>
    </row>
    <row r="59" spans="1:18" ht="16.5" thickBot="1" x14ac:dyDescent="0.25">
      <c r="A59" s="623"/>
      <c r="B59" s="172" t="s">
        <v>79</v>
      </c>
      <c r="C59" s="180">
        <f>ROUND(C57+C48+C44+C38+C24,0)</f>
        <v>541150057</v>
      </c>
      <c r="D59" s="180">
        <f>ROUND(D57+D48+D44+D38+D24,0)</f>
        <v>634475309</v>
      </c>
      <c r="E59" s="180">
        <f t="shared" ref="E59:G59" si="11">ROUND(E57+E48+E44+E38+E24,0)</f>
        <v>423730278</v>
      </c>
      <c r="F59" s="180">
        <f t="shared" si="11"/>
        <v>669910981</v>
      </c>
      <c r="G59" s="180">
        <f t="shared" si="11"/>
        <v>575177237</v>
      </c>
      <c r="H59" s="180">
        <f>ROUNDUP(H57+H48+H44+H38+H24,0)</f>
        <v>440396055</v>
      </c>
      <c r="I59" s="180">
        <f t="shared" ref="I59:N59" si="12">I57+I48+I44+I38+I24</f>
        <v>640359305</v>
      </c>
      <c r="J59" s="180">
        <f>J57+J48+J44+J38+J24</f>
        <v>520917693</v>
      </c>
      <c r="K59" s="574">
        <f t="shared" ref="K59:L59" si="13">K57+K48+K44+K38+K24</f>
        <v>371550835.96000016</v>
      </c>
      <c r="L59" s="574">
        <f t="shared" si="13"/>
        <v>553073848.09000158</v>
      </c>
      <c r="M59" s="574">
        <f t="shared" si="12"/>
        <v>570365015.85000396</v>
      </c>
      <c r="N59" s="180">
        <f t="shared" si="12"/>
        <v>0</v>
      </c>
      <c r="O59" s="181">
        <f>ROUND(SUM(C59:N59),0)</f>
        <v>5941106615</v>
      </c>
      <c r="P59" s="175"/>
      <c r="Q59" s="245"/>
    </row>
    <row r="60" spans="1:18" x14ac:dyDescent="0.2">
      <c r="A60" s="624" t="s">
        <v>24</v>
      </c>
      <c r="B60" s="625"/>
      <c r="C60" s="625"/>
      <c r="D60" s="625"/>
      <c r="E60" s="625"/>
      <c r="F60" s="625"/>
      <c r="G60" s="625"/>
      <c r="H60" s="625"/>
      <c r="I60" s="625"/>
      <c r="J60" s="625"/>
      <c r="K60" s="625"/>
      <c r="L60" s="625"/>
      <c r="M60" s="625"/>
      <c r="N60" s="625"/>
      <c r="O60" s="626"/>
      <c r="P60" s="175"/>
      <c r="Q60" s="245"/>
    </row>
    <row r="61" spans="1:18" x14ac:dyDescent="0.2">
      <c r="A61" s="627" t="s">
        <v>341</v>
      </c>
      <c r="B61" s="628"/>
      <c r="C61" s="628"/>
      <c r="D61" s="628"/>
      <c r="E61" s="628"/>
      <c r="F61" s="628"/>
      <c r="G61" s="628"/>
      <c r="H61" s="628"/>
      <c r="I61" s="628"/>
      <c r="J61" s="628"/>
      <c r="K61" s="628"/>
      <c r="L61" s="628"/>
      <c r="M61" s="628"/>
      <c r="N61" s="628"/>
      <c r="O61" s="629"/>
      <c r="P61" s="458"/>
      <c r="Q61" s="245"/>
    </row>
    <row r="62" spans="1:18" ht="32.25" thickBot="1" x14ac:dyDescent="0.25">
      <c r="A62" s="635" t="s">
        <v>350</v>
      </c>
      <c r="B62" s="636"/>
      <c r="C62" s="636"/>
      <c r="D62" s="636"/>
      <c r="E62" s="636"/>
      <c r="F62" s="636"/>
      <c r="G62" s="636"/>
      <c r="H62" s="636"/>
      <c r="I62" s="636"/>
      <c r="J62" s="636"/>
      <c r="K62" s="636"/>
      <c r="L62" s="636"/>
      <c r="M62" s="636"/>
      <c r="N62" s="636"/>
      <c r="O62" s="637"/>
      <c r="P62" s="566" t="s">
        <v>348</v>
      </c>
      <c r="Q62" s="245"/>
    </row>
    <row r="63" spans="1:18" x14ac:dyDescent="0.2">
      <c r="C63" s="457"/>
      <c r="D63" s="457"/>
      <c r="E63" s="457"/>
      <c r="F63" s="457"/>
      <c r="G63" s="457"/>
      <c r="H63" s="457"/>
      <c r="I63" s="457"/>
      <c r="J63" s="457"/>
      <c r="K63" s="457"/>
      <c r="L63" s="457"/>
      <c r="M63" s="457"/>
      <c r="N63" s="457"/>
      <c r="O63" s="175"/>
      <c r="R63" s="182"/>
    </row>
    <row r="64" spans="1:18" x14ac:dyDescent="0.2">
      <c r="C64" s="183"/>
      <c r="D64" s="184"/>
      <c r="E64" s="185"/>
      <c r="F64" s="185"/>
      <c r="G64" s="185"/>
      <c r="H64" s="185"/>
      <c r="I64" s="185"/>
      <c r="J64" s="185"/>
      <c r="K64" s="185"/>
      <c r="L64" s="187"/>
      <c r="M64" s="185"/>
      <c r="N64" s="185"/>
      <c r="O64" s="182"/>
    </row>
    <row r="66" spans="3:19" x14ac:dyDescent="0.2">
      <c r="C66" s="175"/>
      <c r="D66" s="175"/>
      <c r="E66" s="175"/>
      <c r="F66" s="175"/>
      <c r="G66" s="175"/>
      <c r="H66" s="175"/>
      <c r="I66" s="175"/>
      <c r="J66" s="175"/>
      <c r="K66" s="175"/>
      <c r="L66" s="175"/>
    </row>
    <row r="71" spans="3:19" x14ac:dyDescent="0.2">
      <c r="C71" s="188"/>
      <c r="D71" s="188"/>
      <c r="E71" s="188"/>
      <c r="F71" s="188"/>
      <c r="G71" s="188"/>
      <c r="H71" s="188"/>
      <c r="I71" s="188"/>
      <c r="J71" s="188"/>
      <c r="K71" s="188"/>
      <c r="L71" s="188"/>
      <c r="M71" s="188"/>
      <c r="N71" s="188"/>
      <c r="O71" s="188"/>
    </row>
    <row r="72" spans="3:19" x14ac:dyDescent="0.2">
      <c r="C72" s="189"/>
      <c r="D72" s="189"/>
      <c r="E72" s="189"/>
      <c r="F72" s="189"/>
      <c r="G72" s="189"/>
      <c r="H72" s="189"/>
      <c r="I72" s="189"/>
      <c r="J72" s="189"/>
      <c r="K72" s="189"/>
      <c r="L72" s="189"/>
      <c r="M72" s="189"/>
      <c r="N72" s="189"/>
    </row>
    <row r="73" spans="3:19" x14ac:dyDescent="0.2">
      <c r="O73" s="182"/>
      <c r="S73" s="175"/>
    </row>
    <row r="74" spans="3:19" x14ac:dyDescent="0.2">
      <c r="C74" s="175"/>
      <c r="K74" s="175"/>
      <c r="L74" s="175"/>
      <c r="N74" s="175"/>
      <c r="O74" s="190"/>
      <c r="S74" s="190"/>
    </row>
    <row r="75" spans="3:19" x14ac:dyDescent="0.2">
      <c r="D75" s="630"/>
      <c r="E75" s="630"/>
      <c r="K75" s="175"/>
      <c r="L75" s="175"/>
      <c r="N75" s="175"/>
      <c r="O75" s="182"/>
      <c r="S75" s="182"/>
    </row>
    <row r="76" spans="3:19" x14ac:dyDescent="0.2">
      <c r="C76" s="182"/>
      <c r="D76" s="591"/>
      <c r="E76" s="591"/>
      <c r="L76" s="175"/>
    </row>
    <row r="77" spans="3:19" x14ac:dyDescent="0.2">
      <c r="C77" s="191"/>
      <c r="D77" s="592"/>
      <c r="E77" s="593"/>
    </row>
    <row r="78" spans="3:19" x14ac:dyDescent="0.2">
      <c r="D78" s="166"/>
      <c r="E78" s="594"/>
      <c r="F78" s="189"/>
      <c r="G78" s="189"/>
      <c r="L78" s="188"/>
    </row>
    <row r="80" spans="3:19" x14ac:dyDescent="0.2">
      <c r="C80" s="246"/>
      <c r="D80" s="246"/>
      <c r="E80" s="246"/>
    </row>
    <row r="83" spans="3:14" x14ac:dyDescent="0.2">
      <c r="C83" s="190"/>
      <c r="D83" s="190"/>
      <c r="E83" s="190"/>
      <c r="F83" s="190"/>
      <c r="G83" s="190"/>
      <c r="H83" s="190"/>
      <c r="I83" s="190"/>
      <c r="J83" s="190"/>
      <c r="K83" s="190"/>
      <c r="L83" s="190"/>
      <c r="M83" s="190"/>
      <c r="N83" s="190"/>
    </row>
    <row r="84" spans="3:14" x14ac:dyDescent="0.2">
      <c r="C84" s="175"/>
    </row>
    <row r="85" spans="3:14" x14ac:dyDescent="0.2">
      <c r="C85" s="175"/>
    </row>
    <row r="86" spans="3:14" x14ac:dyDescent="0.2">
      <c r="C86" s="175"/>
    </row>
    <row r="87" spans="3:14" x14ac:dyDescent="0.2">
      <c r="C87" s="175"/>
    </row>
    <row r="88" spans="3:14" x14ac:dyDescent="0.2">
      <c r="C88" s="175"/>
    </row>
    <row r="89" spans="3:14" x14ac:dyDescent="0.2">
      <c r="C89" s="175"/>
    </row>
    <row r="90" spans="3:14" x14ac:dyDescent="0.2">
      <c r="C90" s="175"/>
    </row>
  </sheetData>
  <mergeCells count="11">
    <mergeCell ref="A58:A59"/>
    <mergeCell ref="A60:O60"/>
    <mergeCell ref="A61:O61"/>
    <mergeCell ref="D75:E75"/>
    <mergeCell ref="A1:O1"/>
    <mergeCell ref="A3:A24"/>
    <mergeCell ref="A25:A38"/>
    <mergeCell ref="A39:A44"/>
    <mergeCell ref="A45:A48"/>
    <mergeCell ref="A49:A57"/>
    <mergeCell ref="A62:O62"/>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0"/>
  <sheetViews>
    <sheetView tabSelected="1" view="pageBreakPreview" topLeftCell="A92" zoomScaleNormal="100" zoomScaleSheetLayoutView="100" workbookViewId="0">
      <selection activeCell="O106" sqref="O106"/>
    </sheetView>
  </sheetViews>
  <sheetFormatPr defaultColWidth="9.140625" defaultRowHeight="15.75" x14ac:dyDescent="0.25"/>
  <cols>
    <col min="1" max="1" width="9.140625" style="430"/>
    <col min="2" max="2" width="44.7109375" style="430" bestFit="1" customWidth="1"/>
    <col min="3" max="3" width="14" style="430" customWidth="1"/>
    <col min="4" max="4" width="12.28515625" style="430" hidden="1" customWidth="1"/>
    <col min="5" max="5" width="22.7109375" style="430" customWidth="1"/>
    <col min="6" max="6" width="14.42578125" style="430" bestFit="1" customWidth="1"/>
    <col min="7" max="7" width="14.28515625" style="430" customWidth="1"/>
    <col min="8" max="8" width="21.5703125" style="430" hidden="1" customWidth="1"/>
    <col min="9" max="9" width="21.140625" style="430" customWidth="1"/>
    <col min="10" max="18" width="10.5703125" style="430" customWidth="1"/>
    <col min="19" max="19" width="9.5703125" style="430" bestFit="1" customWidth="1"/>
    <col min="20" max="24" width="9.28515625" style="430" customWidth="1"/>
    <col min="25" max="26" width="9.5703125" style="430" bestFit="1" customWidth="1"/>
    <col min="27" max="27" width="10.140625" style="430" bestFit="1" customWidth="1"/>
    <col min="28" max="28" width="9.5703125" style="102" bestFit="1" customWidth="1"/>
    <col min="29" max="30" width="9.5703125" style="430" bestFit="1" customWidth="1"/>
    <col min="31" max="31" width="12.28515625" style="430" bestFit="1" customWidth="1"/>
    <col min="32" max="37" width="9.28515625" style="430" customWidth="1"/>
    <col min="38" max="38" width="9.140625" style="430"/>
    <col min="39" max="44" width="9.5703125" style="430" bestFit="1" customWidth="1"/>
    <col min="45" max="45" width="17" style="430" customWidth="1"/>
    <col min="46" max="47" width="9.5703125" style="430" bestFit="1" customWidth="1"/>
    <col min="48" max="49" width="9.42578125" style="430" bestFit="1" customWidth="1"/>
    <col min="50" max="16384" width="9.140625" style="430"/>
  </cols>
  <sheetData>
    <row r="1" spans="2:37" x14ac:dyDescent="0.25">
      <c r="B1" s="775" t="s">
        <v>108</v>
      </c>
      <c r="C1" s="776"/>
      <c r="D1" s="776"/>
      <c r="E1" s="776"/>
      <c r="F1" s="776"/>
      <c r="G1" s="776"/>
      <c r="H1" s="776"/>
      <c r="I1" s="776"/>
      <c r="J1" s="777"/>
      <c r="K1" s="41"/>
      <c r="L1" s="41"/>
      <c r="M1" s="41"/>
      <c r="N1" s="41"/>
      <c r="O1" s="41"/>
      <c r="P1" s="41"/>
      <c r="Q1" s="41"/>
      <c r="R1" s="41"/>
    </row>
    <row r="2" spans="2:37" ht="47.25" x14ac:dyDescent="0.25">
      <c r="B2" s="481"/>
      <c r="C2" s="76" t="s">
        <v>266</v>
      </c>
      <c r="D2" s="77" t="s">
        <v>109</v>
      </c>
      <c r="E2" s="77" t="s">
        <v>267</v>
      </c>
      <c r="F2" s="78" t="s">
        <v>28</v>
      </c>
      <c r="G2" s="76" t="s">
        <v>268</v>
      </c>
      <c r="H2" s="77" t="s">
        <v>110</v>
      </c>
      <c r="I2" s="77" t="s">
        <v>269</v>
      </c>
      <c r="J2" s="482" t="s">
        <v>29</v>
      </c>
      <c r="K2" s="42"/>
      <c r="L2" s="42"/>
      <c r="M2" s="42"/>
      <c r="N2" s="42"/>
      <c r="O2" s="42"/>
      <c r="P2" s="42"/>
      <c r="Q2" s="42"/>
      <c r="R2" s="42"/>
      <c r="V2" s="15"/>
      <c r="W2" s="15"/>
      <c r="X2" s="15"/>
      <c r="Y2" s="15"/>
      <c r="Z2" s="15"/>
      <c r="AA2" s="15"/>
      <c r="AB2" s="103"/>
      <c r="AC2" s="15"/>
      <c r="AD2" s="15"/>
      <c r="AE2" s="15"/>
      <c r="AF2" s="15"/>
      <c r="AG2" s="15"/>
      <c r="AH2" s="616"/>
      <c r="AI2" s="616"/>
    </row>
    <row r="3" spans="2:37" s="15" customFormat="1" hidden="1" x14ac:dyDescent="0.25">
      <c r="B3" s="197">
        <v>39995</v>
      </c>
      <c r="C3" s="30">
        <v>65349</v>
      </c>
      <c r="D3" s="31"/>
      <c r="E3" s="31">
        <v>0</v>
      </c>
      <c r="F3" s="31"/>
      <c r="G3" s="30">
        <v>1621</v>
      </c>
      <c r="H3" s="31"/>
      <c r="I3" s="31">
        <v>0</v>
      </c>
      <c r="J3" s="483">
        <f t="shared" ref="J3:J15" si="0">SUM(G3:I3)</f>
        <v>1621</v>
      </c>
      <c r="K3" s="33"/>
      <c r="L3" s="33"/>
      <c r="M3" s="33"/>
      <c r="N3" s="33"/>
      <c r="O3" s="33"/>
      <c r="P3" s="33"/>
      <c r="Q3" s="33"/>
      <c r="R3" s="33"/>
      <c r="AB3" s="103"/>
      <c r="AD3" s="33"/>
      <c r="AE3" s="105"/>
      <c r="AF3" s="105"/>
      <c r="AG3" s="105"/>
      <c r="AH3" s="617"/>
      <c r="AI3" s="618"/>
      <c r="AJ3" s="105">
        <f t="shared" ref="AJ3:AJ14" si="1">+AI3/J3</f>
        <v>0</v>
      </c>
      <c r="AK3" s="105"/>
    </row>
    <row r="4" spans="2:37" s="15" customFormat="1" hidden="1" x14ac:dyDescent="0.25">
      <c r="B4" s="197">
        <v>40026</v>
      </c>
      <c r="C4" s="32">
        <v>66531</v>
      </c>
      <c r="D4" s="33"/>
      <c r="E4" s="33">
        <v>0</v>
      </c>
      <c r="F4" s="33"/>
      <c r="G4" s="32">
        <v>1568</v>
      </c>
      <c r="H4" s="33"/>
      <c r="I4" s="33">
        <v>0</v>
      </c>
      <c r="J4" s="304">
        <f t="shared" si="0"/>
        <v>1568</v>
      </c>
      <c r="K4" s="33">
        <f>+C4-C3</f>
        <v>1182</v>
      </c>
      <c r="L4" s="33">
        <f>+D4-D3</f>
        <v>0</v>
      </c>
      <c r="M4" s="33">
        <f>+E4-E3</f>
        <v>0</v>
      </c>
      <c r="N4" s="33"/>
      <c r="O4" s="33"/>
      <c r="P4" s="33"/>
      <c r="Q4" s="33"/>
      <c r="R4" s="33"/>
      <c r="S4" s="33">
        <f t="shared" ref="S4:S14" si="2">+J4+F4</f>
        <v>1568</v>
      </c>
      <c r="T4" s="33"/>
      <c r="U4" s="33"/>
      <c r="V4" s="33"/>
      <c r="W4" s="33"/>
      <c r="X4" s="33"/>
      <c r="Y4" s="33"/>
      <c r="Z4" s="33"/>
      <c r="AB4" s="103"/>
      <c r="AD4" s="33"/>
      <c r="AE4" s="105"/>
      <c r="AF4" s="10"/>
      <c r="AG4" s="10"/>
      <c r="AH4" s="617"/>
      <c r="AI4" s="618"/>
      <c r="AJ4" s="105">
        <f t="shared" si="1"/>
        <v>0</v>
      </c>
      <c r="AK4" s="10"/>
    </row>
    <row r="5" spans="2:37" s="15" customFormat="1" hidden="1" x14ac:dyDescent="0.25">
      <c r="B5" s="197">
        <v>40057</v>
      </c>
      <c r="C5" s="32">
        <v>67239</v>
      </c>
      <c r="D5" s="33"/>
      <c r="E5" s="33">
        <v>0</v>
      </c>
      <c r="F5" s="2">
        <f t="shared" ref="F5:F15" si="3">SUM(C5:E5)</f>
        <v>67239</v>
      </c>
      <c r="G5" s="32">
        <v>1571</v>
      </c>
      <c r="H5" s="33"/>
      <c r="I5" s="33">
        <v>0</v>
      </c>
      <c r="J5" s="304">
        <f t="shared" si="0"/>
        <v>1571</v>
      </c>
      <c r="K5" s="33">
        <f t="shared" ref="K5:M14" si="4">+C5-C4</f>
        <v>708</v>
      </c>
      <c r="L5" s="33">
        <f t="shared" si="4"/>
        <v>0</v>
      </c>
      <c r="M5" s="33">
        <f t="shared" si="4"/>
        <v>0</v>
      </c>
      <c r="N5" s="33"/>
      <c r="O5" s="33"/>
      <c r="P5" s="33"/>
      <c r="Q5" s="33"/>
      <c r="R5" s="33"/>
      <c r="S5" s="33">
        <f t="shared" si="2"/>
        <v>68810</v>
      </c>
      <c r="T5" s="33"/>
      <c r="U5" s="33"/>
      <c r="V5" s="33"/>
      <c r="W5" s="33"/>
      <c r="X5" s="33"/>
      <c r="Y5" s="33"/>
      <c r="Z5" s="33"/>
      <c r="AB5" s="103"/>
      <c r="AD5" s="33"/>
      <c r="AE5" s="105"/>
      <c r="AF5" s="10"/>
      <c r="AG5" s="10"/>
      <c r="AH5" s="617"/>
      <c r="AI5" s="618"/>
      <c r="AJ5" s="105">
        <f t="shared" si="1"/>
        <v>0</v>
      </c>
      <c r="AK5" s="10"/>
    </row>
    <row r="6" spans="2:37" s="15" customFormat="1" hidden="1" x14ac:dyDescent="0.25">
      <c r="B6" s="197">
        <v>40087</v>
      </c>
      <c r="C6" s="32">
        <v>68234</v>
      </c>
      <c r="D6" s="33"/>
      <c r="E6" s="33">
        <v>0</v>
      </c>
      <c r="F6" s="2">
        <f t="shared" si="3"/>
        <v>68234</v>
      </c>
      <c r="G6" s="32">
        <v>1561</v>
      </c>
      <c r="H6" s="33"/>
      <c r="I6" s="33">
        <v>0</v>
      </c>
      <c r="J6" s="304">
        <f t="shared" si="0"/>
        <v>1561</v>
      </c>
      <c r="K6" s="33">
        <f t="shared" si="4"/>
        <v>995</v>
      </c>
      <c r="L6" s="33">
        <f t="shared" si="4"/>
        <v>0</v>
      </c>
      <c r="M6" s="33">
        <f t="shared" si="4"/>
        <v>0</v>
      </c>
      <c r="N6" s="33"/>
      <c r="O6" s="33"/>
      <c r="P6" s="33"/>
      <c r="Q6" s="33"/>
      <c r="R6" s="33"/>
      <c r="S6" s="33">
        <f t="shared" si="2"/>
        <v>69795</v>
      </c>
      <c r="T6" s="33"/>
      <c r="U6" s="33"/>
      <c r="V6" s="33"/>
      <c r="W6" s="33"/>
      <c r="X6" s="33"/>
      <c r="Y6" s="33"/>
      <c r="Z6" s="33"/>
      <c r="AB6" s="103"/>
      <c r="AD6" s="33"/>
      <c r="AE6" s="105"/>
      <c r="AF6" s="10"/>
      <c r="AG6" s="10"/>
      <c r="AH6" s="617"/>
      <c r="AI6" s="618"/>
      <c r="AJ6" s="105">
        <f t="shared" si="1"/>
        <v>0</v>
      </c>
      <c r="AK6" s="10"/>
    </row>
    <row r="7" spans="2:37" s="15" customFormat="1" hidden="1" x14ac:dyDescent="0.25">
      <c r="B7" s="197">
        <v>40118</v>
      </c>
      <c r="C7" s="32">
        <v>69011</v>
      </c>
      <c r="D7" s="33"/>
      <c r="E7" s="33">
        <v>0</v>
      </c>
      <c r="F7" s="2">
        <f t="shared" si="3"/>
        <v>69011</v>
      </c>
      <c r="G7" s="32">
        <v>1563</v>
      </c>
      <c r="H7" s="33"/>
      <c r="I7" s="33">
        <v>0</v>
      </c>
      <c r="J7" s="304">
        <f t="shared" si="0"/>
        <v>1563</v>
      </c>
      <c r="K7" s="33">
        <f t="shared" si="4"/>
        <v>777</v>
      </c>
      <c r="L7" s="33">
        <f t="shared" si="4"/>
        <v>0</v>
      </c>
      <c r="M7" s="33">
        <f t="shared" si="4"/>
        <v>0</v>
      </c>
      <c r="N7" s="33"/>
      <c r="O7" s="33"/>
      <c r="P7" s="33"/>
      <c r="Q7" s="33"/>
      <c r="R7" s="33"/>
      <c r="S7" s="33">
        <f t="shared" si="2"/>
        <v>70574</v>
      </c>
      <c r="T7" s="33"/>
      <c r="U7" s="33"/>
      <c r="V7" s="33"/>
      <c r="W7" s="33"/>
      <c r="X7" s="33"/>
      <c r="Y7" s="33"/>
      <c r="Z7" s="33"/>
      <c r="AB7" s="103"/>
      <c r="AD7" s="33"/>
      <c r="AE7" s="105"/>
      <c r="AF7" s="10"/>
      <c r="AG7" s="10"/>
      <c r="AH7" s="617"/>
      <c r="AI7" s="618"/>
      <c r="AJ7" s="105">
        <f t="shared" si="1"/>
        <v>0</v>
      </c>
      <c r="AK7" s="10"/>
    </row>
    <row r="8" spans="2:37" s="15" customFormat="1" hidden="1" x14ac:dyDescent="0.25">
      <c r="B8" s="197">
        <v>40148</v>
      </c>
      <c r="C8" s="32">
        <v>69640</v>
      </c>
      <c r="D8" s="33"/>
      <c r="E8" s="33">
        <v>0</v>
      </c>
      <c r="F8" s="2">
        <f t="shared" si="3"/>
        <v>69640</v>
      </c>
      <c r="G8" s="32">
        <v>1528</v>
      </c>
      <c r="H8" s="33"/>
      <c r="I8" s="33">
        <v>0</v>
      </c>
      <c r="J8" s="304">
        <f t="shared" si="0"/>
        <v>1528</v>
      </c>
      <c r="K8" s="33">
        <f t="shared" si="4"/>
        <v>629</v>
      </c>
      <c r="L8" s="33">
        <f t="shared" si="4"/>
        <v>0</v>
      </c>
      <c r="M8" s="33">
        <f t="shared" si="4"/>
        <v>0</v>
      </c>
      <c r="N8" s="33"/>
      <c r="O8" s="33"/>
      <c r="P8" s="33"/>
      <c r="Q8" s="33"/>
      <c r="R8" s="33"/>
      <c r="S8" s="33">
        <f t="shared" si="2"/>
        <v>71168</v>
      </c>
      <c r="T8" s="33"/>
      <c r="U8" s="33"/>
      <c r="V8" s="33"/>
      <c r="W8" s="33"/>
      <c r="X8" s="33"/>
      <c r="Y8" s="33"/>
      <c r="Z8" s="33"/>
      <c r="AB8" s="103"/>
      <c r="AD8" s="33"/>
      <c r="AE8" s="105"/>
      <c r="AF8" s="10"/>
      <c r="AG8" s="10"/>
      <c r="AH8" s="617"/>
      <c r="AI8" s="618"/>
      <c r="AJ8" s="105">
        <f t="shared" si="1"/>
        <v>0</v>
      </c>
      <c r="AK8" s="10"/>
    </row>
    <row r="9" spans="2:37" s="15" customFormat="1" hidden="1" x14ac:dyDescent="0.25">
      <c r="B9" s="197">
        <v>40179</v>
      </c>
      <c r="C9" s="32">
        <v>70186</v>
      </c>
      <c r="D9" s="33"/>
      <c r="E9" s="33">
        <v>0</v>
      </c>
      <c r="F9" s="2">
        <f t="shared" si="3"/>
        <v>70186</v>
      </c>
      <c r="G9" s="32">
        <v>1532</v>
      </c>
      <c r="H9" s="33"/>
      <c r="I9" s="33">
        <v>0</v>
      </c>
      <c r="J9" s="304">
        <f t="shared" si="0"/>
        <v>1532</v>
      </c>
      <c r="K9" s="33">
        <f t="shared" si="4"/>
        <v>546</v>
      </c>
      <c r="L9" s="33">
        <f t="shared" si="4"/>
        <v>0</v>
      </c>
      <c r="M9" s="33">
        <f t="shared" si="4"/>
        <v>0</v>
      </c>
      <c r="N9" s="33"/>
      <c r="O9" s="33"/>
      <c r="P9" s="33"/>
      <c r="Q9" s="33"/>
      <c r="R9" s="33"/>
      <c r="S9" s="33">
        <f t="shared" si="2"/>
        <v>71718</v>
      </c>
      <c r="T9" s="33"/>
      <c r="U9" s="33"/>
      <c r="V9" s="33"/>
      <c r="W9" s="33"/>
      <c r="X9" s="33"/>
      <c r="Y9" s="33"/>
      <c r="Z9" s="33"/>
      <c r="AB9" s="103"/>
      <c r="AD9" s="33"/>
      <c r="AE9" s="105"/>
      <c r="AF9" s="10"/>
      <c r="AG9" s="10"/>
      <c r="AH9" s="617"/>
      <c r="AI9" s="618"/>
      <c r="AJ9" s="105">
        <f t="shared" si="1"/>
        <v>0</v>
      </c>
      <c r="AK9" s="10"/>
    </row>
    <row r="10" spans="2:37" s="15" customFormat="1" hidden="1" x14ac:dyDescent="0.25">
      <c r="B10" s="197">
        <v>40210</v>
      </c>
      <c r="C10" s="32">
        <v>69887</v>
      </c>
      <c r="D10" s="33"/>
      <c r="E10" s="33">
        <v>0</v>
      </c>
      <c r="F10" s="2">
        <f t="shared" si="3"/>
        <v>69887</v>
      </c>
      <c r="G10" s="32">
        <v>1523</v>
      </c>
      <c r="H10" s="33"/>
      <c r="I10" s="33">
        <v>0</v>
      </c>
      <c r="J10" s="304">
        <f t="shared" si="0"/>
        <v>1523</v>
      </c>
      <c r="K10" s="33">
        <f t="shared" si="4"/>
        <v>-299</v>
      </c>
      <c r="L10" s="33">
        <f t="shared" si="4"/>
        <v>0</v>
      </c>
      <c r="M10" s="33">
        <f t="shared" si="4"/>
        <v>0</v>
      </c>
      <c r="N10" s="33"/>
      <c r="O10" s="33"/>
      <c r="P10" s="33"/>
      <c r="Q10" s="33"/>
      <c r="R10" s="33"/>
      <c r="S10" s="33">
        <f t="shared" si="2"/>
        <v>71410</v>
      </c>
      <c r="T10" s="33"/>
      <c r="U10" s="33"/>
      <c r="V10" s="33"/>
      <c r="W10" s="33"/>
      <c r="X10" s="33"/>
      <c r="Y10" s="33"/>
      <c r="Z10" s="33"/>
      <c r="AB10" s="103"/>
      <c r="AD10" s="33"/>
      <c r="AE10" s="105"/>
      <c r="AF10" s="10"/>
      <c r="AG10" s="10"/>
      <c r="AH10" s="617"/>
      <c r="AI10" s="618"/>
      <c r="AJ10" s="105">
        <f t="shared" si="1"/>
        <v>0</v>
      </c>
      <c r="AK10" s="10"/>
    </row>
    <row r="11" spans="2:37" s="15" customFormat="1" hidden="1" x14ac:dyDescent="0.25">
      <c r="B11" s="197">
        <v>40238</v>
      </c>
      <c r="C11" s="32">
        <v>70212</v>
      </c>
      <c r="D11" s="33"/>
      <c r="E11" s="33">
        <v>0</v>
      </c>
      <c r="F11" s="2">
        <f t="shared" si="3"/>
        <v>70212</v>
      </c>
      <c r="G11" s="32">
        <v>1550</v>
      </c>
      <c r="H11" s="33"/>
      <c r="I11" s="33">
        <v>0</v>
      </c>
      <c r="J11" s="304">
        <f t="shared" si="0"/>
        <v>1550</v>
      </c>
      <c r="K11" s="33">
        <f t="shared" si="4"/>
        <v>325</v>
      </c>
      <c r="L11" s="33">
        <f t="shared" si="4"/>
        <v>0</v>
      </c>
      <c r="M11" s="33">
        <f t="shared" si="4"/>
        <v>0</v>
      </c>
      <c r="N11" s="33"/>
      <c r="O11" s="33"/>
      <c r="P11" s="33"/>
      <c r="Q11" s="33"/>
      <c r="R11" s="33"/>
      <c r="S11" s="33">
        <f t="shared" si="2"/>
        <v>71762</v>
      </c>
      <c r="T11" s="33"/>
      <c r="U11" s="33"/>
      <c r="V11" s="33"/>
      <c r="W11" s="33"/>
      <c r="X11" s="33"/>
      <c r="Y11" s="33"/>
      <c r="Z11" s="33"/>
      <c r="AB11" s="103"/>
      <c r="AD11" s="33"/>
      <c r="AE11" s="105"/>
      <c r="AF11" s="10"/>
      <c r="AG11" s="10"/>
      <c r="AH11" s="617"/>
      <c r="AI11" s="618"/>
      <c r="AJ11" s="105">
        <f t="shared" si="1"/>
        <v>0</v>
      </c>
      <c r="AK11" s="10"/>
    </row>
    <row r="12" spans="2:37" s="15" customFormat="1" hidden="1" x14ac:dyDescent="0.25">
      <c r="B12" s="197">
        <v>40269</v>
      </c>
      <c r="C12" s="32">
        <v>69663</v>
      </c>
      <c r="D12" s="33"/>
      <c r="E12" s="33">
        <v>0</v>
      </c>
      <c r="F12" s="2">
        <f t="shared" si="3"/>
        <v>69663</v>
      </c>
      <c r="G12" s="32">
        <v>1517</v>
      </c>
      <c r="H12" s="33"/>
      <c r="I12" s="33">
        <v>0</v>
      </c>
      <c r="J12" s="304">
        <f t="shared" si="0"/>
        <v>1517</v>
      </c>
      <c r="K12" s="33">
        <f t="shared" si="4"/>
        <v>-549</v>
      </c>
      <c r="L12" s="33">
        <f t="shared" si="4"/>
        <v>0</v>
      </c>
      <c r="M12" s="33">
        <f t="shared" si="4"/>
        <v>0</v>
      </c>
      <c r="N12" s="33"/>
      <c r="O12" s="33"/>
      <c r="P12" s="33"/>
      <c r="Q12" s="33"/>
      <c r="R12" s="33"/>
      <c r="S12" s="33">
        <f t="shared" si="2"/>
        <v>71180</v>
      </c>
      <c r="T12" s="33"/>
      <c r="U12" s="33"/>
      <c r="V12" s="33"/>
      <c r="W12" s="33"/>
      <c r="X12" s="33"/>
      <c r="Y12" s="33"/>
      <c r="Z12" s="33"/>
      <c r="AB12" s="103"/>
      <c r="AD12" s="33"/>
      <c r="AE12" s="105"/>
      <c r="AF12" s="10"/>
      <c r="AG12" s="10"/>
      <c r="AH12" s="617"/>
      <c r="AI12" s="618"/>
      <c r="AJ12" s="105">
        <f t="shared" si="1"/>
        <v>0</v>
      </c>
      <c r="AK12" s="10"/>
    </row>
    <row r="13" spans="2:37" s="15" customFormat="1" hidden="1" x14ac:dyDescent="0.25">
      <c r="B13" s="197">
        <v>40299</v>
      </c>
      <c r="C13" s="32">
        <v>68771</v>
      </c>
      <c r="D13" s="33"/>
      <c r="E13" s="33">
        <v>600</v>
      </c>
      <c r="F13" s="2">
        <f t="shared" si="3"/>
        <v>69371</v>
      </c>
      <c r="G13" s="32">
        <v>1529</v>
      </c>
      <c r="H13" s="33"/>
      <c r="I13" s="33">
        <v>46</v>
      </c>
      <c r="J13" s="304">
        <f t="shared" si="0"/>
        <v>1575</v>
      </c>
      <c r="K13" s="33">
        <f t="shared" si="4"/>
        <v>-892</v>
      </c>
      <c r="L13" s="33">
        <f t="shared" si="4"/>
        <v>0</v>
      </c>
      <c r="M13" s="33">
        <f t="shared" si="4"/>
        <v>600</v>
      </c>
      <c r="N13" s="33"/>
      <c r="O13" s="33"/>
      <c r="P13" s="33"/>
      <c r="Q13" s="33"/>
      <c r="R13" s="33"/>
      <c r="S13" s="33">
        <f t="shared" si="2"/>
        <v>70946</v>
      </c>
      <c r="T13" s="33"/>
      <c r="U13" s="33"/>
      <c r="V13" s="33"/>
      <c r="W13" s="33"/>
      <c r="X13" s="33"/>
      <c r="Y13" s="33"/>
      <c r="Z13" s="33"/>
      <c r="AB13" s="103"/>
      <c r="AD13" s="33"/>
      <c r="AE13" s="105"/>
      <c r="AF13" s="10"/>
      <c r="AG13" s="10"/>
      <c r="AH13" s="617"/>
      <c r="AI13" s="618"/>
      <c r="AJ13" s="105">
        <f t="shared" si="1"/>
        <v>0</v>
      </c>
      <c r="AK13" s="10"/>
    </row>
    <row r="14" spans="2:37" s="15" customFormat="1" hidden="1" x14ac:dyDescent="0.25">
      <c r="B14" s="197">
        <v>40330</v>
      </c>
      <c r="C14" s="32">
        <v>68340</v>
      </c>
      <c r="D14" s="33"/>
      <c r="E14" s="33">
        <v>1029</v>
      </c>
      <c r="F14" s="2">
        <f t="shared" si="3"/>
        <v>69369</v>
      </c>
      <c r="G14" s="32">
        <v>1524</v>
      </c>
      <c r="H14" s="33"/>
      <c r="I14" s="33">
        <v>83</v>
      </c>
      <c r="J14" s="304">
        <f t="shared" si="0"/>
        <v>1607</v>
      </c>
      <c r="K14" s="33">
        <f t="shared" si="4"/>
        <v>-431</v>
      </c>
      <c r="L14" s="33">
        <f t="shared" si="4"/>
        <v>0</v>
      </c>
      <c r="M14" s="33">
        <f t="shared" si="4"/>
        <v>429</v>
      </c>
      <c r="N14" s="33"/>
      <c r="O14" s="33"/>
      <c r="P14" s="33"/>
      <c r="Q14" s="33"/>
      <c r="R14" s="33"/>
      <c r="S14" s="33">
        <f t="shared" si="2"/>
        <v>70976</v>
      </c>
      <c r="T14" s="33"/>
      <c r="U14" s="33"/>
      <c r="V14" s="33"/>
      <c r="W14" s="33"/>
      <c r="X14" s="33"/>
      <c r="Y14" s="33"/>
      <c r="Z14" s="33"/>
      <c r="AB14" s="103"/>
      <c r="AD14" s="33"/>
      <c r="AE14" s="105"/>
      <c r="AF14" s="10"/>
      <c r="AG14" s="10"/>
      <c r="AH14" s="617"/>
      <c r="AI14" s="618"/>
      <c r="AJ14" s="105">
        <f t="shared" si="1"/>
        <v>0</v>
      </c>
      <c r="AK14" s="10"/>
    </row>
    <row r="15" spans="2:37" s="107" customFormat="1" hidden="1" x14ac:dyDescent="0.25">
      <c r="B15" s="199" t="s">
        <v>101</v>
      </c>
      <c r="C15" s="34">
        <f>ROUND(AVERAGE(C3:C14),0)</f>
        <v>68589</v>
      </c>
      <c r="D15" s="35"/>
      <c r="E15" s="35">
        <f>ROUND(AVERAGE(E3:E14),0)</f>
        <v>136</v>
      </c>
      <c r="F15" s="25">
        <f t="shared" si="3"/>
        <v>68725</v>
      </c>
      <c r="G15" s="34">
        <f>ROUND(AVERAGE(G3:G14),0)</f>
        <v>1549</v>
      </c>
      <c r="H15" s="35"/>
      <c r="I15" s="35">
        <f>ROUND(AVERAGE(I3:I14),0)</f>
        <v>11</v>
      </c>
      <c r="J15" s="484">
        <f t="shared" si="0"/>
        <v>1560</v>
      </c>
      <c r="K15" s="35"/>
      <c r="L15" s="35"/>
      <c r="M15" s="35"/>
      <c r="N15" s="35"/>
      <c r="O15" s="35"/>
      <c r="P15" s="35"/>
      <c r="Q15" s="35"/>
      <c r="R15" s="35"/>
      <c r="V15" s="15"/>
      <c r="W15" s="15"/>
      <c r="X15" s="15"/>
      <c r="Y15" s="15"/>
      <c r="Z15" s="15"/>
      <c r="AA15" s="15"/>
      <c r="AB15" s="103"/>
      <c r="AC15" s="15"/>
      <c r="AD15" s="15"/>
      <c r="AE15" s="15"/>
      <c r="AF15" s="15"/>
      <c r="AG15" s="15"/>
      <c r="AH15" s="617"/>
      <c r="AI15" s="619"/>
    </row>
    <row r="16" spans="2:37" hidden="1" x14ac:dyDescent="0.25">
      <c r="B16" s="197">
        <v>40360</v>
      </c>
      <c r="C16" s="32">
        <v>1338</v>
      </c>
      <c r="D16" s="33"/>
      <c r="E16" s="33">
        <v>1511</v>
      </c>
      <c r="F16" s="2">
        <f t="shared" ref="F16:F21" si="5">SUM(C16:E16)</f>
        <v>2849</v>
      </c>
      <c r="G16" s="32">
        <v>1485</v>
      </c>
      <c r="H16" s="33"/>
      <c r="I16" s="33">
        <v>124</v>
      </c>
      <c r="J16" s="304">
        <f t="shared" ref="J16:J21" si="6">SUM(G16:I16)</f>
        <v>1609</v>
      </c>
      <c r="K16" s="33">
        <f t="shared" ref="K16:R27" si="7">+C16-C15</f>
        <v>-67251</v>
      </c>
      <c r="L16" s="33">
        <f t="shared" si="7"/>
        <v>0</v>
      </c>
      <c r="M16" s="33">
        <f t="shared" si="7"/>
        <v>1375</v>
      </c>
      <c r="N16" s="33">
        <f t="shared" si="7"/>
        <v>-65876</v>
      </c>
      <c r="O16" s="33">
        <f>+G16-G15</f>
        <v>-64</v>
      </c>
      <c r="P16" s="33">
        <f>+H16-H15</f>
        <v>0</v>
      </c>
      <c r="Q16" s="33">
        <f>+I16-I15</f>
        <v>113</v>
      </c>
      <c r="R16" s="33">
        <f>+J16-J15</f>
        <v>49</v>
      </c>
      <c r="S16" s="17">
        <f t="shared" ref="S16:S27" si="8">+J16+F16</f>
        <v>4458</v>
      </c>
      <c r="T16" s="17"/>
      <c r="U16" s="17"/>
      <c r="V16" s="33"/>
      <c r="W16" s="33"/>
      <c r="X16" s="33"/>
      <c r="Y16" s="33"/>
      <c r="Z16" s="15"/>
      <c r="AA16" s="15"/>
      <c r="AB16" s="103"/>
      <c r="AC16" s="15"/>
      <c r="AD16" s="33"/>
      <c r="AE16" s="105"/>
      <c r="AF16" s="10"/>
      <c r="AG16" s="10"/>
      <c r="AH16" s="617"/>
      <c r="AI16" s="618"/>
      <c r="AJ16" s="105">
        <f t="shared" ref="AJ16:AJ27" si="9">+AI16/J16</f>
        <v>0</v>
      </c>
      <c r="AK16" s="10"/>
    </row>
    <row r="17" spans="2:49" hidden="1" x14ac:dyDescent="0.25">
      <c r="B17" s="197">
        <v>40391</v>
      </c>
      <c r="C17" s="32">
        <v>67389</v>
      </c>
      <c r="D17" s="33"/>
      <c r="E17" s="33">
        <v>2018</v>
      </c>
      <c r="F17" s="2">
        <f t="shared" si="5"/>
        <v>69407</v>
      </c>
      <c r="G17" s="32">
        <v>1488</v>
      </c>
      <c r="H17" s="33"/>
      <c r="I17" s="33">
        <v>162</v>
      </c>
      <c r="J17" s="304">
        <f t="shared" si="6"/>
        <v>1650</v>
      </c>
      <c r="K17" s="33">
        <f t="shared" si="7"/>
        <v>66051</v>
      </c>
      <c r="L17" s="33">
        <f t="shared" si="7"/>
        <v>0</v>
      </c>
      <c r="M17" s="33">
        <f t="shared" si="7"/>
        <v>507</v>
      </c>
      <c r="N17" s="33">
        <f t="shared" si="7"/>
        <v>66558</v>
      </c>
      <c r="O17" s="33">
        <f t="shared" si="7"/>
        <v>3</v>
      </c>
      <c r="P17" s="33">
        <f t="shared" si="7"/>
        <v>0</v>
      </c>
      <c r="Q17" s="33">
        <f t="shared" si="7"/>
        <v>38</v>
      </c>
      <c r="R17" s="33">
        <f t="shared" si="7"/>
        <v>41</v>
      </c>
      <c r="S17" s="17">
        <f t="shared" si="8"/>
        <v>71057</v>
      </c>
      <c r="T17" s="17"/>
      <c r="U17" s="17"/>
      <c r="V17" s="33"/>
      <c r="W17" s="33"/>
      <c r="X17" s="33"/>
      <c r="Y17" s="33"/>
      <c r="Z17" s="33"/>
      <c r="AA17" s="15"/>
      <c r="AB17" s="103"/>
      <c r="AC17" s="15"/>
      <c r="AD17" s="33"/>
      <c r="AE17" s="105"/>
      <c r="AF17" s="10"/>
      <c r="AG17" s="10"/>
      <c r="AH17" s="617"/>
      <c r="AI17" s="618"/>
      <c r="AJ17" s="105">
        <f t="shared" si="9"/>
        <v>0</v>
      </c>
      <c r="AK17" s="10"/>
    </row>
    <row r="18" spans="2:49" hidden="1" x14ac:dyDescent="0.25">
      <c r="B18" s="197">
        <v>40422</v>
      </c>
      <c r="C18" s="32">
        <v>65824</v>
      </c>
      <c r="D18" s="33"/>
      <c r="E18" s="33">
        <v>2505</v>
      </c>
      <c r="F18" s="2">
        <f t="shared" si="5"/>
        <v>68329</v>
      </c>
      <c r="G18" s="32">
        <v>1457</v>
      </c>
      <c r="H18" s="33"/>
      <c r="I18" s="33">
        <v>187</v>
      </c>
      <c r="J18" s="304">
        <f t="shared" si="6"/>
        <v>1644</v>
      </c>
      <c r="K18" s="33">
        <f t="shared" si="7"/>
        <v>-1565</v>
      </c>
      <c r="L18" s="33">
        <f t="shared" si="7"/>
        <v>0</v>
      </c>
      <c r="M18" s="33">
        <f t="shared" si="7"/>
        <v>487</v>
      </c>
      <c r="N18" s="33">
        <f t="shared" si="7"/>
        <v>-1078</v>
      </c>
      <c r="O18" s="33">
        <f t="shared" si="7"/>
        <v>-31</v>
      </c>
      <c r="P18" s="33">
        <f t="shared" si="7"/>
        <v>0</v>
      </c>
      <c r="Q18" s="33">
        <f t="shared" si="7"/>
        <v>25</v>
      </c>
      <c r="R18" s="33">
        <f t="shared" si="7"/>
        <v>-6</v>
      </c>
      <c r="S18" s="17">
        <f t="shared" si="8"/>
        <v>69973</v>
      </c>
      <c r="T18" s="17"/>
      <c r="U18" s="17"/>
      <c r="V18" s="33"/>
      <c r="W18" s="33"/>
      <c r="X18" s="33"/>
      <c r="Y18" s="33"/>
      <c r="Z18" s="33"/>
      <c r="AA18" s="15"/>
      <c r="AB18" s="103"/>
      <c r="AC18" s="15"/>
      <c r="AD18" s="33"/>
      <c r="AE18" s="105"/>
      <c r="AF18" s="10"/>
      <c r="AG18" s="10"/>
      <c r="AH18" s="617"/>
      <c r="AI18" s="618"/>
      <c r="AJ18" s="105">
        <f t="shared" si="9"/>
        <v>0</v>
      </c>
      <c r="AK18" s="10"/>
    </row>
    <row r="19" spans="2:49" hidden="1" x14ac:dyDescent="0.25">
      <c r="B19" s="197">
        <v>40452</v>
      </c>
      <c r="C19" s="32">
        <v>63930</v>
      </c>
      <c r="D19" s="33"/>
      <c r="E19" s="33">
        <v>2935</v>
      </c>
      <c r="F19" s="2">
        <f t="shared" si="5"/>
        <v>66865</v>
      </c>
      <c r="G19" s="32">
        <v>1417</v>
      </c>
      <c r="H19" s="33"/>
      <c r="I19" s="33">
        <v>206</v>
      </c>
      <c r="J19" s="304">
        <f t="shared" si="6"/>
        <v>1623</v>
      </c>
      <c r="K19" s="33">
        <f t="shared" si="7"/>
        <v>-1894</v>
      </c>
      <c r="L19" s="33">
        <f t="shared" si="7"/>
        <v>0</v>
      </c>
      <c r="M19" s="33">
        <f t="shared" si="7"/>
        <v>430</v>
      </c>
      <c r="N19" s="33">
        <f t="shared" si="7"/>
        <v>-1464</v>
      </c>
      <c r="O19" s="33">
        <f t="shared" si="7"/>
        <v>-40</v>
      </c>
      <c r="P19" s="33">
        <f t="shared" si="7"/>
        <v>0</v>
      </c>
      <c r="Q19" s="33">
        <f t="shared" si="7"/>
        <v>19</v>
      </c>
      <c r="R19" s="33">
        <f t="shared" si="7"/>
        <v>-21</v>
      </c>
      <c r="S19" s="17">
        <f t="shared" si="8"/>
        <v>68488</v>
      </c>
      <c r="T19" s="17"/>
      <c r="U19" s="17"/>
      <c r="V19" s="33"/>
      <c r="W19" s="33"/>
      <c r="X19" s="33"/>
      <c r="Y19" s="33"/>
      <c r="Z19" s="33"/>
      <c r="AA19" s="15"/>
      <c r="AB19" s="103"/>
      <c r="AC19" s="15"/>
      <c r="AD19" s="33"/>
      <c r="AE19" s="105"/>
      <c r="AF19" s="10"/>
      <c r="AG19" s="10"/>
      <c r="AH19" s="617"/>
      <c r="AI19" s="618"/>
      <c r="AJ19" s="105">
        <f t="shared" si="9"/>
        <v>0</v>
      </c>
      <c r="AK19" s="10"/>
    </row>
    <row r="20" spans="2:49" hidden="1" x14ac:dyDescent="0.25">
      <c r="B20" s="197">
        <v>40483</v>
      </c>
      <c r="C20" s="32">
        <v>63053</v>
      </c>
      <c r="D20" s="33"/>
      <c r="E20" s="33">
        <v>3342</v>
      </c>
      <c r="F20" s="2">
        <f t="shared" si="5"/>
        <v>66395</v>
      </c>
      <c r="G20" s="32">
        <v>1424</v>
      </c>
      <c r="H20" s="33"/>
      <c r="I20" s="33">
        <v>228</v>
      </c>
      <c r="J20" s="304">
        <f t="shared" si="6"/>
        <v>1652</v>
      </c>
      <c r="K20" s="33">
        <f t="shared" si="7"/>
        <v>-877</v>
      </c>
      <c r="L20" s="33">
        <f t="shared" si="7"/>
        <v>0</v>
      </c>
      <c r="M20" s="33">
        <f t="shared" si="7"/>
        <v>407</v>
      </c>
      <c r="N20" s="33">
        <f t="shared" si="7"/>
        <v>-470</v>
      </c>
      <c r="O20" s="33">
        <f t="shared" si="7"/>
        <v>7</v>
      </c>
      <c r="P20" s="33">
        <f t="shared" si="7"/>
        <v>0</v>
      </c>
      <c r="Q20" s="33">
        <f t="shared" si="7"/>
        <v>22</v>
      </c>
      <c r="R20" s="33">
        <f t="shared" si="7"/>
        <v>29</v>
      </c>
      <c r="S20" s="17">
        <f t="shared" si="8"/>
        <v>68047</v>
      </c>
      <c r="T20" s="17"/>
      <c r="U20" s="17"/>
      <c r="V20" s="33"/>
      <c r="W20" s="33"/>
      <c r="X20" s="33"/>
      <c r="Y20" s="33"/>
      <c r="Z20" s="33"/>
      <c r="AA20" s="15"/>
      <c r="AB20" s="103"/>
      <c r="AC20" s="15"/>
      <c r="AD20" s="33"/>
      <c r="AE20" s="105"/>
      <c r="AF20" s="10"/>
      <c r="AG20" s="10"/>
      <c r="AH20" s="617"/>
      <c r="AI20" s="618"/>
      <c r="AJ20" s="105">
        <f t="shared" si="9"/>
        <v>0</v>
      </c>
      <c r="AK20" s="10"/>
    </row>
    <row r="21" spans="2:49" hidden="1" x14ac:dyDescent="0.25">
      <c r="B21" s="197">
        <v>40513</v>
      </c>
      <c r="C21" s="32">
        <v>62818</v>
      </c>
      <c r="D21" s="33"/>
      <c r="E21" s="33">
        <v>3759</v>
      </c>
      <c r="F21" s="2">
        <f t="shared" si="5"/>
        <v>66577</v>
      </c>
      <c r="G21" s="32">
        <v>1431</v>
      </c>
      <c r="H21" s="33"/>
      <c r="I21" s="33">
        <v>270</v>
      </c>
      <c r="J21" s="304">
        <f t="shared" si="6"/>
        <v>1701</v>
      </c>
      <c r="K21" s="33">
        <f t="shared" si="7"/>
        <v>-235</v>
      </c>
      <c r="L21" s="33">
        <f t="shared" si="7"/>
        <v>0</v>
      </c>
      <c r="M21" s="33">
        <f t="shared" si="7"/>
        <v>417</v>
      </c>
      <c r="N21" s="33">
        <f t="shared" si="7"/>
        <v>182</v>
      </c>
      <c r="O21" s="33">
        <f t="shared" si="7"/>
        <v>7</v>
      </c>
      <c r="P21" s="33">
        <f t="shared" si="7"/>
        <v>0</v>
      </c>
      <c r="Q21" s="33">
        <f t="shared" si="7"/>
        <v>42</v>
      </c>
      <c r="R21" s="33">
        <f t="shared" si="7"/>
        <v>49</v>
      </c>
      <c r="S21" s="17">
        <f t="shared" si="8"/>
        <v>68278</v>
      </c>
      <c r="T21" s="17"/>
      <c r="U21" s="17"/>
      <c r="V21" s="33"/>
      <c r="W21" s="33"/>
      <c r="X21" s="33"/>
      <c r="Y21" s="33"/>
      <c r="Z21" s="33"/>
      <c r="AA21" s="33"/>
      <c r="AB21" s="103"/>
      <c r="AC21" s="15"/>
      <c r="AD21" s="33"/>
      <c r="AE21" s="105"/>
      <c r="AF21" s="10"/>
      <c r="AG21" s="10"/>
      <c r="AH21" s="617"/>
      <c r="AI21" s="618"/>
      <c r="AJ21" s="105">
        <f t="shared" si="9"/>
        <v>0</v>
      </c>
      <c r="AK21" s="10"/>
    </row>
    <row r="22" spans="2:49" hidden="1" x14ac:dyDescent="0.25">
      <c r="B22" s="197">
        <v>40544</v>
      </c>
      <c r="C22" s="32">
        <v>63103</v>
      </c>
      <c r="D22" s="33"/>
      <c r="E22" s="33">
        <v>4316</v>
      </c>
      <c r="F22" s="2">
        <f t="shared" ref="F22:F29" si="10">SUM(C22:E22)</f>
        <v>67419</v>
      </c>
      <c r="G22" s="32">
        <v>1477</v>
      </c>
      <c r="H22" s="33"/>
      <c r="I22" s="33">
        <v>325</v>
      </c>
      <c r="J22" s="304">
        <f t="shared" ref="J22:J29" si="11">SUM(G22:I22)</f>
        <v>1802</v>
      </c>
      <c r="K22" s="33">
        <f t="shared" si="7"/>
        <v>285</v>
      </c>
      <c r="L22" s="33">
        <f t="shared" si="7"/>
        <v>0</v>
      </c>
      <c r="M22" s="33">
        <f t="shared" si="7"/>
        <v>557</v>
      </c>
      <c r="N22" s="33">
        <f t="shared" si="7"/>
        <v>842</v>
      </c>
      <c r="O22" s="33">
        <f t="shared" si="7"/>
        <v>46</v>
      </c>
      <c r="P22" s="33">
        <f t="shared" si="7"/>
        <v>0</v>
      </c>
      <c r="Q22" s="33">
        <f t="shared" si="7"/>
        <v>55</v>
      </c>
      <c r="R22" s="33">
        <f t="shared" si="7"/>
        <v>101</v>
      </c>
      <c r="S22" s="17">
        <f t="shared" si="8"/>
        <v>69221</v>
      </c>
      <c r="T22" s="17"/>
      <c r="U22" s="17"/>
      <c r="V22" s="33"/>
      <c r="W22" s="33"/>
      <c r="X22" s="33"/>
      <c r="Y22" s="33"/>
      <c r="Z22" s="33"/>
      <c r="AA22" s="15"/>
      <c r="AB22" s="103"/>
      <c r="AC22" s="15"/>
      <c r="AD22" s="33"/>
      <c r="AE22" s="105"/>
      <c r="AF22" s="10"/>
      <c r="AG22" s="10"/>
      <c r="AH22" s="617"/>
      <c r="AI22" s="618"/>
      <c r="AJ22" s="105">
        <f t="shared" si="9"/>
        <v>0</v>
      </c>
      <c r="AK22" s="10"/>
    </row>
    <row r="23" spans="2:49" hidden="1" x14ac:dyDescent="0.25">
      <c r="B23" s="197">
        <v>40575</v>
      </c>
      <c r="C23" s="32">
        <v>62932</v>
      </c>
      <c r="D23" s="33"/>
      <c r="E23" s="33">
        <v>4888</v>
      </c>
      <c r="F23" s="2">
        <f t="shared" si="10"/>
        <v>67820</v>
      </c>
      <c r="G23" s="32">
        <v>1478</v>
      </c>
      <c r="H23" s="33"/>
      <c r="I23" s="33">
        <v>357</v>
      </c>
      <c r="J23" s="304">
        <f t="shared" si="11"/>
        <v>1835</v>
      </c>
      <c r="K23" s="33">
        <f t="shared" si="7"/>
        <v>-171</v>
      </c>
      <c r="L23" s="33">
        <f t="shared" si="7"/>
        <v>0</v>
      </c>
      <c r="M23" s="33">
        <f t="shared" si="7"/>
        <v>572</v>
      </c>
      <c r="N23" s="33">
        <f t="shared" si="7"/>
        <v>401</v>
      </c>
      <c r="O23" s="33">
        <f t="shared" si="7"/>
        <v>1</v>
      </c>
      <c r="P23" s="33">
        <f t="shared" si="7"/>
        <v>0</v>
      </c>
      <c r="Q23" s="33">
        <f t="shared" si="7"/>
        <v>32</v>
      </c>
      <c r="R23" s="33">
        <f t="shared" si="7"/>
        <v>33</v>
      </c>
      <c r="S23" s="17">
        <f t="shared" si="8"/>
        <v>69655</v>
      </c>
      <c r="T23" s="17"/>
      <c r="U23" s="17"/>
      <c r="V23" s="33"/>
      <c r="W23" s="33"/>
      <c r="X23" s="33"/>
      <c r="Y23" s="33"/>
      <c r="Z23" s="33"/>
      <c r="AA23" s="15"/>
      <c r="AB23" s="103"/>
      <c r="AC23" s="15"/>
      <c r="AD23" s="33"/>
      <c r="AE23" s="105"/>
      <c r="AF23" s="10"/>
      <c r="AG23" s="10"/>
      <c r="AH23" s="617"/>
      <c r="AI23" s="618"/>
      <c r="AJ23" s="105">
        <f t="shared" si="9"/>
        <v>0</v>
      </c>
      <c r="AK23" s="10"/>
    </row>
    <row r="24" spans="2:49" hidden="1" x14ac:dyDescent="0.25">
      <c r="B24" s="197">
        <v>40603</v>
      </c>
      <c r="C24" s="32">
        <v>63205</v>
      </c>
      <c r="D24" s="33"/>
      <c r="E24" s="33">
        <v>5358</v>
      </c>
      <c r="F24" s="2">
        <f t="shared" si="10"/>
        <v>68563</v>
      </c>
      <c r="G24" s="32">
        <v>1514</v>
      </c>
      <c r="H24" s="33"/>
      <c r="I24" s="33">
        <v>361</v>
      </c>
      <c r="J24" s="304">
        <f t="shared" si="11"/>
        <v>1875</v>
      </c>
      <c r="K24" s="33">
        <f t="shared" si="7"/>
        <v>273</v>
      </c>
      <c r="L24" s="33">
        <f t="shared" si="7"/>
        <v>0</v>
      </c>
      <c r="M24" s="33">
        <f t="shared" si="7"/>
        <v>470</v>
      </c>
      <c r="N24" s="33">
        <f t="shared" si="7"/>
        <v>743</v>
      </c>
      <c r="O24" s="33">
        <f t="shared" si="7"/>
        <v>36</v>
      </c>
      <c r="P24" s="33">
        <f t="shared" si="7"/>
        <v>0</v>
      </c>
      <c r="Q24" s="33">
        <f t="shared" si="7"/>
        <v>4</v>
      </c>
      <c r="R24" s="33">
        <f t="shared" si="7"/>
        <v>40</v>
      </c>
      <c r="S24" s="17">
        <f t="shared" si="8"/>
        <v>70438</v>
      </c>
      <c r="T24" s="17"/>
      <c r="U24" s="17"/>
      <c r="V24" s="33"/>
      <c r="W24" s="33"/>
      <c r="X24" s="33"/>
      <c r="Y24" s="33"/>
      <c r="Z24" s="33"/>
      <c r="AA24" s="15"/>
      <c r="AB24" s="103"/>
      <c r="AC24" s="15"/>
      <c r="AD24" s="33"/>
      <c r="AE24" s="105"/>
      <c r="AF24" s="10"/>
      <c r="AG24" s="10"/>
      <c r="AH24" s="617"/>
      <c r="AI24" s="618"/>
      <c r="AJ24" s="105">
        <f t="shared" si="9"/>
        <v>0</v>
      </c>
      <c r="AK24" s="10"/>
    </row>
    <row r="25" spans="2:49" hidden="1" x14ac:dyDescent="0.25">
      <c r="B25" s="197">
        <v>40634</v>
      </c>
      <c r="C25" s="32">
        <v>61947</v>
      </c>
      <c r="D25" s="33"/>
      <c r="E25" s="33">
        <v>5674</v>
      </c>
      <c r="F25" s="2">
        <f t="shared" si="10"/>
        <v>67621</v>
      </c>
      <c r="G25" s="32">
        <v>1512</v>
      </c>
      <c r="H25" s="33"/>
      <c r="I25" s="33">
        <v>355</v>
      </c>
      <c r="J25" s="304">
        <f t="shared" si="11"/>
        <v>1867</v>
      </c>
      <c r="K25" s="33">
        <f t="shared" si="7"/>
        <v>-1258</v>
      </c>
      <c r="L25" s="33">
        <f t="shared" si="7"/>
        <v>0</v>
      </c>
      <c r="M25" s="33">
        <f t="shared" si="7"/>
        <v>316</v>
      </c>
      <c r="N25" s="33">
        <f t="shared" si="7"/>
        <v>-942</v>
      </c>
      <c r="O25" s="33">
        <f t="shared" si="7"/>
        <v>-2</v>
      </c>
      <c r="P25" s="33">
        <f t="shared" si="7"/>
        <v>0</v>
      </c>
      <c r="Q25" s="33">
        <f t="shared" si="7"/>
        <v>-6</v>
      </c>
      <c r="R25" s="33">
        <f t="shared" si="7"/>
        <v>-8</v>
      </c>
      <c r="S25" s="17">
        <f t="shared" si="8"/>
        <v>69488</v>
      </c>
      <c r="T25" s="17"/>
      <c r="U25" s="17"/>
      <c r="V25" s="33"/>
      <c r="W25" s="33"/>
      <c r="X25" s="33"/>
      <c r="Y25" s="33"/>
      <c r="Z25" s="33"/>
      <c r="AA25" s="15"/>
      <c r="AB25" s="103"/>
      <c r="AC25" s="15"/>
      <c r="AD25" s="33"/>
      <c r="AE25" s="105"/>
      <c r="AF25" s="10"/>
      <c r="AG25" s="10"/>
      <c r="AH25" s="617"/>
      <c r="AI25" s="618"/>
      <c r="AJ25" s="105">
        <f t="shared" si="9"/>
        <v>0</v>
      </c>
      <c r="AK25" s="10"/>
    </row>
    <row r="26" spans="2:49" hidden="1" x14ac:dyDescent="0.25">
      <c r="B26" s="197">
        <v>40664</v>
      </c>
      <c r="C26" s="32">
        <v>59210</v>
      </c>
      <c r="D26" s="33"/>
      <c r="E26" s="33">
        <v>5872</v>
      </c>
      <c r="F26" s="2">
        <f t="shared" si="10"/>
        <v>65082</v>
      </c>
      <c r="G26" s="32">
        <v>1498</v>
      </c>
      <c r="H26" s="33"/>
      <c r="I26" s="33">
        <v>342</v>
      </c>
      <c r="J26" s="304">
        <f t="shared" si="11"/>
        <v>1840</v>
      </c>
      <c r="K26" s="33">
        <f t="shared" si="7"/>
        <v>-2737</v>
      </c>
      <c r="L26" s="33">
        <f t="shared" si="7"/>
        <v>0</v>
      </c>
      <c r="M26" s="33">
        <f t="shared" si="7"/>
        <v>198</v>
      </c>
      <c r="N26" s="33">
        <f t="shared" si="7"/>
        <v>-2539</v>
      </c>
      <c r="O26" s="33">
        <f t="shared" si="7"/>
        <v>-14</v>
      </c>
      <c r="P26" s="33">
        <f t="shared" si="7"/>
        <v>0</v>
      </c>
      <c r="Q26" s="33">
        <f t="shared" si="7"/>
        <v>-13</v>
      </c>
      <c r="R26" s="33">
        <f t="shared" si="7"/>
        <v>-27</v>
      </c>
      <c r="S26" s="17">
        <f t="shared" si="8"/>
        <v>66922</v>
      </c>
      <c r="T26" s="17"/>
      <c r="U26" s="17"/>
      <c r="V26" s="33"/>
      <c r="W26" s="33"/>
      <c r="X26" s="33"/>
      <c r="Y26" s="33"/>
      <c r="Z26" s="33"/>
      <c r="AA26" s="15"/>
      <c r="AB26" s="103"/>
      <c r="AC26" s="15"/>
      <c r="AD26" s="33"/>
      <c r="AE26" s="105"/>
      <c r="AF26" s="10"/>
      <c r="AG26" s="10"/>
      <c r="AH26" s="617"/>
      <c r="AI26" s="618"/>
      <c r="AJ26" s="105">
        <f t="shared" si="9"/>
        <v>0</v>
      </c>
      <c r="AK26" s="10"/>
    </row>
    <row r="27" spans="2:49" hidden="1" x14ac:dyDescent="0.25">
      <c r="B27" s="197">
        <v>40695</v>
      </c>
      <c r="C27" s="32">
        <v>57858</v>
      </c>
      <c r="D27" s="33"/>
      <c r="E27" s="33">
        <v>6098</v>
      </c>
      <c r="F27" s="2">
        <f t="shared" si="10"/>
        <v>63956</v>
      </c>
      <c r="G27" s="32">
        <v>1455</v>
      </c>
      <c r="H27" s="33"/>
      <c r="I27" s="33">
        <v>349</v>
      </c>
      <c r="J27" s="304">
        <f t="shared" si="11"/>
        <v>1804</v>
      </c>
      <c r="K27" s="33">
        <f t="shared" si="7"/>
        <v>-1352</v>
      </c>
      <c r="L27" s="33">
        <f t="shared" si="7"/>
        <v>0</v>
      </c>
      <c r="M27" s="33">
        <f t="shared" si="7"/>
        <v>226</v>
      </c>
      <c r="N27" s="33">
        <f t="shared" si="7"/>
        <v>-1126</v>
      </c>
      <c r="O27" s="33">
        <f t="shared" si="7"/>
        <v>-43</v>
      </c>
      <c r="P27" s="33">
        <f t="shared" si="7"/>
        <v>0</v>
      </c>
      <c r="Q27" s="33">
        <f t="shared" si="7"/>
        <v>7</v>
      </c>
      <c r="R27" s="33">
        <f t="shared" si="7"/>
        <v>-36</v>
      </c>
      <c r="S27" s="17">
        <f t="shared" si="8"/>
        <v>65760</v>
      </c>
      <c r="T27" s="17"/>
      <c r="U27" s="17"/>
      <c r="V27" s="33"/>
      <c r="W27" s="33"/>
      <c r="X27" s="33"/>
      <c r="Y27" s="33"/>
      <c r="Z27" s="33"/>
      <c r="AA27" s="15"/>
      <c r="AB27" s="103"/>
      <c r="AC27" s="15"/>
      <c r="AD27" s="33"/>
      <c r="AE27" s="105"/>
      <c r="AF27" s="10"/>
      <c r="AG27" s="10"/>
      <c r="AH27" s="617"/>
      <c r="AI27" s="618"/>
      <c r="AJ27" s="105">
        <f t="shared" si="9"/>
        <v>0</v>
      </c>
      <c r="AK27" s="10"/>
    </row>
    <row r="28" spans="2:49" hidden="1" x14ac:dyDescent="0.25">
      <c r="B28" s="199" t="s">
        <v>106</v>
      </c>
      <c r="C28" s="34">
        <f>ROUND(AVERAGE(C16:C27),0)</f>
        <v>57717</v>
      </c>
      <c r="D28" s="35"/>
      <c r="E28" s="35">
        <f>ROUND(AVERAGE(E16:E27),0)</f>
        <v>4023</v>
      </c>
      <c r="F28" s="25">
        <f t="shared" si="10"/>
        <v>61740</v>
      </c>
      <c r="G28" s="34">
        <f>ROUND(AVERAGE(G16:G27),0)</f>
        <v>1470</v>
      </c>
      <c r="H28" s="35"/>
      <c r="I28" s="35">
        <f>ROUND(AVERAGE(I16:I27),0)</f>
        <v>272</v>
      </c>
      <c r="J28" s="484">
        <f t="shared" si="11"/>
        <v>1742</v>
      </c>
      <c r="K28" s="37"/>
      <c r="L28" s="37"/>
      <c r="M28" s="37"/>
      <c r="N28" s="37"/>
      <c r="O28" s="37"/>
      <c r="P28" s="37"/>
      <c r="Q28" s="37"/>
      <c r="R28" s="37"/>
      <c r="V28" s="15"/>
      <c r="W28" s="15"/>
      <c r="X28" s="15"/>
      <c r="Y28" s="15"/>
      <c r="Z28" s="15"/>
      <c r="AA28" s="15"/>
      <c r="AB28" s="103"/>
      <c r="AC28" s="15"/>
      <c r="AD28" s="15"/>
      <c r="AE28" s="15"/>
      <c r="AF28" s="15"/>
      <c r="AG28" s="15"/>
      <c r="AH28" s="617"/>
      <c r="AI28" s="619"/>
      <c r="AL28" s="108"/>
      <c r="AM28" s="109" t="s">
        <v>115</v>
      </c>
      <c r="AN28" s="109" t="s">
        <v>111</v>
      </c>
      <c r="AO28" s="109" t="s">
        <v>112</v>
      </c>
      <c r="AP28" s="109" t="s">
        <v>113</v>
      </c>
      <c r="AQ28" s="109" t="s">
        <v>114</v>
      </c>
      <c r="AR28" s="109" t="s">
        <v>116</v>
      </c>
      <c r="AS28" s="110"/>
      <c r="AT28" s="110" t="s">
        <v>39</v>
      </c>
    </row>
    <row r="29" spans="2:49" hidden="1" x14ac:dyDescent="0.25">
      <c r="B29" s="197">
        <v>40725</v>
      </c>
      <c r="C29" s="32">
        <v>57349</v>
      </c>
      <c r="D29" s="33"/>
      <c r="E29" s="33">
        <v>6320</v>
      </c>
      <c r="F29" s="2">
        <f t="shared" si="10"/>
        <v>63669</v>
      </c>
      <c r="G29" s="32">
        <v>1511</v>
      </c>
      <c r="H29" s="33"/>
      <c r="I29" s="33">
        <v>357</v>
      </c>
      <c r="J29" s="304">
        <f t="shared" si="11"/>
        <v>1868</v>
      </c>
      <c r="K29" s="33">
        <f>+C29-C27</f>
        <v>-509</v>
      </c>
      <c r="L29" s="33">
        <f>+D29-D27</f>
        <v>0</v>
      </c>
      <c r="M29" s="33">
        <f>+E29-E27</f>
        <v>222</v>
      </c>
      <c r="N29" s="33">
        <f>+F29-F27</f>
        <v>-287</v>
      </c>
      <c r="O29" s="33">
        <f t="shared" ref="O29:R40" si="12">+G29-G28</f>
        <v>41</v>
      </c>
      <c r="P29" s="33">
        <f t="shared" si="12"/>
        <v>0</v>
      </c>
      <c r="Q29" s="33">
        <f t="shared" si="12"/>
        <v>85</v>
      </c>
      <c r="R29" s="33">
        <f t="shared" si="12"/>
        <v>126</v>
      </c>
      <c r="S29" s="31">
        <f t="shared" ref="S29:S40" si="13">+J29+F29</f>
        <v>65537</v>
      </c>
      <c r="T29" s="31"/>
      <c r="U29" s="31"/>
      <c r="V29" s="33"/>
      <c r="W29" s="33"/>
      <c r="X29" s="33"/>
      <c r="Y29" s="33"/>
      <c r="Z29" s="33"/>
      <c r="AA29" s="15"/>
      <c r="AB29" s="103"/>
      <c r="AC29" s="15"/>
      <c r="AD29" s="33"/>
      <c r="AE29" s="105"/>
      <c r="AF29" s="10"/>
      <c r="AG29" s="10"/>
      <c r="AH29" s="617"/>
      <c r="AI29" s="618"/>
      <c r="AJ29" s="105">
        <f t="shared" ref="AJ29:AJ40" si="14">+AI29/J29</f>
        <v>0</v>
      </c>
      <c r="AK29" s="111">
        <f t="shared" ref="AK29:AK40" si="15">+F29-F28</f>
        <v>1929</v>
      </c>
      <c r="AL29" s="108"/>
      <c r="AM29" s="108">
        <v>27019</v>
      </c>
      <c r="AN29" s="112">
        <v>14927</v>
      </c>
      <c r="AO29" s="112">
        <v>3833</v>
      </c>
      <c r="AP29" s="112"/>
      <c r="AQ29" s="112"/>
      <c r="AR29" s="112"/>
      <c r="AS29" s="112"/>
      <c r="AT29" s="112" t="s">
        <v>117</v>
      </c>
      <c r="AU29" s="108" t="s">
        <v>118</v>
      </c>
      <c r="AV29" s="108"/>
      <c r="AW29" s="108"/>
    </row>
    <row r="30" spans="2:49" hidden="1" x14ac:dyDescent="0.25">
      <c r="B30" s="197">
        <v>40756</v>
      </c>
      <c r="C30" s="32">
        <v>57625</v>
      </c>
      <c r="D30" s="33"/>
      <c r="E30" s="33">
        <v>6444</v>
      </c>
      <c r="F30" s="2">
        <f t="shared" ref="F30:F36" si="16">SUM(C30:E30)</f>
        <v>64069</v>
      </c>
      <c r="G30" s="32">
        <v>1567</v>
      </c>
      <c r="H30" s="33"/>
      <c r="I30" s="33">
        <v>355</v>
      </c>
      <c r="J30" s="304">
        <f t="shared" ref="J30:J36" si="17">SUM(G30:I30)</f>
        <v>1922</v>
      </c>
      <c r="K30" s="33">
        <f t="shared" ref="K30:N40" si="18">+C30-C29</f>
        <v>276</v>
      </c>
      <c r="L30" s="33">
        <f t="shared" si="18"/>
        <v>0</v>
      </c>
      <c r="M30" s="33">
        <f t="shared" si="18"/>
        <v>124</v>
      </c>
      <c r="N30" s="33">
        <f t="shared" si="18"/>
        <v>400</v>
      </c>
      <c r="O30" s="33">
        <f t="shared" si="12"/>
        <v>56</v>
      </c>
      <c r="P30" s="33">
        <f t="shared" si="12"/>
        <v>0</v>
      </c>
      <c r="Q30" s="33">
        <f t="shared" si="12"/>
        <v>-2</v>
      </c>
      <c r="R30" s="33">
        <f t="shared" si="12"/>
        <v>54</v>
      </c>
      <c r="S30" s="17">
        <f t="shared" si="13"/>
        <v>65991</v>
      </c>
      <c r="T30" s="17"/>
      <c r="U30" s="17"/>
      <c r="V30" s="33"/>
      <c r="W30" s="33"/>
      <c r="X30" s="33"/>
      <c r="Y30" s="33"/>
      <c r="Z30" s="33"/>
      <c r="AA30" s="15"/>
      <c r="AB30" s="103"/>
      <c r="AC30" s="15"/>
      <c r="AD30" s="33"/>
      <c r="AE30" s="105"/>
      <c r="AF30" s="10"/>
      <c r="AG30" s="10"/>
      <c r="AH30" s="617"/>
      <c r="AI30" s="618"/>
      <c r="AJ30" s="105">
        <f t="shared" si="14"/>
        <v>0</v>
      </c>
      <c r="AK30" s="10">
        <f t="shared" si="15"/>
        <v>400</v>
      </c>
      <c r="AL30" s="108"/>
      <c r="AM30" s="108">
        <v>25773</v>
      </c>
      <c r="AN30" s="112">
        <v>14585</v>
      </c>
      <c r="AO30" s="112">
        <v>3409</v>
      </c>
      <c r="AP30" s="112">
        <v>3534</v>
      </c>
      <c r="AQ30" s="112">
        <v>5894</v>
      </c>
      <c r="AR30" s="112">
        <v>601</v>
      </c>
      <c r="AS30" s="26">
        <v>40756</v>
      </c>
      <c r="AT30" s="112">
        <f>SUM(AM30:AR30)</f>
        <v>53796</v>
      </c>
      <c r="AU30" s="113">
        <f>F30</f>
        <v>64069</v>
      </c>
      <c r="AV30" s="114">
        <f>+AU30-AT30</f>
        <v>10273</v>
      </c>
      <c r="AW30" s="115">
        <f>+AV30/AU30</f>
        <v>0.16034275546676241</v>
      </c>
    </row>
    <row r="31" spans="2:49" hidden="1" x14ac:dyDescent="0.25">
      <c r="B31" s="197">
        <v>40787</v>
      </c>
      <c r="C31" s="32">
        <v>57506</v>
      </c>
      <c r="D31" s="33"/>
      <c r="E31" s="33">
        <v>7275</v>
      </c>
      <c r="F31" s="2">
        <f t="shared" si="16"/>
        <v>64781</v>
      </c>
      <c r="G31" s="32">
        <v>1533</v>
      </c>
      <c r="H31" s="33"/>
      <c r="I31" s="33">
        <v>377</v>
      </c>
      <c r="J31" s="304">
        <f t="shared" si="17"/>
        <v>1910</v>
      </c>
      <c r="K31" s="33">
        <f t="shared" si="18"/>
        <v>-119</v>
      </c>
      <c r="L31" s="33">
        <f t="shared" si="18"/>
        <v>0</v>
      </c>
      <c r="M31" s="33">
        <f t="shared" si="18"/>
        <v>831</v>
      </c>
      <c r="N31" s="33">
        <f t="shared" si="18"/>
        <v>712</v>
      </c>
      <c r="O31" s="33">
        <f t="shared" si="12"/>
        <v>-34</v>
      </c>
      <c r="P31" s="33">
        <f t="shared" si="12"/>
        <v>0</v>
      </c>
      <c r="Q31" s="33">
        <f t="shared" si="12"/>
        <v>22</v>
      </c>
      <c r="R31" s="33">
        <f t="shared" si="12"/>
        <v>-12</v>
      </c>
      <c r="S31" s="17">
        <f t="shared" si="13"/>
        <v>66691</v>
      </c>
      <c r="T31" s="17"/>
      <c r="U31" s="17"/>
      <c r="V31" s="33"/>
      <c r="W31" s="33"/>
      <c r="X31" s="33"/>
      <c r="Y31" s="33"/>
      <c r="Z31" s="33"/>
      <c r="AA31" s="15"/>
      <c r="AB31" s="103"/>
      <c r="AC31" s="15"/>
      <c r="AD31" s="33"/>
      <c r="AE31" s="105"/>
      <c r="AF31" s="10"/>
      <c r="AG31" s="10"/>
      <c r="AH31" s="617"/>
      <c r="AI31" s="618"/>
      <c r="AJ31" s="105">
        <f t="shared" si="14"/>
        <v>0</v>
      </c>
      <c r="AK31" s="10">
        <f t="shared" si="15"/>
        <v>712</v>
      </c>
      <c r="AL31" s="108"/>
      <c r="AM31" s="112">
        <v>29524</v>
      </c>
      <c r="AN31" s="112">
        <v>18619</v>
      </c>
      <c r="AO31" s="112">
        <v>4475</v>
      </c>
      <c r="AP31" s="116">
        <f>+AP30*($AO31/$AO30)</f>
        <v>4639.0877090055737</v>
      </c>
      <c r="AQ31" s="112">
        <v>5619</v>
      </c>
      <c r="AR31" s="116">
        <f>+AR30*($AO31/$AO30)</f>
        <v>788.93370489879726</v>
      </c>
      <c r="AS31" s="26">
        <v>40787</v>
      </c>
      <c r="AT31" s="112">
        <f>SUM(AM31:AR31)</f>
        <v>63665.021413904367</v>
      </c>
      <c r="AU31" s="113">
        <f>F31</f>
        <v>64781</v>
      </c>
      <c r="AV31" s="114">
        <f>+AU31-AT31</f>
        <v>1115.9785860956326</v>
      </c>
      <c r="AW31" s="115">
        <f>+AV31/AU31</f>
        <v>1.7226942870527357E-2</v>
      </c>
    </row>
    <row r="32" spans="2:49" hidden="1" x14ac:dyDescent="0.25">
      <c r="B32" s="197">
        <v>40817</v>
      </c>
      <c r="C32" s="32">
        <v>58766</v>
      </c>
      <c r="D32" s="33"/>
      <c r="E32" s="33">
        <v>8075</v>
      </c>
      <c r="F32" s="2">
        <f t="shared" si="16"/>
        <v>66841</v>
      </c>
      <c r="G32" s="32">
        <v>1550</v>
      </c>
      <c r="H32" s="33"/>
      <c r="I32" s="33">
        <v>375</v>
      </c>
      <c r="J32" s="304">
        <f t="shared" si="17"/>
        <v>1925</v>
      </c>
      <c r="K32" s="33">
        <f t="shared" si="18"/>
        <v>1260</v>
      </c>
      <c r="L32" s="33">
        <f t="shared" si="18"/>
        <v>0</v>
      </c>
      <c r="M32" s="33">
        <f t="shared" si="18"/>
        <v>800</v>
      </c>
      <c r="N32" s="33">
        <f t="shared" si="18"/>
        <v>2060</v>
      </c>
      <c r="O32" s="33">
        <f t="shared" si="12"/>
        <v>17</v>
      </c>
      <c r="P32" s="33">
        <f t="shared" si="12"/>
        <v>0</v>
      </c>
      <c r="Q32" s="33">
        <f t="shared" si="12"/>
        <v>-2</v>
      </c>
      <c r="R32" s="33">
        <f t="shared" si="12"/>
        <v>15</v>
      </c>
      <c r="S32" s="17">
        <f t="shared" si="13"/>
        <v>68766</v>
      </c>
      <c r="T32" s="17"/>
      <c r="U32" s="17"/>
      <c r="V32" s="33"/>
      <c r="W32" s="33"/>
      <c r="X32" s="33"/>
      <c r="Y32" s="33"/>
      <c r="Z32" s="33"/>
      <c r="AA32" s="15"/>
      <c r="AB32" s="103"/>
      <c r="AC32" s="15"/>
      <c r="AD32" s="33"/>
      <c r="AE32" s="105"/>
      <c r="AF32" s="10"/>
      <c r="AG32" s="10"/>
      <c r="AH32" s="617"/>
      <c r="AI32" s="618"/>
      <c r="AJ32" s="105">
        <f t="shared" si="14"/>
        <v>0</v>
      </c>
      <c r="AK32" s="10">
        <f t="shared" si="15"/>
        <v>2060</v>
      </c>
      <c r="AM32" s="430">
        <v>30461</v>
      </c>
      <c r="AN32" s="430">
        <v>17976</v>
      </c>
      <c r="AO32" s="430">
        <v>4586</v>
      </c>
      <c r="AP32" s="116">
        <f t="shared" ref="AP32:AR33" si="19">+AP31*($AO32/$AO31)</f>
        <v>4754.1578175418017</v>
      </c>
      <c r="AQ32" s="430">
        <v>6373</v>
      </c>
      <c r="AR32" s="116">
        <f t="shared" si="19"/>
        <v>808.50278674097967</v>
      </c>
      <c r="AS32" s="26">
        <v>40817</v>
      </c>
      <c r="AT32" s="112">
        <f>SUM(AM32:AR32)</f>
        <v>64958.660604282784</v>
      </c>
      <c r="AU32" s="113">
        <f>F32</f>
        <v>66841</v>
      </c>
      <c r="AV32" s="114">
        <f>+AU32-AT32</f>
        <v>1882.3393957172157</v>
      </c>
      <c r="AW32" s="115">
        <f>+AV32/AU32</f>
        <v>2.8161448747284087E-2</v>
      </c>
    </row>
    <row r="33" spans="1:46" hidden="1" x14ac:dyDescent="0.25">
      <c r="B33" s="197">
        <v>40848</v>
      </c>
      <c r="C33" s="32">
        <v>59551</v>
      </c>
      <c r="D33" s="33"/>
      <c r="E33" s="33">
        <v>10493</v>
      </c>
      <c r="F33" s="2">
        <f t="shared" si="16"/>
        <v>70044</v>
      </c>
      <c r="G33" s="32">
        <v>1493</v>
      </c>
      <c r="H33" s="33"/>
      <c r="I33" s="33">
        <v>451</v>
      </c>
      <c r="J33" s="304">
        <f t="shared" si="17"/>
        <v>1944</v>
      </c>
      <c r="K33" s="33">
        <f t="shared" si="18"/>
        <v>785</v>
      </c>
      <c r="L33" s="33">
        <f t="shared" si="18"/>
        <v>0</v>
      </c>
      <c r="M33" s="33">
        <f t="shared" si="18"/>
        <v>2418</v>
      </c>
      <c r="N33" s="33">
        <f t="shared" si="18"/>
        <v>3203</v>
      </c>
      <c r="O33" s="33">
        <f t="shared" si="12"/>
        <v>-57</v>
      </c>
      <c r="P33" s="33">
        <f t="shared" si="12"/>
        <v>0</v>
      </c>
      <c r="Q33" s="33">
        <f t="shared" si="12"/>
        <v>76</v>
      </c>
      <c r="R33" s="33">
        <f t="shared" si="12"/>
        <v>19</v>
      </c>
      <c r="S33" s="17">
        <f t="shared" si="13"/>
        <v>71988</v>
      </c>
      <c r="T33" s="17"/>
      <c r="U33" s="17"/>
      <c r="V33" s="33"/>
      <c r="W33" s="33"/>
      <c r="X33" s="33"/>
      <c r="Y33" s="33"/>
      <c r="Z33" s="33"/>
      <c r="AA33" s="15"/>
      <c r="AB33" s="103"/>
      <c r="AC33" s="15"/>
      <c r="AD33" s="33"/>
      <c r="AE33" s="105"/>
      <c r="AF33" s="10"/>
      <c r="AG33" s="10"/>
      <c r="AH33" s="617"/>
      <c r="AI33" s="618"/>
      <c r="AJ33" s="105">
        <f t="shared" si="14"/>
        <v>0</v>
      </c>
      <c r="AK33" s="10">
        <f t="shared" si="15"/>
        <v>3203</v>
      </c>
      <c r="AM33" s="430">
        <v>32362</v>
      </c>
      <c r="AN33" s="430">
        <v>17534</v>
      </c>
      <c r="AO33" s="430">
        <v>4983</v>
      </c>
      <c r="AP33" s="116">
        <f t="shared" si="19"/>
        <v>5165.7148723965975</v>
      </c>
      <c r="AQ33" s="430">
        <v>7098</v>
      </c>
      <c r="AR33" s="116">
        <f t="shared" si="19"/>
        <v>878.49310648283938</v>
      </c>
      <c r="AS33" s="117"/>
      <c r="AT33" s="118">
        <f>SUM(AM33:AR33)</f>
        <v>68021.207978879436</v>
      </c>
    </row>
    <row r="34" spans="1:46" hidden="1" x14ac:dyDescent="0.25">
      <c r="B34" s="197">
        <v>40878</v>
      </c>
      <c r="C34" s="32">
        <v>59699</v>
      </c>
      <c r="D34" s="33"/>
      <c r="E34" s="33">
        <v>12338</v>
      </c>
      <c r="F34" s="2">
        <f t="shared" si="16"/>
        <v>72037</v>
      </c>
      <c r="G34" s="32">
        <v>1506</v>
      </c>
      <c r="H34" s="33"/>
      <c r="I34" s="33">
        <v>487</v>
      </c>
      <c r="J34" s="304">
        <f t="shared" si="17"/>
        <v>1993</v>
      </c>
      <c r="K34" s="33">
        <f t="shared" si="18"/>
        <v>148</v>
      </c>
      <c r="L34" s="33">
        <f t="shared" si="18"/>
        <v>0</v>
      </c>
      <c r="M34" s="33">
        <f t="shared" si="18"/>
        <v>1845</v>
      </c>
      <c r="N34" s="33">
        <f t="shared" si="18"/>
        <v>1993</v>
      </c>
      <c r="O34" s="33">
        <f t="shared" si="12"/>
        <v>13</v>
      </c>
      <c r="P34" s="33">
        <f t="shared" si="12"/>
        <v>0</v>
      </c>
      <c r="Q34" s="33">
        <f t="shared" si="12"/>
        <v>36</v>
      </c>
      <c r="R34" s="33">
        <f t="shared" si="12"/>
        <v>49</v>
      </c>
      <c r="S34" s="17">
        <f t="shared" si="13"/>
        <v>74030</v>
      </c>
      <c r="T34" s="17"/>
      <c r="U34" s="17"/>
      <c r="V34" s="33"/>
      <c r="W34" s="33"/>
      <c r="X34" s="33"/>
      <c r="Y34" s="33"/>
      <c r="Z34" s="33"/>
      <c r="AA34" s="15"/>
      <c r="AB34" s="103"/>
      <c r="AC34" s="15"/>
      <c r="AD34" s="33"/>
      <c r="AE34" s="105"/>
      <c r="AF34" s="10"/>
      <c r="AG34" s="10"/>
      <c r="AH34" s="617"/>
      <c r="AI34" s="618"/>
      <c r="AJ34" s="105">
        <f t="shared" si="14"/>
        <v>0</v>
      </c>
      <c r="AK34" s="10">
        <f t="shared" si="15"/>
        <v>1993</v>
      </c>
    </row>
    <row r="35" spans="1:46" hidden="1" x14ac:dyDescent="0.25">
      <c r="B35" s="197">
        <v>40909</v>
      </c>
      <c r="C35" s="32">
        <v>64289</v>
      </c>
      <c r="D35" s="33"/>
      <c r="E35" s="33">
        <v>12985</v>
      </c>
      <c r="F35" s="2">
        <f t="shared" si="16"/>
        <v>77274</v>
      </c>
      <c r="G35" s="32">
        <v>1590</v>
      </c>
      <c r="H35" s="33"/>
      <c r="I35" s="33">
        <v>498</v>
      </c>
      <c r="J35" s="304">
        <f t="shared" si="17"/>
        <v>2088</v>
      </c>
      <c r="K35" s="33">
        <f t="shared" si="18"/>
        <v>4590</v>
      </c>
      <c r="L35" s="33">
        <f t="shared" si="18"/>
        <v>0</v>
      </c>
      <c r="M35" s="33">
        <f t="shared" si="18"/>
        <v>647</v>
      </c>
      <c r="N35" s="33">
        <f t="shared" si="18"/>
        <v>5237</v>
      </c>
      <c r="O35" s="33">
        <f t="shared" si="12"/>
        <v>84</v>
      </c>
      <c r="P35" s="33">
        <f t="shared" si="12"/>
        <v>0</v>
      </c>
      <c r="Q35" s="33">
        <f t="shared" si="12"/>
        <v>11</v>
      </c>
      <c r="R35" s="33">
        <f t="shared" si="12"/>
        <v>95</v>
      </c>
      <c r="S35" s="17">
        <f t="shared" si="13"/>
        <v>79362</v>
      </c>
      <c r="T35" s="17"/>
      <c r="U35" s="17"/>
      <c r="V35" s="33"/>
      <c r="W35" s="33"/>
      <c r="X35" s="33"/>
      <c r="Y35" s="33"/>
      <c r="Z35" s="33"/>
      <c r="AA35" s="15"/>
      <c r="AB35" s="103"/>
      <c r="AC35" s="15"/>
      <c r="AD35" s="33"/>
      <c r="AE35" s="105"/>
      <c r="AF35" s="10"/>
      <c r="AG35" s="10"/>
      <c r="AH35" s="617"/>
      <c r="AI35" s="618"/>
      <c r="AJ35" s="105">
        <f t="shared" si="14"/>
        <v>0</v>
      </c>
      <c r="AK35" s="17">
        <f t="shared" si="15"/>
        <v>5237</v>
      </c>
      <c r="AT35" s="119" t="s">
        <v>119</v>
      </c>
    </row>
    <row r="36" spans="1:46" hidden="1" x14ac:dyDescent="0.25">
      <c r="B36" s="485">
        <v>40940</v>
      </c>
      <c r="C36" s="32">
        <v>66199</v>
      </c>
      <c r="D36" s="33"/>
      <c r="E36" s="33">
        <v>13250</v>
      </c>
      <c r="F36" s="2">
        <f t="shared" si="16"/>
        <v>79449</v>
      </c>
      <c r="G36" s="32">
        <v>1722</v>
      </c>
      <c r="H36" s="33"/>
      <c r="I36" s="33">
        <v>494</v>
      </c>
      <c r="J36" s="304">
        <f t="shared" si="17"/>
        <v>2216</v>
      </c>
      <c r="K36" s="33">
        <f t="shared" si="18"/>
        <v>1910</v>
      </c>
      <c r="L36" s="33">
        <f t="shared" si="18"/>
        <v>0</v>
      </c>
      <c r="M36" s="33">
        <f t="shared" si="18"/>
        <v>265</v>
      </c>
      <c r="N36" s="33">
        <f t="shared" si="18"/>
        <v>2175</v>
      </c>
      <c r="O36" s="33">
        <f t="shared" si="12"/>
        <v>132</v>
      </c>
      <c r="P36" s="33">
        <f t="shared" si="12"/>
        <v>0</v>
      </c>
      <c r="Q36" s="33">
        <f t="shared" si="12"/>
        <v>-4</v>
      </c>
      <c r="R36" s="33">
        <f t="shared" si="12"/>
        <v>128</v>
      </c>
      <c r="S36" s="17">
        <f t="shared" si="13"/>
        <v>81665</v>
      </c>
      <c r="T36" s="17"/>
      <c r="U36" s="17"/>
      <c r="V36" s="33"/>
      <c r="W36" s="33"/>
      <c r="X36" s="33"/>
      <c r="Y36" s="33"/>
      <c r="Z36" s="33"/>
      <c r="AA36" s="15"/>
      <c r="AB36" s="103"/>
      <c r="AC36" s="15"/>
      <c r="AD36" s="33"/>
      <c r="AE36" s="105"/>
      <c r="AF36" s="10"/>
      <c r="AG36" s="10"/>
      <c r="AH36" s="617"/>
      <c r="AI36" s="618"/>
      <c r="AJ36" s="105">
        <f t="shared" si="14"/>
        <v>0</v>
      </c>
      <c r="AK36" s="17">
        <f t="shared" si="15"/>
        <v>2175</v>
      </c>
    </row>
    <row r="37" spans="1:46" hidden="1" x14ac:dyDescent="0.25">
      <c r="B37" s="197">
        <v>40969</v>
      </c>
      <c r="C37" s="32">
        <v>68051</v>
      </c>
      <c r="D37" s="33"/>
      <c r="E37" s="33">
        <v>13774</v>
      </c>
      <c r="F37" s="2">
        <f>SUM(C37:E37)</f>
        <v>81825</v>
      </c>
      <c r="G37" s="32">
        <v>1738</v>
      </c>
      <c r="H37" s="33"/>
      <c r="I37" s="33">
        <v>525</v>
      </c>
      <c r="J37" s="304">
        <f>SUM(G37:I37)</f>
        <v>2263</v>
      </c>
      <c r="K37" s="33">
        <f t="shared" si="18"/>
        <v>1852</v>
      </c>
      <c r="L37" s="33">
        <f t="shared" si="18"/>
        <v>0</v>
      </c>
      <c r="M37" s="33">
        <f t="shared" si="18"/>
        <v>524</v>
      </c>
      <c r="N37" s="33">
        <f t="shared" si="18"/>
        <v>2376</v>
      </c>
      <c r="O37" s="33">
        <f t="shared" si="12"/>
        <v>16</v>
      </c>
      <c r="P37" s="33">
        <f t="shared" si="12"/>
        <v>0</v>
      </c>
      <c r="Q37" s="33">
        <f t="shared" si="12"/>
        <v>31</v>
      </c>
      <c r="R37" s="33">
        <f t="shared" si="12"/>
        <v>47</v>
      </c>
      <c r="S37" s="17">
        <f t="shared" si="13"/>
        <v>84088</v>
      </c>
      <c r="T37" s="17"/>
      <c r="U37" s="17"/>
      <c r="V37" s="33"/>
      <c r="W37" s="33"/>
      <c r="X37" s="33"/>
      <c r="Y37" s="33"/>
      <c r="Z37" s="33"/>
      <c r="AA37" s="15"/>
      <c r="AB37" s="103"/>
      <c r="AC37" s="15"/>
      <c r="AD37" s="33"/>
      <c r="AE37" s="105"/>
      <c r="AF37" s="10"/>
      <c r="AG37" s="10"/>
      <c r="AH37" s="617"/>
      <c r="AI37" s="618"/>
      <c r="AJ37" s="105">
        <f t="shared" si="14"/>
        <v>0</v>
      </c>
      <c r="AK37" s="17">
        <f t="shared" si="15"/>
        <v>2376</v>
      </c>
    </row>
    <row r="38" spans="1:46" hidden="1" x14ac:dyDescent="0.25">
      <c r="B38" s="197">
        <v>41000</v>
      </c>
      <c r="C38" s="32">
        <v>70560</v>
      </c>
      <c r="D38" s="33"/>
      <c r="E38" s="33">
        <v>13492</v>
      </c>
      <c r="F38" s="2">
        <f>SUM(C38:E38)</f>
        <v>84052</v>
      </c>
      <c r="G38" s="32">
        <v>1736</v>
      </c>
      <c r="H38" s="33"/>
      <c r="I38" s="33">
        <v>494</v>
      </c>
      <c r="J38" s="304">
        <f>SUM(G38:I38)</f>
        <v>2230</v>
      </c>
      <c r="K38" s="33">
        <f t="shared" si="18"/>
        <v>2509</v>
      </c>
      <c r="L38" s="33">
        <f t="shared" si="18"/>
        <v>0</v>
      </c>
      <c r="M38" s="33">
        <f t="shared" si="18"/>
        <v>-282</v>
      </c>
      <c r="N38" s="33">
        <f t="shared" si="18"/>
        <v>2227</v>
      </c>
      <c r="O38" s="33">
        <f t="shared" si="12"/>
        <v>-2</v>
      </c>
      <c r="P38" s="33">
        <f t="shared" si="12"/>
        <v>0</v>
      </c>
      <c r="Q38" s="33">
        <f t="shared" si="12"/>
        <v>-31</v>
      </c>
      <c r="R38" s="33">
        <f t="shared" si="12"/>
        <v>-33</v>
      </c>
      <c r="S38" s="17">
        <f t="shared" si="13"/>
        <v>86282</v>
      </c>
      <c r="T38" s="17"/>
      <c r="U38" s="17"/>
      <c r="V38" s="33"/>
      <c r="W38" s="33"/>
      <c r="X38" s="33"/>
      <c r="Y38" s="33"/>
      <c r="Z38" s="33"/>
      <c r="AA38" s="15"/>
      <c r="AB38" s="103"/>
      <c r="AC38" s="15"/>
      <c r="AD38" s="33"/>
      <c r="AE38" s="105"/>
      <c r="AF38" s="10"/>
      <c r="AG38" s="10"/>
      <c r="AH38" s="617"/>
      <c r="AI38" s="618"/>
      <c r="AJ38" s="105">
        <f t="shared" si="14"/>
        <v>0</v>
      </c>
      <c r="AK38" s="17">
        <f t="shared" si="15"/>
        <v>2227</v>
      </c>
    </row>
    <row r="39" spans="1:46" hidden="1" x14ac:dyDescent="0.25">
      <c r="B39" s="197">
        <v>41030</v>
      </c>
      <c r="C39" s="32">
        <v>70121</v>
      </c>
      <c r="D39" s="33"/>
      <c r="E39" s="33">
        <v>14169</v>
      </c>
      <c r="F39" s="2">
        <f>SUM(C39:E39)</f>
        <v>84290</v>
      </c>
      <c r="G39" s="32">
        <v>1737</v>
      </c>
      <c r="H39" s="33"/>
      <c r="I39" s="33">
        <v>494</v>
      </c>
      <c r="J39" s="304">
        <f>SUM(G39:I39)</f>
        <v>2231</v>
      </c>
      <c r="K39" s="33">
        <f t="shared" si="18"/>
        <v>-439</v>
      </c>
      <c r="L39" s="33">
        <f t="shared" si="18"/>
        <v>0</v>
      </c>
      <c r="M39" s="33">
        <f t="shared" si="18"/>
        <v>677</v>
      </c>
      <c r="N39" s="33">
        <f t="shared" si="18"/>
        <v>238</v>
      </c>
      <c r="O39" s="33">
        <f t="shared" si="12"/>
        <v>1</v>
      </c>
      <c r="P39" s="33">
        <f t="shared" si="12"/>
        <v>0</v>
      </c>
      <c r="Q39" s="33">
        <f t="shared" si="12"/>
        <v>0</v>
      </c>
      <c r="R39" s="33">
        <f t="shared" si="12"/>
        <v>1</v>
      </c>
      <c r="S39" s="17">
        <f t="shared" si="13"/>
        <v>86521</v>
      </c>
      <c r="T39" s="17"/>
      <c r="U39" s="17"/>
      <c r="V39" s="33"/>
      <c r="W39" s="33"/>
      <c r="X39" s="33"/>
      <c r="Y39" s="33"/>
      <c r="Z39" s="33"/>
      <c r="AA39" s="15"/>
      <c r="AB39" s="103"/>
      <c r="AC39" s="15"/>
      <c r="AD39" s="33"/>
      <c r="AE39" s="105"/>
      <c r="AF39" s="10"/>
      <c r="AG39" s="10"/>
      <c r="AH39" s="617"/>
      <c r="AI39" s="618"/>
      <c r="AJ39" s="105">
        <f t="shared" si="14"/>
        <v>0</v>
      </c>
      <c r="AK39" s="17">
        <f t="shared" si="15"/>
        <v>238</v>
      </c>
    </row>
    <row r="40" spans="1:46" hidden="1" x14ac:dyDescent="0.25">
      <c r="B40" s="197">
        <v>41061</v>
      </c>
      <c r="C40" s="32">
        <v>68881</v>
      </c>
      <c r="D40" s="33"/>
      <c r="E40" s="33">
        <v>13975</v>
      </c>
      <c r="F40" s="2">
        <f>SUM(C40:E40)</f>
        <v>82856</v>
      </c>
      <c r="G40" s="32">
        <v>1713</v>
      </c>
      <c r="H40" s="33"/>
      <c r="I40" s="33">
        <v>466</v>
      </c>
      <c r="J40" s="304">
        <f>SUM(G40:I40)</f>
        <v>2179</v>
      </c>
      <c r="K40" s="33">
        <f t="shared" si="18"/>
        <v>-1240</v>
      </c>
      <c r="L40" s="33">
        <f t="shared" si="18"/>
        <v>0</v>
      </c>
      <c r="M40" s="33">
        <f t="shared" si="18"/>
        <v>-194</v>
      </c>
      <c r="N40" s="33">
        <f t="shared" si="18"/>
        <v>-1434</v>
      </c>
      <c r="O40" s="33">
        <f t="shared" si="12"/>
        <v>-24</v>
      </c>
      <c r="P40" s="33">
        <f t="shared" si="12"/>
        <v>0</v>
      </c>
      <c r="Q40" s="33">
        <f t="shared" si="12"/>
        <v>-28</v>
      </c>
      <c r="R40" s="33">
        <f t="shared" si="12"/>
        <v>-52</v>
      </c>
      <c r="S40" s="17">
        <f t="shared" si="13"/>
        <v>85035</v>
      </c>
      <c r="T40" s="17"/>
      <c r="U40" s="17"/>
      <c r="V40" s="33"/>
      <c r="W40" s="33"/>
      <c r="X40" s="33"/>
      <c r="Y40" s="33"/>
      <c r="Z40" s="33"/>
      <c r="AA40" s="15"/>
      <c r="AB40" s="103"/>
      <c r="AC40" s="15"/>
      <c r="AD40" s="33"/>
      <c r="AE40" s="105"/>
      <c r="AF40" s="10"/>
      <c r="AG40" s="10"/>
      <c r="AH40" s="617"/>
      <c r="AI40" s="618"/>
      <c r="AJ40" s="105">
        <f t="shared" si="14"/>
        <v>0</v>
      </c>
      <c r="AK40" s="17">
        <f t="shared" si="15"/>
        <v>-1434</v>
      </c>
    </row>
    <row r="41" spans="1:46" hidden="1" x14ac:dyDescent="0.25">
      <c r="B41" s="201" t="s">
        <v>120</v>
      </c>
      <c r="C41" s="58">
        <f>ROUND(AVERAGE(C29:C40),0)</f>
        <v>63216</v>
      </c>
      <c r="D41" s="59"/>
      <c r="E41" s="59">
        <f t="shared" ref="E41:J41" si="20">ROUND(AVERAGE(E29:E40),0)</f>
        <v>11049</v>
      </c>
      <c r="F41" s="59">
        <f t="shared" si="20"/>
        <v>74266</v>
      </c>
      <c r="G41" s="47">
        <f t="shared" si="20"/>
        <v>1616</v>
      </c>
      <c r="H41" s="48"/>
      <c r="I41" s="48">
        <f t="shared" si="20"/>
        <v>448</v>
      </c>
      <c r="J41" s="486">
        <f t="shared" si="20"/>
        <v>2064</v>
      </c>
      <c r="K41" s="33"/>
      <c r="L41" s="33"/>
      <c r="M41" s="33"/>
      <c r="N41" s="33"/>
      <c r="O41" s="37"/>
      <c r="P41" s="37"/>
      <c r="Q41" s="37"/>
      <c r="R41" s="37"/>
      <c r="V41" s="15"/>
      <c r="W41" s="15"/>
      <c r="X41" s="15"/>
      <c r="Y41" s="15"/>
      <c r="Z41" s="15"/>
      <c r="AA41" s="15"/>
      <c r="AB41" s="103"/>
      <c r="AC41" s="15"/>
      <c r="AD41" s="33"/>
      <c r="AE41" s="105"/>
      <c r="AF41" s="10"/>
      <c r="AG41" s="10"/>
      <c r="AH41" s="617"/>
      <c r="AI41" s="619"/>
      <c r="AJ41" s="10"/>
      <c r="AK41" s="10"/>
    </row>
    <row r="42" spans="1:46" hidden="1" x14ac:dyDescent="0.25">
      <c r="A42" s="331">
        <f>IF(C42="",0,1)</f>
        <v>1</v>
      </c>
      <c r="B42" s="197">
        <v>41091</v>
      </c>
      <c r="C42" s="55">
        <v>69977</v>
      </c>
      <c r="D42" s="56"/>
      <c r="E42" s="56">
        <v>13731</v>
      </c>
      <c r="F42" s="57">
        <f t="shared" ref="F42:F53" si="21">SUM(C42:E42)</f>
        <v>83708</v>
      </c>
      <c r="G42" s="55">
        <v>1694</v>
      </c>
      <c r="H42" s="56"/>
      <c r="I42" s="56">
        <v>452</v>
      </c>
      <c r="J42" s="487">
        <f t="shared" ref="J42:J53" si="22">SUM(G42:I42)</f>
        <v>2146</v>
      </c>
      <c r="K42" s="33">
        <f>+C42-C40</f>
        <v>1096</v>
      </c>
      <c r="L42" s="33">
        <f>+D42-D40</f>
        <v>0</v>
      </c>
      <c r="M42" s="33">
        <f>+E42-E40</f>
        <v>-244</v>
      </c>
      <c r="N42" s="33">
        <f>+F42-F40</f>
        <v>852</v>
      </c>
      <c r="O42" s="33">
        <f t="shared" ref="O42:R53" si="23">+G42-G41</f>
        <v>78</v>
      </c>
      <c r="P42" s="33">
        <f t="shared" si="23"/>
        <v>0</v>
      </c>
      <c r="Q42" s="33">
        <f t="shared" si="23"/>
        <v>4</v>
      </c>
      <c r="R42" s="33">
        <f t="shared" si="23"/>
        <v>82</v>
      </c>
      <c r="S42" s="17">
        <f t="shared" ref="S42:S53" si="24">+J42+F42</f>
        <v>85854</v>
      </c>
      <c r="T42" s="17"/>
      <c r="U42" s="17"/>
      <c r="V42" s="33"/>
      <c r="W42" s="33"/>
      <c r="X42" s="33"/>
      <c r="Y42" s="33"/>
      <c r="Z42" s="33"/>
      <c r="AA42" s="15"/>
      <c r="AB42" s="103"/>
      <c r="AC42" s="15"/>
      <c r="AD42" s="33"/>
      <c r="AE42" s="105"/>
      <c r="AF42" s="10"/>
      <c r="AG42" s="10"/>
      <c r="AH42" s="617"/>
      <c r="AI42" s="618"/>
      <c r="AJ42" s="105">
        <f t="shared" ref="AJ42:AJ48" si="25">+AI42/J42</f>
        <v>0</v>
      </c>
      <c r="AK42" s="17">
        <f t="shared" ref="AK42:AK48" si="26">+F42-F41</f>
        <v>9442</v>
      </c>
      <c r="AL42" s="106"/>
    </row>
    <row r="43" spans="1:46" hidden="1" x14ac:dyDescent="0.25">
      <c r="A43" s="331">
        <f t="shared" ref="A43:A106" si="27">IF(C43="",0,1)</f>
        <v>1</v>
      </c>
      <c r="B43" s="197">
        <v>41122</v>
      </c>
      <c r="C43" s="38">
        <v>68938</v>
      </c>
      <c r="D43" s="27"/>
      <c r="E43" s="27">
        <v>14509</v>
      </c>
      <c r="F43" s="43">
        <f t="shared" si="21"/>
        <v>83447</v>
      </c>
      <c r="G43" s="38">
        <v>1663</v>
      </c>
      <c r="H43" s="27"/>
      <c r="I43" s="27">
        <v>459</v>
      </c>
      <c r="J43" s="488">
        <f t="shared" si="22"/>
        <v>2122</v>
      </c>
      <c r="K43" s="33">
        <f t="shared" ref="K43:N53" si="28">+C43-C42</f>
        <v>-1039</v>
      </c>
      <c r="L43" s="33">
        <f t="shared" si="28"/>
        <v>0</v>
      </c>
      <c r="M43" s="33">
        <f t="shared" si="28"/>
        <v>778</v>
      </c>
      <c r="N43" s="33">
        <f t="shared" si="28"/>
        <v>-261</v>
      </c>
      <c r="O43" s="33">
        <f t="shared" si="23"/>
        <v>-31</v>
      </c>
      <c r="P43" s="33">
        <f t="shared" si="23"/>
        <v>0</v>
      </c>
      <c r="Q43" s="33">
        <f t="shared" si="23"/>
        <v>7</v>
      </c>
      <c r="R43" s="33">
        <f t="shared" si="23"/>
        <v>-24</v>
      </c>
      <c r="S43" s="17">
        <f t="shared" si="24"/>
        <v>85569</v>
      </c>
      <c r="T43" s="17"/>
      <c r="U43" s="17"/>
      <c r="V43" s="33"/>
      <c r="W43" s="33"/>
      <c r="X43" s="33"/>
      <c r="Y43" s="33"/>
      <c r="Z43" s="33"/>
      <c r="AA43" s="15"/>
      <c r="AB43" s="103"/>
      <c r="AC43" s="15"/>
      <c r="AD43" s="33"/>
      <c r="AE43" s="105"/>
      <c r="AF43" s="10"/>
      <c r="AG43" s="10"/>
      <c r="AH43" s="10"/>
      <c r="AI43" s="618"/>
      <c r="AJ43" s="105">
        <f t="shared" si="25"/>
        <v>0</v>
      </c>
      <c r="AK43" s="17">
        <f t="shared" si="26"/>
        <v>-261</v>
      </c>
      <c r="AL43" s="10"/>
    </row>
    <row r="44" spans="1:46" hidden="1" x14ac:dyDescent="0.25">
      <c r="A44" s="331">
        <f t="shared" si="27"/>
        <v>1</v>
      </c>
      <c r="B44" s="197">
        <v>41153</v>
      </c>
      <c r="C44" s="38">
        <v>67196</v>
      </c>
      <c r="D44" s="27"/>
      <c r="E44" s="27">
        <v>15267</v>
      </c>
      <c r="F44" s="43">
        <f t="shared" si="21"/>
        <v>82463</v>
      </c>
      <c r="G44" s="38">
        <v>1575</v>
      </c>
      <c r="H44" s="27"/>
      <c r="I44" s="27">
        <v>482</v>
      </c>
      <c r="J44" s="488">
        <f t="shared" si="22"/>
        <v>2057</v>
      </c>
      <c r="K44" s="33">
        <f t="shared" si="28"/>
        <v>-1742</v>
      </c>
      <c r="L44" s="33">
        <f t="shared" si="28"/>
        <v>0</v>
      </c>
      <c r="M44" s="33">
        <f t="shared" si="28"/>
        <v>758</v>
      </c>
      <c r="N44" s="33">
        <f t="shared" si="28"/>
        <v>-984</v>
      </c>
      <c r="O44" s="33">
        <f t="shared" si="23"/>
        <v>-88</v>
      </c>
      <c r="P44" s="33">
        <f t="shared" si="23"/>
        <v>0</v>
      </c>
      <c r="Q44" s="33">
        <f t="shared" si="23"/>
        <v>23</v>
      </c>
      <c r="R44" s="33">
        <f t="shared" si="23"/>
        <v>-65</v>
      </c>
      <c r="S44" s="17">
        <f t="shared" si="24"/>
        <v>84520</v>
      </c>
      <c r="T44" s="17"/>
      <c r="U44" s="17"/>
      <c r="V44" s="33"/>
      <c r="W44" s="33"/>
      <c r="X44" s="33"/>
      <c r="Y44" s="33"/>
      <c r="Z44" s="33"/>
      <c r="AA44" s="15"/>
      <c r="AB44" s="103"/>
      <c r="AC44" s="15"/>
      <c r="AD44" s="33"/>
      <c r="AE44" s="105"/>
      <c r="AF44" s="10"/>
      <c r="AG44" s="10"/>
      <c r="AH44" s="15"/>
      <c r="AI44" s="618"/>
      <c r="AJ44" s="105">
        <f t="shared" si="25"/>
        <v>0</v>
      </c>
      <c r="AK44" s="17">
        <f t="shared" si="26"/>
        <v>-984</v>
      </c>
    </row>
    <row r="45" spans="1:46" hidden="1" x14ac:dyDescent="0.25">
      <c r="A45" s="331">
        <f t="shared" si="27"/>
        <v>1</v>
      </c>
      <c r="B45" s="197">
        <v>41183</v>
      </c>
      <c r="C45" s="38">
        <v>68080</v>
      </c>
      <c r="D45" s="27"/>
      <c r="E45" s="27">
        <v>14955</v>
      </c>
      <c r="F45" s="43">
        <f t="shared" si="21"/>
        <v>83035</v>
      </c>
      <c r="G45" s="38">
        <v>1552</v>
      </c>
      <c r="H45" s="27"/>
      <c r="I45" s="27">
        <v>470</v>
      </c>
      <c r="J45" s="488">
        <f t="shared" si="22"/>
        <v>2022</v>
      </c>
      <c r="K45" s="33">
        <f t="shared" si="28"/>
        <v>884</v>
      </c>
      <c r="L45" s="33">
        <f t="shared" si="28"/>
        <v>0</v>
      </c>
      <c r="M45" s="33">
        <f t="shared" si="28"/>
        <v>-312</v>
      </c>
      <c r="N45" s="33">
        <f t="shared" si="28"/>
        <v>572</v>
      </c>
      <c r="O45" s="33">
        <f t="shared" si="23"/>
        <v>-23</v>
      </c>
      <c r="P45" s="33">
        <f t="shared" si="23"/>
        <v>0</v>
      </c>
      <c r="Q45" s="33">
        <f t="shared" si="23"/>
        <v>-12</v>
      </c>
      <c r="R45" s="33">
        <f t="shared" si="23"/>
        <v>-35</v>
      </c>
      <c r="S45" s="17">
        <f t="shared" si="24"/>
        <v>85057</v>
      </c>
      <c r="T45" s="17"/>
      <c r="U45" s="17"/>
      <c r="V45" s="33"/>
      <c r="W45" s="33"/>
      <c r="X45" s="33"/>
      <c r="Y45" s="33"/>
      <c r="Z45" s="33"/>
      <c r="AA45" s="15"/>
      <c r="AB45" s="103"/>
      <c r="AC45" s="15"/>
      <c r="AD45" s="33"/>
      <c r="AE45" s="105"/>
      <c r="AF45" s="10"/>
      <c r="AG45" s="10"/>
      <c r="AH45" s="10"/>
      <c r="AI45" s="618"/>
      <c r="AJ45" s="105">
        <f t="shared" si="25"/>
        <v>0</v>
      </c>
      <c r="AK45" s="17">
        <f t="shared" si="26"/>
        <v>572</v>
      </c>
    </row>
    <row r="46" spans="1:46" hidden="1" x14ac:dyDescent="0.25">
      <c r="A46" s="331">
        <f t="shared" si="27"/>
        <v>1</v>
      </c>
      <c r="B46" s="197">
        <v>41214</v>
      </c>
      <c r="C46" s="38">
        <v>69082</v>
      </c>
      <c r="D46" s="27"/>
      <c r="E46" s="27">
        <v>15289</v>
      </c>
      <c r="F46" s="43">
        <f t="shared" si="21"/>
        <v>84371</v>
      </c>
      <c r="G46" s="38">
        <v>1593</v>
      </c>
      <c r="H46" s="27"/>
      <c r="I46" s="27">
        <v>498</v>
      </c>
      <c r="J46" s="488">
        <f t="shared" si="22"/>
        <v>2091</v>
      </c>
      <c r="K46" s="33">
        <f t="shared" si="28"/>
        <v>1002</v>
      </c>
      <c r="L46" s="33">
        <f t="shared" si="28"/>
        <v>0</v>
      </c>
      <c r="M46" s="33">
        <f t="shared" si="28"/>
        <v>334</v>
      </c>
      <c r="N46" s="33">
        <f t="shared" si="28"/>
        <v>1336</v>
      </c>
      <c r="O46" s="33">
        <f t="shared" si="23"/>
        <v>41</v>
      </c>
      <c r="P46" s="33">
        <f t="shared" si="23"/>
        <v>0</v>
      </c>
      <c r="Q46" s="33">
        <f t="shared" si="23"/>
        <v>28</v>
      </c>
      <c r="R46" s="33">
        <f t="shared" si="23"/>
        <v>69</v>
      </c>
      <c r="S46" s="17">
        <f t="shared" si="24"/>
        <v>86462</v>
      </c>
      <c r="T46" s="17"/>
      <c r="U46" s="17"/>
      <c r="V46" s="33"/>
      <c r="W46" s="33"/>
      <c r="X46" s="33"/>
      <c r="Y46" s="33"/>
      <c r="Z46" s="33"/>
      <c r="AA46" s="15"/>
      <c r="AB46" s="103"/>
      <c r="AC46" s="15"/>
      <c r="AD46" s="33"/>
      <c r="AE46" s="105"/>
      <c r="AF46" s="10"/>
      <c r="AG46" s="10"/>
      <c r="AH46" s="10"/>
      <c r="AI46" s="618"/>
      <c r="AJ46" s="105">
        <f t="shared" si="25"/>
        <v>0</v>
      </c>
      <c r="AK46" s="17">
        <f t="shared" si="26"/>
        <v>1336</v>
      </c>
    </row>
    <row r="47" spans="1:46" hidden="1" x14ac:dyDescent="0.25">
      <c r="A47" s="331">
        <f t="shared" si="27"/>
        <v>1</v>
      </c>
      <c r="B47" s="197">
        <v>41244</v>
      </c>
      <c r="C47" s="38">
        <v>68453</v>
      </c>
      <c r="D47" s="27"/>
      <c r="E47" s="27">
        <v>16575</v>
      </c>
      <c r="F47" s="43">
        <f t="shared" si="21"/>
        <v>85028</v>
      </c>
      <c r="G47" s="38">
        <v>1589</v>
      </c>
      <c r="H47" s="27"/>
      <c r="I47" s="27">
        <v>550</v>
      </c>
      <c r="J47" s="488">
        <f t="shared" si="22"/>
        <v>2139</v>
      </c>
      <c r="K47" s="33">
        <f t="shared" si="28"/>
        <v>-629</v>
      </c>
      <c r="L47" s="33">
        <f t="shared" si="28"/>
        <v>0</v>
      </c>
      <c r="M47" s="33">
        <f t="shared" si="28"/>
        <v>1286</v>
      </c>
      <c r="N47" s="33">
        <f t="shared" si="28"/>
        <v>657</v>
      </c>
      <c r="O47" s="33">
        <f t="shared" si="23"/>
        <v>-4</v>
      </c>
      <c r="P47" s="33">
        <f t="shared" si="23"/>
        <v>0</v>
      </c>
      <c r="Q47" s="33">
        <f t="shared" si="23"/>
        <v>52</v>
      </c>
      <c r="R47" s="33">
        <f t="shared" si="23"/>
        <v>48</v>
      </c>
      <c r="S47" s="17">
        <f t="shared" si="24"/>
        <v>87167</v>
      </c>
      <c r="T47" s="17"/>
      <c r="U47" s="17"/>
      <c r="V47" s="33"/>
      <c r="W47" s="33"/>
      <c r="X47" s="33"/>
      <c r="Y47" s="33"/>
      <c r="Z47" s="33"/>
      <c r="AA47" s="15"/>
      <c r="AB47" s="103"/>
      <c r="AC47" s="15"/>
      <c r="AD47" s="33"/>
      <c r="AE47" s="105"/>
      <c r="AF47" s="10"/>
      <c r="AG47" s="10"/>
      <c r="AH47" s="15"/>
      <c r="AI47" s="618"/>
      <c r="AJ47" s="105">
        <f t="shared" si="25"/>
        <v>0</v>
      </c>
      <c r="AK47" s="17">
        <f t="shared" si="26"/>
        <v>657</v>
      </c>
    </row>
    <row r="48" spans="1:46" hidden="1" x14ac:dyDescent="0.25">
      <c r="A48" s="331">
        <f t="shared" si="27"/>
        <v>1</v>
      </c>
      <c r="B48" s="197">
        <v>41275</v>
      </c>
      <c r="C48" s="38">
        <v>65022</v>
      </c>
      <c r="D48" s="27"/>
      <c r="E48" s="27">
        <v>16159</v>
      </c>
      <c r="F48" s="43">
        <f t="shared" si="21"/>
        <v>81181</v>
      </c>
      <c r="G48" s="38">
        <v>662</v>
      </c>
      <c r="H48" s="27"/>
      <c r="I48" s="27">
        <v>504</v>
      </c>
      <c r="J48" s="488">
        <f t="shared" si="22"/>
        <v>1166</v>
      </c>
      <c r="K48" s="33">
        <f t="shared" si="28"/>
        <v>-3431</v>
      </c>
      <c r="L48" s="33">
        <f t="shared" si="28"/>
        <v>0</v>
      </c>
      <c r="M48" s="33">
        <f t="shared" si="28"/>
        <v>-416</v>
      </c>
      <c r="N48" s="33">
        <f t="shared" si="28"/>
        <v>-3847</v>
      </c>
      <c r="O48" s="33">
        <f t="shared" si="23"/>
        <v>-927</v>
      </c>
      <c r="P48" s="33">
        <f t="shared" si="23"/>
        <v>0</v>
      </c>
      <c r="Q48" s="33">
        <f t="shared" si="23"/>
        <v>-46</v>
      </c>
      <c r="R48" s="33">
        <f t="shared" si="23"/>
        <v>-973</v>
      </c>
      <c r="S48" s="17">
        <f t="shared" si="24"/>
        <v>82347</v>
      </c>
      <c r="T48" s="17"/>
      <c r="U48" s="17"/>
      <c r="V48" s="33"/>
      <c r="W48" s="33"/>
      <c r="X48" s="33"/>
      <c r="Y48" s="33"/>
      <c r="Z48" s="33"/>
      <c r="AA48" s="15"/>
      <c r="AB48" s="103"/>
      <c r="AC48" s="15"/>
      <c r="AD48" s="33"/>
      <c r="AE48" s="105"/>
      <c r="AF48" s="10"/>
      <c r="AG48" s="10"/>
      <c r="AH48" s="15"/>
      <c r="AI48" s="618"/>
      <c r="AJ48" s="105">
        <f t="shared" si="25"/>
        <v>0</v>
      </c>
      <c r="AK48" s="17">
        <f t="shared" si="26"/>
        <v>-3847</v>
      </c>
      <c r="AM48" s="430" t="s">
        <v>122</v>
      </c>
    </row>
    <row r="49" spans="1:37" hidden="1" x14ac:dyDescent="0.25">
      <c r="A49" s="331">
        <f t="shared" si="27"/>
        <v>1</v>
      </c>
      <c r="B49" s="197">
        <v>41306</v>
      </c>
      <c r="C49" s="38">
        <v>59761</v>
      </c>
      <c r="D49" s="27"/>
      <c r="E49" s="27">
        <v>16028</v>
      </c>
      <c r="F49" s="43">
        <f t="shared" si="21"/>
        <v>75789</v>
      </c>
      <c r="G49" s="38">
        <v>585</v>
      </c>
      <c r="H49" s="27"/>
      <c r="I49" s="27">
        <v>451</v>
      </c>
      <c r="J49" s="488">
        <f t="shared" si="22"/>
        <v>1036</v>
      </c>
      <c r="K49" s="33">
        <f t="shared" si="28"/>
        <v>-5261</v>
      </c>
      <c r="L49" s="33">
        <f t="shared" si="28"/>
        <v>0</v>
      </c>
      <c r="M49" s="33">
        <f t="shared" si="28"/>
        <v>-131</v>
      </c>
      <c r="N49" s="33">
        <f t="shared" si="28"/>
        <v>-5392</v>
      </c>
      <c r="O49" s="33">
        <f t="shared" si="23"/>
        <v>-77</v>
      </c>
      <c r="P49" s="33">
        <f t="shared" si="23"/>
        <v>0</v>
      </c>
      <c r="Q49" s="33">
        <f t="shared" si="23"/>
        <v>-53</v>
      </c>
      <c r="R49" s="33">
        <f t="shared" si="23"/>
        <v>-130</v>
      </c>
      <c r="S49" s="17">
        <f t="shared" si="24"/>
        <v>76825</v>
      </c>
      <c r="T49" s="17"/>
      <c r="U49" s="17"/>
      <c r="V49" s="33"/>
      <c r="W49" s="33"/>
      <c r="X49" s="33"/>
      <c r="Y49" s="33"/>
      <c r="Z49" s="33"/>
      <c r="AA49" s="15"/>
      <c r="AB49" s="103"/>
      <c r="AC49" s="15"/>
      <c r="AD49" s="33"/>
      <c r="AE49" s="105"/>
      <c r="AF49" s="10"/>
      <c r="AG49" s="10"/>
      <c r="AH49" s="15"/>
      <c r="AI49" s="15"/>
      <c r="AK49" s="10"/>
    </row>
    <row r="50" spans="1:37" hidden="1" x14ac:dyDescent="0.25">
      <c r="A50" s="331">
        <f t="shared" si="27"/>
        <v>1</v>
      </c>
      <c r="B50" s="197">
        <v>41334</v>
      </c>
      <c r="C50" s="38">
        <v>55167</v>
      </c>
      <c r="D50" s="27"/>
      <c r="E50" s="27">
        <v>16337</v>
      </c>
      <c r="F50" s="43">
        <f t="shared" si="21"/>
        <v>71504</v>
      </c>
      <c r="G50" s="38">
        <v>636</v>
      </c>
      <c r="H50" s="27"/>
      <c r="I50" s="27">
        <v>442</v>
      </c>
      <c r="J50" s="488">
        <f t="shared" si="22"/>
        <v>1078</v>
      </c>
      <c r="K50" s="33">
        <f t="shared" si="28"/>
        <v>-4594</v>
      </c>
      <c r="L50" s="33">
        <f t="shared" si="28"/>
        <v>0</v>
      </c>
      <c r="M50" s="33">
        <f t="shared" si="28"/>
        <v>309</v>
      </c>
      <c r="N50" s="33">
        <f t="shared" si="28"/>
        <v>-4285</v>
      </c>
      <c r="O50" s="33">
        <f t="shared" si="23"/>
        <v>51</v>
      </c>
      <c r="P50" s="33">
        <f t="shared" si="23"/>
        <v>0</v>
      </c>
      <c r="Q50" s="33">
        <f t="shared" si="23"/>
        <v>-9</v>
      </c>
      <c r="R50" s="33">
        <f t="shared" si="23"/>
        <v>42</v>
      </c>
      <c r="S50" s="17">
        <f t="shared" si="24"/>
        <v>72582</v>
      </c>
      <c r="T50" s="17"/>
      <c r="U50" s="17"/>
      <c r="V50" s="33"/>
      <c r="W50" s="33"/>
      <c r="X50" s="33"/>
      <c r="Y50" s="33"/>
      <c r="Z50" s="33"/>
      <c r="AA50" s="15"/>
      <c r="AB50" s="103"/>
      <c r="AC50" s="15"/>
      <c r="AD50" s="33"/>
      <c r="AE50" s="105"/>
      <c r="AF50" s="10"/>
      <c r="AG50" s="10"/>
      <c r="AH50" s="15"/>
      <c r="AI50" s="15"/>
      <c r="AK50" s="10"/>
    </row>
    <row r="51" spans="1:37" hidden="1" x14ac:dyDescent="0.25">
      <c r="A51" s="331">
        <f t="shared" si="27"/>
        <v>1</v>
      </c>
      <c r="B51" s="197">
        <v>41365</v>
      </c>
      <c r="C51" s="38">
        <v>55115</v>
      </c>
      <c r="D51" s="27"/>
      <c r="E51" s="27">
        <v>16091</v>
      </c>
      <c r="F51" s="43">
        <f t="shared" si="21"/>
        <v>71206</v>
      </c>
      <c r="G51" s="38">
        <v>709</v>
      </c>
      <c r="H51" s="27"/>
      <c r="I51" s="27">
        <v>435</v>
      </c>
      <c r="J51" s="488">
        <f t="shared" si="22"/>
        <v>1144</v>
      </c>
      <c r="K51" s="33">
        <f t="shared" si="28"/>
        <v>-52</v>
      </c>
      <c r="L51" s="33">
        <f t="shared" si="28"/>
        <v>0</v>
      </c>
      <c r="M51" s="33">
        <f t="shared" si="28"/>
        <v>-246</v>
      </c>
      <c r="N51" s="33">
        <f t="shared" si="28"/>
        <v>-298</v>
      </c>
      <c r="O51" s="33">
        <f t="shared" si="23"/>
        <v>73</v>
      </c>
      <c r="P51" s="33">
        <f t="shared" si="23"/>
        <v>0</v>
      </c>
      <c r="Q51" s="33">
        <f t="shared" si="23"/>
        <v>-7</v>
      </c>
      <c r="R51" s="33">
        <f t="shared" si="23"/>
        <v>66</v>
      </c>
      <c r="S51" s="17">
        <f t="shared" si="24"/>
        <v>72350</v>
      </c>
      <c r="T51" s="17"/>
      <c r="U51" s="17"/>
      <c r="V51" s="33"/>
      <c r="W51" s="33"/>
      <c r="X51" s="33"/>
      <c r="Y51" s="33"/>
      <c r="Z51" s="33"/>
      <c r="AA51" s="15"/>
      <c r="AB51" s="103"/>
      <c r="AC51" s="15"/>
      <c r="AD51" s="33"/>
      <c r="AE51" s="105"/>
      <c r="AF51" s="10"/>
      <c r="AG51" s="10"/>
      <c r="AH51" s="15"/>
      <c r="AI51" s="15"/>
      <c r="AJ51" s="15"/>
      <c r="AK51" s="10"/>
    </row>
    <row r="52" spans="1:37" hidden="1" x14ac:dyDescent="0.25">
      <c r="A52" s="331">
        <f t="shared" si="27"/>
        <v>1</v>
      </c>
      <c r="B52" s="197">
        <v>41395</v>
      </c>
      <c r="C52" s="38">
        <v>51438</v>
      </c>
      <c r="D52" s="27"/>
      <c r="E52" s="27">
        <v>15914</v>
      </c>
      <c r="F52" s="43">
        <f t="shared" si="21"/>
        <v>67352</v>
      </c>
      <c r="G52" s="38">
        <v>737</v>
      </c>
      <c r="H52" s="27"/>
      <c r="I52" s="27">
        <v>417</v>
      </c>
      <c r="J52" s="488">
        <f t="shared" si="22"/>
        <v>1154</v>
      </c>
      <c r="K52" s="33">
        <f t="shared" si="28"/>
        <v>-3677</v>
      </c>
      <c r="L52" s="33">
        <f t="shared" si="28"/>
        <v>0</v>
      </c>
      <c r="M52" s="33">
        <f t="shared" si="28"/>
        <v>-177</v>
      </c>
      <c r="N52" s="33">
        <f t="shared" si="28"/>
        <v>-3854</v>
      </c>
      <c r="O52" s="33">
        <f t="shared" si="23"/>
        <v>28</v>
      </c>
      <c r="P52" s="33">
        <f t="shared" si="23"/>
        <v>0</v>
      </c>
      <c r="Q52" s="33">
        <f t="shared" si="23"/>
        <v>-18</v>
      </c>
      <c r="R52" s="33">
        <f t="shared" si="23"/>
        <v>10</v>
      </c>
      <c r="S52" s="17">
        <f t="shared" si="24"/>
        <v>68506</v>
      </c>
      <c r="T52" s="17"/>
      <c r="U52" s="17"/>
      <c r="V52" s="33"/>
      <c r="W52" s="33"/>
      <c r="X52" s="33"/>
      <c r="Y52" s="33"/>
      <c r="Z52" s="33"/>
      <c r="AA52" s="15"/>
      <c r="AB52" s="103"/>
      <c r="AC52" s="15"/>
      <c r="AD52" s="33"/>
      <c r="AE52" s="105"/>
      <c r="AF52" s="10"/>
      <c r="AG52" s="10"/>
      <c r="AH52" s="15"/>
      <c r="AI52" s="15"/>
      <c r="AJ52" s="15"/>
      <c r="AK52" s="10"/>
    </row>
    <row r="53" spans="1:37" hidden="1" x14ac:dyDescent="0.25">
      <c r="A53" s="331">
        <f t="shared" si="27"/>
        <v>1</v>
      </c>
      <c r="B53" s="197">
        <v>41426</v>
      </c>
      <c r="C53" s="38">
        <v>48895</v>
      </c>
      <c r="D53" s="27"/>
      <c r="E53" s="27">
        <v>16047</v>
      </c>
      <c r="F53" s="43">
        <f t="shared" si="21"/>
        <v>64942</v>
      </c>
      <c r="G53" s="38">
        <v>778</v>
      </c>
      <c r="H53" s="27"/>
      <c r="I53" s="27">
        <v>399</v>
      </c>
      <c r="J53" s="488">
        <f t="shared" si="22"/>
        <v>1177</v>
      </c>
      <c r="K53" s="33">
        <f t="shared" si="28"/>
        <v>-2543</v>
      </c>
      <c r="L53" s="33">
        <f t="shared" si="28"/>
        <v>0</v>
      </c>
      <c r="M53" s="33">
        <f t="shared" si="28"/>
        <v>133</v>
      </c>
      <c r="N53" s="33">
        <f t="shared" si="28"/>
        <v>-2410</v>
      </c>
      <c r="O53" s="33">
        <f t="shared" si="23"/>
        <v>41</v>
      </c>
      <c r="P53" s="33">
        <f t="shared" si="23"/>
        <v>0</v>
      </c>
      <c r="Q53" s="33">
        <f t="shared" si="23"/>
        <v>-18</v>
      </c>
      <c r="R53" s="33">
        <f t="shared" si="23"/>
        <v>23</v>
      </c>
      <c r="S53" s="17">
        <f t="shared" si="24"/>
        <v>66119</v>
      </c>
      <c r="T53" s="17"/>
      <c r="U53" s="17"/>
      <c r="V53" s="33"/>
      <c r="W53" s="33"/>
      <c r="X53" s="33"/>
      <c r="Y53" s="33"/>
      <c r="Z53" s="33"/>
      <c r="AA53" s="15"/>
      <c r="AB53" s="103"/>
      <c r="AC53" s="15"/>
      <c r="AD53" s="33"/>
      <c r="AE53" s="105"/>
      <c r="AF53" s="10"/>
      <c r="AG53" s="10"/>
      <c r="AH53" s="15"/>
      <c r="AI53" s="15"/>
      <c r="AJ53" s="15"/>
      <c r="AK53" s="10"/>
    </row>
    <row r="54" spans="1:37" hidden="1" x14ac:dyDescent="0.25">
      <c r="A54" s="331">
        <f t="shared" si="27"/>
        <v>1</v>
      </c>
      <c r="B54" s="201" t="s">
        <v>125</v>
      </c>
      <c r="C54" s="47">
        <f>ROUND(AVERAGE(C42:C53),0)</f>
        <v>62260</v>
      </c>
      <c r="D54" s="48"/>
      <c r="E54" s="48">
        <f t="shared" ref="E54:I54" si="29">ROUND(AVERAGE(E42:E53),0)</f>
        <v>15575</v>
      </c>
      <c r="F54" s="48">
        <f>ROUND(AVERAGE(F42:F53),0)</f>
        <v>77836</v>
      </c>
      <c r="G54" s="47">
        <f t="shared" si="29"/>
        <v>1148</v>
      </c>
      <c r="H54" s="48"/>
      <c r="I54" s="48">
        <f t="shared" si="29"/>
        <v>463</v>
      </c>
      <c r="J54" s="486">
        <f>ROUND(AVERAGE(J42:J53),0)</f>
        <v>1611</v>
      </c>
      <c r="K54" s="33"/>
      <c r="L54" s="33"/>
      <c r="M54" s="33"/>
      <c r="N54" s="37"/>
      <c r="O54" s="37"/>
      <c r="P54" s="37"/>
      <c r="Q54" s="37"/>
      <c r="R54" s="37"/>
      <c r="V54" s="15"/>
      <c r="W54" s="15"/>
      <c r="X54" s="15"/>
      <c r="Y54" s="15"/>
      <c r="Z54" s="15"/>
      <c r="AA54" s="15"/>
      <c r="AB54" s="103"/>
      <c r="AC54" s="15"/>
      <c r="AD54" s="33"/>
      <c r="AE54" s="105"/>
      <c r="AF54" s="10"/>
      <c r="AG54" s="10"/>
      <c r="AH54" s="15"/>
      <c r="AI54" s="15"/>
      <c r="AJ54" s="15"/>
      <c r="AK54" s="10"/>
    </row>
    <row r="55" spans="1:37" hidden="1" x14ac:dyDescent="0.25">
      <c r="A55" s="331">
        <f t="shared" si="27"/>
        <v>1</v>
      </c>
      <c r="B55" s="197">
        <v>41456</v>
      </c>
      <c r="C55" s="38">
        <v>52548</v>
      </c>
      <c r="D55" s="27"/>
      <c r="E55" s="27">
        <v>15933</v>
      </c>
      <c r="F55" s="43">
        <f t="shared" ref="F55:F66" si="30">SUM(C55:E55)</f>
        <v>68481</v>
      </c>
      <c r="G55" s="38">
        <v>850</v>
      </c>
      <c r="H55" s="27"/>
      <c r="I55" s="27">
        <v>354</v>
      </c>
      <c r="J55" s="488">
        <f>SUM(G55:I55)</f>
        <v>1204</v>
      </c>
      <c r="K55" s="33">
        <f>+C55-C53</f>
        <v>3653</v>
      </c>
      <c r="L55" s="33">
        <f t="shared" ref="L55:R55" si="31">+D55-D53</f>
        <v>0</v>
      </c>
      <c r="M55" s="33">
        <f t="shared" si="31"/>
        <v>-114</v>
      </c>
      <c r="N55" s="33">
        <f t="shared" si="31"/>
        <v>3539</v>
      </c>
      <c r="O55" s="33">
        <f t="shared" si="31"/>
        <v>72</v>
      </c>
      <c r="P55" s="33">
        <f t="shared" si="31"/>
        <v>0</v>
      </c>
      <c r="Q55" s="33">
        <f t="shared" si="31"/>
        <v>-45</v>
      </c>
      <c r="R55" s="33">
        <f t="shared" si="31"/>
        <v>27</v>
      </c>
      <c r="S55" s="17">
        <f t="shared" ref="S55:S66" si="32">+J55+F55</f>
        <v>69685</v>
      </c>
      <c r="T55" s="17">
        <f>S55-S53</f>
        <v>3566</v>
      </c>
      <c r="U55" s="17"/>
      <c r="V55" s="33"/>
      <c r="W55" s="33"/>
      <c r="X55" s="33"/>
      <c r="Y55" s="33"/>
      <c r="Z55" s="33"/>
      <c r="AA55" s="15"/>
      <c r="AB55" s="103"/>
      <c r="AC55" s="15"/>
      <c r="AD55" s="33"/>
      <c r="AE55" s="105"/>
      <c r="AF55" s="10"/>
      <c r="AG55" s="10"/>
      <c r="AH55" s="15"/>
      <c r="AI55" s="15"/>
      <c r="AJ55" s="15"/>
      <c r="AK55" s="10"/>
    </row>
    <row r="56" spans="1:37" hidden="1" x14ac:dyDescent="0.25">
      <c r="A56" s="331">
        <f t="shared" si="27"/>
        <v>1</v>
      </c>
      <c r="B56" s="197">
        <v>41487</v>
      </c>
      <c r="C56" s="38">
        <v>50183</v>
      </c>
      <c r="D56" s="27"/>
      <c r="E56" s="27">
        <v>17642</v>
      </c>
      <c r="F56" s="43">
        <f t="shared" si="30"/>
        <v>67825</v>
      </c>
      <c r="G56" s="38">
        <v>869</v>
      </c>
      <c r="H56" s="27"/>
      <c r="I56" s="27">
        <v>393</v>
      </c>
      <c r="J56" s="488">
        <f>SUM(G56:I56)</f>
        <v>1262</v>
      </c>
      <c r="K56" s="33">
        <f>+C56-C55</f>
        <v>-2365</v>
      </c>
      <c r="L56" s="33">
        <f t="shared" ref="K56:R66" si="33">+D56-D55</f>
        <v>0</v>
      </c>
      <c r="M56" s="33">
        <f t="shared" si="33"/>
        <v>1709</v>
      </c>
      <c r="N56" s="33">
        <f t="shared" si="33"/>
        <v>-656</v>
      </c>
      <c r="O56" s="33">
        <f t="shared" si="33"/>
        <v>19</v>
      </c>
      <c r="P56" s="33">
        <f t="shared" si="33"/>
        <v>0</v>
      </c>
      <c r="Q56" s="33">
        <f t="shared" si="33"/>
        <v>39</v>
      </c>
      <c r="R56" s="33">
        <f t="shared" si="33"/>
        <v>58</v>
      </c>
      <c r="S56" s="17">
        <f t="shared" si="32"/>
        <v>69087</v>
      </c>
      <c r="T56" s="17">
        <f>S56-S55</f>
        <v>-598</v>
      </c>
      <c r="U56" s="17"/>
      <c r="V56" s="33"/>
      <c r="W56" s="33"/>
      <c r="X56" s="33"/>
      <c r="Y56" s="33"/>
      <c r="Z56" s="33"/>
      <c r="AA56" s="15"/>
      <c r="AB56" s="103"/>
      <c r="AC56" s="15"/>
      <c r="AD56" s="33"/>
      <c r="AE56" s="105"/>
      <c r="AF56" s="10"/>
      <c r="AG56" s="10"/>
      <c r="AH56" s="15"/>
      <c r="AI56" s="15"/>
      <c r="AJ56" s="15"/>
      <c r="AK56" s="10"/>
    </row>
    <row r="57" spans="1:37" hidden="1" x14ac:dyDescent="0.25">
      <c r="A57" s="331">
        <f t="shared" si="27"/>
        <v>1</v>
      </c>
      <c r="B57" s="197">
        <v>41518</v>
      </c>
      <c r="C57" s="38">
        <v>50143</v>
      </c>
      <c r="D57" s="27"/>
      <c r="E57" s="27">
        <v>16564</v>
      </c>
      <c r="F57" s="43">
        <f t="shared" si="30"/>
        <v>66707</v>
      </c>
      <c r="G57" s="38">
        <v>928</v>
      </c>
      <c r="H57" s="27"/>
      <c r="I57" s="27">
        <v>385</v>
      </c>
      <c r="J57" s="488">
        <f>SUM(G57:I57)</f>
        <v>1313</v>
      </c>
      <c r="K57" s="33">
        <f t="shared" si="33"/>
        <v>-40</v>
      </c>
      <c r="L57" s="33">
        <f t="shared" si="33"/>
        <v>0</v>
      </c>
      <c r="M57" s="33">
        <f t="shared" si="33"/>
        <v>-1078</v>
      </c>
      <c r="N57" s="33">
        <f t="shared" si="33"/>
        <v>-1118</v>
      </c>
      <c r="O57" s="33">
        <f t="shared" si="33"/>
        <v>59</v>
      </c>
      <c r="P57" s="33">
        <f t="shared" si="33"/>
        <v>0</v>
      </c>
      <c r="Q57" s="33">
        <f t="shared" si="33"/>
        <v>-8</v>
      </c>
      <c r="R57" s="33">
        <f t="shared" si="33"/>
        <v>51</v>
      </c>
      <c r="S57" s="17">
        <f t="shared" si="32"/>
        <v>68020</v>
      </c>
      <c r="T57" s="17">
        <f t="shared" ref="T57:T63" si="34">S57-S56</f>
        <v>-1067</v>
      </c>
      <c r="V57" s="15"/>
      <c r="W57" s="15"/>
      <c r="X57" s="15"/>
      <c r="Y57" s="15"/>
      <c r="Z57" s="15"/>
      <c r="AA57" s="15"/>
      <c r="AB57" s="103"/>
      <c r="AC57" s="15"/>
      <c r="AD57" s="33"/>
      <c r="AE57" s="105"/>
      <c r="AF57" s="10"/>
      <c r="AG57" s="10"/>
      <c r="AH57" s="15"/>
      <c r="AI57" s="15"/>
      <c r="AJ57" s="15"/>
      <c r="AK57" s="10"/>
    </row>
    <row r="58" spans="1:37" hidden="1" x14ac:dyDescent="0.25">
      <c r="A58" s="331">
        <f t="shared" si="27"/>
        <v>1</v>
      </c>
      <c r="B58" s="197">
        <v>41548</v>
      </c>
      <c r="C58" s="38">
        <v>43294</v>
      </c>
      <c r="D58" s="27"/>
      <c r="E58" s="27">
        <v>20972</v>
      </c>
      <c r="F58" s="43">
        <f t="shared" si="30"/>
        <v>64266</v>
      </c>
      <c r="G58" s="38">
        <v>246</v>
      </c>
      <c r="H58" s="27"/>
      <c r="I58" s="27">
        <v>533</v>
      </c>
      <c r="J58" s="488">
        <f t="shared" ref="J58:J66" si="35">SUM(G58:I58)</f>
        <v>779</v>
      </c>
      <c r="K58" s="33">
        <f t="shared" si="33"/>
        <v>-6849</v>
      </c>
      <c r="L58" s="33">
        <f t="shared" si="33"/>
        <v>0</v>
      </c>
      <c r="M58" s="33">
        <f t="shared" si="33"/>
        <v>4408</v>
      </c>
      <c r="N58" s="33">
        <f t="shared" si="33"/>
        <v>-2441</v>
      </c>
      <c r="O58" s="33">
        <f t="shared" si="33"/>
        <v>-682</v>
      </c>
      <c r="P58" s="33">
        <f t="shared" si="33"/>
        <v>0</v>
      </c>
      <c r="Q58" s="33">
        <f t="shared" si="33"/>
        <v>148</v>
      </c>
      <c r="R58" s="33">
        <f t="shared" si="33"/>
        <v>-534</v>
      </c>
      <c r="S58" s="17">
        <f t="shared" si="32"/>
        <v>65045</v>
      </c>
      <c r="T58" s="17">
        <f t="shared" si="34"/>
        <v>-2975</v>
      </c>
      <c r="V58" s="15"/>
      <c r="W58" s="15"/>
      <c r="X58" s="15"/>
      <c r="Y58" s="15"/>
      <c r="Z58" s="15"/>
      <c r="AA58" s="15"/>
      <c r="AB58" s="103"/>
      <c r="AC58" s="15"/>
      <c r="AD58" s="33"/>
      <c r="AE58" s="105"/>
      <c r="AF58" s="10"/>
      <c r="AG58" s="10"/>
      <c r="AH58" s="15"/>
      <c r="AI58" s="15"/>
      <c r="AJ58" s="15"/>
      <c r="AK58" s="10"/>
    </row>
    <row r="59" spans="1:37" hidden="1" x14ac:dyDescent="0.25">
      <c r="A59" s="331">
        <f t="shared" si="27"/>
        <v>1</v>
      </c>
      <c r="B59" s="197">
        <v>41579</v>
      </c>
      <c r="C59" s="38">
        <v>39832</v>
      </c>
      <c r="D59" s="27"/>
      <c r="E59" s="27">
        <v>19542</v>
      </c>
      <c r="F59" s="43">
        <f t="shared" si="30"/>
        <v>59374</v>
      </c>
      <c r="G59" s="38">
        <v>313</v>
      </c>
      <c r="H59" s="27"/>
      <c r="I59" s="27">
        <v>534</v>
      </c>
      <c r="J59" s="488">
        <f t="shared" si="35"/>
        <v>847</v>
      </c>
      <c r="K59" s="33">
        <f t="shared" si="33"/>
        <v>-3462</v>
      </c>
      <c r="L59" s="33">
        <f t="shared" si="33"/>
        <v>0</v>
      </c>
      <c r="M59" s="33">
        <f t="shared" si="33"/>
        <v>-1430</v>
      </c>
      <c r="N59" s="33">
        <f t="shared" si="33"/>
        <v>-4892</v>
      </c>
      <c r="O59" s="33">
        <f t="shared" si="33"/>
        <v>67</v>
      </c>
      <c r="P59" s="33">
        <f t="shared" si="33"/>
        <v>0</v>
      </c>
      <c r="Q59" s="33">
        <f t="shared" si="33"/>
        <v>1</v>
      </c>
      <c r="R59" s="33">
        <f t="shared" si="33"/>
        <v>68</v>
      </c>
      <c r="S59" s="17">
        <f t="shared" si="32"/>
        <v>60221</v>
      </c>
      <c r="T59" s="17">
        <f t="shared" si="34"/>
        <v>-4824</v>
      </c>
      <c r="V59" s="15"/>
      <c r="W59" s="778"/>
      <c r="X59" s="778"/>
      <c r="Y59" s="778"/>
      <c r="Z59" s="778"/>
      <c r="AA59" s="778"/>
      <c r="AB59" s="779"/>
      <c r="AC59" s="779"/>
      <c r="AD59" s="779"/>
      <c r="AE59" s="779"/>
      <c r="AF59" s="779"/>
      <c r="AG59" s="10"/>
      <c r="AH59" s="15"/>
      <c r="AI59" s="15"/>
      <c r="AJ59" s="15"/>
      <c r="AK59" s="10"/>
    </row>
    <row r="60" spans="1:37" ht="37.5" hidden="1" customHeight="1" thickBot="1" x14ac:dyDescent="0.3">
      <c r="A60" s="331">
        <f t="shared" si="27"/>
        <v>1</v>
      </c>
      <c r="B60" s="197">
        <v>41609</v>
      </c>
      <c r="C60" s="38">
        <v>40150</v>
      </c>
      <c r="D60" s="27"/>
      <c r="E60" s="27">
        <v>20376</v>
      </c>
      <c r="F60" s="43">
        <f t="shared" si="30"/>
        <v>60526</v>
      </c>
      <c r="G60" s="38">
        <v>354</v>
      </c>
      <c r="H60" s="27"/>
      <c r="I60" s="27">
        <v>540</v>
      </c>
      <c r="J60" s="488">
        <f t="shared" si="35"/>
        <v>894</v>
      </c>
      <c r="K60" s="33">
        <f t="shared" si="33"/>
        <v>318</v>
      </c>
      <c r="L60" s="33">
        <f t="shared" si="33"/>
        <v>0</v>
      </c>
      <c r="M60" s="33">
        <f t="shared" si="33"/>
        <v>834</v>
      </c>
      <c r="N60" s="33">
        <f t="shared" si="33"/>
        <v>1152</v>
      </c>
      <c r="O60" s="33">
        <f t="shared" si="33"/>
        <v>41</v>
      </c>
      <c r="P60" s="33">
        <f t="shared" si="33"/>
        <v>0</v>
      </c>
      <c r="Q60" s="33">
        <f t="shared" si="33"/>
        <v>6</v>
      </c>
      <c r="R60" s="33">
        <f t="shared" si="33"/>
        <v>47</v>
      </c>
      <c r="S60" s="17">
        <f t="shared" si="32"/>
        <v>61420</v>
      </c>
      <c r="T60" s="17">
        <f t="shared" si="34"/>
        <v>1199</v>
      </c>
      <c r="V60" s="15"/>
      <c r="W60" s="778"/>
      <c r="X60" s="778"/>
      <c r="Y60" s="15"/>
      <c r="Z60" s="778"/>
      <c r="AA60" s="778"/>
      <c r="AB60" s="778"/>
      <c r="AC60" s="778"/>
      <c r="AD60" s="15"/>
      <c r="AE60" s="778"/>
      <c r="AF60" s="778"/>
      <c r="AG60" s="10"/>
      <c r="AH60" s="15"/>
      <c r="AI60" s="15"/>
      <c r="AJ60" s="15"/>
      <c r="AK60" s="10"/>
    </row>
    <row r="61" spans="1:37" hidden="1" x14ac:dyDescent="0.25">
      <c r="A61" s="331">
        <f t="shared" si="27"/>
        <v>1</v>
      </c>
      <c r="B61" s="197">
        <v>41640</v>
      </c>
      <c r="C61" s="38">
        <v>39924</v>
      </c>
      <c r="D61" s="27"/>
      <c r="E61" s="27">
        <v>20324</v>
      </c>
      <c r="F61" s="43">
        <f t="shared" si="30"/>
        <v>60248</v>
      </c>
      <c r="G61" s="38">
        <v>310</v>
      </c>
      <c r="H61" s="140"/>
      <c r="I61" s="140">
        <v>561</v>
      </c>
      <c r="J61" s="488">
        <f t="shared" si="35"/>
        <v>871</v>
      </c>
      <c r="K61" s="33">
        <f t="shared" si="33"/>
        <v>-226</v>
      </c>
      <c r="L61" s="33">
        <f>+Z61-D60</f>
        <v>0</v>
      </c>
      <c r="M61" s="33">
        <f>+AA61-E60</f>
        <v>-20376</v>
      </c>
      <c r="N61" s="33">
        <f t="shared" si="33"/>
        <v>-278</v>
      </c>
      <c r="O61" s="33">
        <f t="shared" si="33"/>
        <v>-44</v>
      </c>
      <c r="P61" s="33">
        <f>+AE61-H60</f>
        <v>0</v>
      </c>
      <c r="Q61" s="33">
        <f>+AF61-I60</f>
        <v>-540</v>
      </c>
      <c r="R61" s="33">
        <f t="shared" si="33"/>
        <v>-23</v>
      </c>
      <c r="S61" s="17">
        <f t="shared" si="32"/>
        <v>61119</v>
      </c>
      <c r="T61" s="17">
        <f t="shared" si="34"/>
        <v>-301</v>
      </c>
      <c r="V61" s="620"/>
      <c r="W61" s="140"/>
      <c r="X61" s="140"/>
      <c r="Y61" s="350"/>
      <c r="Z61" s="27"/>
      <c r="AA61" s="27"/>
      <c r="AB61" s="140"/>
      <c r="AC61" s="140"/>
      <c r="AD61" s="350"/>
      <c r="AE61" s="27"/>
      <c r="AF61" s="27"/>
      <c r="AG61" s="10"/>
      <c r="AH61" s="15"/>
      <c r="AI61" s="15"/>
      <c r="AJ61" s="15"/>
      <c r="AK61" s="10"/>
    </row>
    <row r="62" spans="1:37" hidden="1" x14ac:dyDescent="0.25">
      <c r="A62" s="331">
        <f t="shared" si="27"/>
        <v>1</v>
      </c>
      <c r="B62" s="197">
        <v>41671</v>
      </c>
      <c r="C62" s="38">
        <v>37490</v>
      </c>
      <c r="D62" s="27"/>
      <c r="E62" s="27">
        <v>19050</v>
      </c>
      <c r="F62" s="43">
        <f t="shared" si="30"/>
        <v>56540</v>
      </c>
      <c r="G62" s="38">
        <v>300</v>
      </c>
      <c r="H62" s="140"/>
      <c r="I62" s="140">
        <v>566</v>
      </c>
      <c r="J62" s="488">
        <f t="shared" si="35"/>
        <v>866</v>
      </c>
      <c r="K62" s="33">
        <f t="shared" si="33"/>
        <v>-2434</v>
      </c>
      <c r="L62" s="33">
        <f t="shared" ref="L62:M66" si="36">+Z62-Z61</f>
        <v>0</v>
      </c>
      <c r="M62" s="33">
        <f t="shared" si="36"/>
        <v>0</v>
      </c>
      <c r="N62" s="33">
        <f t="shared" si="33"/>
        <v>-3708</v>
      </c>
      <c r="O62" s="33">
        <f t="shared" si="33"/>
        <v>-10</v>
      </c>
      <c r="P62" s="33">
        <f t="shared" ref="P62:Q66" si="37">+AE62-AE61</f>
        <v>0</v>
      </c>
      <c r="Q62" s="33">
        <f t="shared" si="37"/>
        <v>0</v>
      </c>
      <c r="R62" s="33">
        <f t="shared" si="33"/>
        <v>-5</v>
      </c>
      <c r="S62" s="17">
        <f t="shared" si="32"/>
        <v>57406</v>
      </c>
      <c r="T62" s="17">
        <f t="shared" si="34"/>
        <v>-3713</v>
      </c>
      <c r="U62" s="17"/>
      <c r="V62" s="620"/>
      <c r="W62" s="140"/>
      <c r="X62" s="140"/>
      <c r="Y62" s="350"/>
      <c r="Z62" s="27"/>
      <c r="AA62" s="27"/>
      <c r="AB62" s="140"/>
      <c r="AC62" s="140"/>
      <c r="AD62" s="350"/>
      <c r="AE62" s="27"/>
      <c r="AF62" s="27"/>
      <c r="AG62" s="10"/>
      <c r="AH62" s="15"/>
      <c r="AI62" s="15"/>
      <c r="AJ62" s="15"/>
      <c r="AK62" s="10"/>
    </row>
    <row r="63" spans="1:37" hidden="1" x14ac:dyDescent="0.25">
      <c r="A63" s="331">
        <f t="shared" si="27"/>
        <v>1</v>
      </c>
      <c r="B63" s="197">
        <v>41699</v>
      </c>
      <c r="C63" s="38">
        <v>39972</v>
      </c>
      <c r="D63" s="27"/>
      <c r="E63" s="27">
        <v>20690</v>
      </c>
      <c r="F63" s="43">
        <f t="shared" si="30"/>
        <v>60662</v>
      </c>
      <c r="G63" s="38">
        <v>333</v>
      </c>
      <c r="H63" s="140"/>
      <c r="I63" s="140">
        <v>593</v>
      </c>
      <c r="J63" s="488">
        <f t="shared" si="35"/>
        <v>926</v>
      </c>
      <c r="K63" s="33">
        <f t="shared" si="33"/>
        <v>2482</v>
      </c>
      <c r="L63" s="33">
        <f t="shared" si="36"/>
        <v>0</v>
      </c>
      <c r="M63" s="33">
        <f t="shared" si="36"/>
        <v>0</v>
      </c>
      <c r="N63" s="33">
        <f t="shared" si="33"/>
        <v>4122</v>
      </c>
      <c r="O63" s="33">
        <f t="shared" si="33"/>
        <v>33</v>
      </c>
      <c r="P63" s="33">
        <f t="shared" si="37"/>
        <v>0</v>
      </c>
      <c r="Q63" s="33">
        <f t="shared" si="37"/>
        <v>0</v>
      </c>
      <c r="R63" s="33">
        <f t="shared" si="33"/>
        <v>60</v>
      </c>
      <c r="S63" s="17">
        <f t="shared" si="32"/>
        <v>61588</v>
      </c>
      <c r="T63" s="17">
        <f t="shared" si="34"/>
        <v>4182</v>
      </c>
      <c r="U63" s="17">
        <f>AVERAGE(T63,T61,T60,T58,T57,T56,T55)</f>
        <v>572.28571428571433</v>
      </c>
      <c r="V63" s="620"/>
      <c r="W63" s="140"/>
      <c r="X63" s="140"/>
      <c r="Y63" s="350"/>
      <c r="Z63" s="27"/>
      <c r="AA63" s="27"/>
      <c r="AB63" s="140"/>
      <c r="AC63" s="140"/>
      <c r="AD63" s="350"/>
      <c r="AE63" s="27"/>
      <c r="AF63" s="27"/>
      <c r="AG63" s="10"/>
      <c r="AH63" s="15"/>
      <c r="AI63" s="15"/>
      <c r="AJ63" s="15"/>
      <c r="AK63" s="10"/>
    </row>
    <row r="64" spans="1:37" hidden="1" x14ac:dyDescent="0.25">
      <c r="A64" s="331">
        <f t="shared" si="27"/>
        <v>1</v>
      </c>
      <c r="B64" s="197">
        <v>41730</v>
      </c>
      <c r="C64" s="38">
        <v>40436</v>
      </c>
      <c r="D64" s="27"/>
      <c r="E64" s="27">
        <v>20255</v>
      </c>
      <c r="F64" s="43">
        <f t="shared" si="30"/>
        <v>60691</v>
      </c>
      <c r="G64" s="38">
        <v>332</v>
      </c>
      <c r="H64" s="140"/>
      <c r="I64" s="140">
        <v>536</v>
      </c>
      <c r="J64" s="488">
        <f t="shared" si="35"/>
        <v>868</v>
      </c>
      <c r="K64" s="33">
        <f t="shared" si="33"/>
        <v>464</v>
      </c>
      <c r="L64" s="33">
        <f t="shared" si="36"/>
        <v>0</v>
      </c>
      <c r="M64" s="33">
        <f t="shared" si="36"/>
        <v>0</v>
      </c>
      <c r="N64" s="33">
        <f t="shared" si="33"/>
        <v>29</v>
      </c>
      <c r="O64" s="33">
        <f t="shared" si="33"/>
        <v>-1</v>
      </c>
      <c r="P64" s="33">
        <f t="shared" si="37"/>
        <v>0</v>
      </c>
      <c r="Q64" s="33">
        <f t="shared" si="37"/>
        <v>0</v>
      </c>
      <c r="R64" s="33">
        <f t="shared" si="33"/>
        <v>-58</v>
      </c>
      <c r="S64" s="17">
        <f t="shared" si="32"/>
        <v>61559</v>
      </c>
      <c r="T64" s="17">
        <f>S64-S63</f>
        <v>-29</v>
      </c>
      <c r="V64" s="620"/>
      <c r="W64" s="140"/>
      <c r="X64" s="140"/>
      <c r="Y64" s="350"/>
      <c r="Z64" s="27"/>
      <c r="AA64" s="27"/>
      <c r="AB64" s="140"/>
      <c r="AC64" s="140"/>
      <c r="AD64" s="350"/>
      <c r="AE64" s="27"/>
      <c r="AF64" s="27"/>
      <c r="AG64" s="10"/>
      <c r="AH64" s="15"/>
      <c r="AI64" s="15"/>
      <c r="AJ64" s="15"/>
      <c r="AK64" s="10"/>
    </row>
    <row r="65" spans="1:37" hidden="1" x14ac:dyDescent="0.25">
      <c r="A65" s="331">
        <f t="shared" si="27"/>
        <v>1</v>
      </c>
      <c r="B65" s="197">
        <v>41760</v>
      </c>
      <c r="C65" s="38">
        <v>37893</v>
      </c>
      <c r="D65" s="27"/>
      <c r="E65" s="27">
        <v>18554</v>
      </c>
      <c r="F65" s="43">
        <f t="shared" si="30"/>
        <v>56447</v>
      </c>
      <c r="G65" s="38">
        <v>298</v>
      </c>
      <c r="H65" s="140"/>
      <c r="I65" s="140">
        <v>496</v>
      </c>
      <c r="J65" s="488">
        <f t="shared" si="35"/>
        <v>794</v>
      </c>
      <c r="K65" s="33">
        <f t="shared" si="33"/>
        <v>-2543</v>
      </c>
      <c r="L65" s="33">
        <f t="shared" si="36"/>
        <v>0</v>
      </c>
      <c r="M65" s="33">
        <f t="shared" si="36"/>
        <v>0</v>
      </c>
      <c r="N65" s="33">
        <f t="shared" si="33"/>
        <v>-4244</v>
      </c>
      <c r="O65" s="33">
        <f t="shared" si="33"/>
        <v>-34</v>
      </c>
      <c r="P65" s="33">
        <f t="shared" si="37"/>
        <v>0</v>
      </c>
      <c r="Q65" s="33">
        <f t="shared" si="37"/>
        <v>0</v>
      </c>
      <c r="R65" s="33">
        <f t="shared" si="33"/>
        <v>-74</v>
      </c>
      <c r="S65" s="17">
        <f t="shared" si="32"/>
        <v>57241</v>
      </c>
      <c r="T65" s="17">
        <f>S65-S64</f>
        <v>-4318</v>
      </c>
      <c r="V65" s="620"/>
      <c r="W65" s="140"/>
      <c r="X65" s="140"/>
      <c r="Y65" s="350"/>
      <c r="Z65" s="27"/>
      <c r="AA65" s="27"/>
      <c r="AB65" s="140"/>
      <c r="AC65" s="140"/>
      <c r="AD65" s="350"/>
      <c r="AE65" s="27"/>
      <c r="AF65" s="27"/>
      <c r="AG65" s="10"/>
      <c r="AH65" s="15"/>
      <c r="AI65" s="15"/>
      <c r="AJ65" s="15"/>
      <c r="AK65" s="10"/>
    </row>
    <row r="66" spans="1:37" hidden="1" x14ac:dyDescent="0.25">
      <c r="A66" s="331">
        <f t="shared" si="27"/>
        <v>1</v>
      </c>
      <c r="B66" s="197">
        <v>41791</v>
      </c>
      <c r="C66" s="38">
        <v>38258</v>
      </c>
      <c r="D66" s="27"/>
      <c r="E66" s="27">
        <v>18612</v>
      </c>
      <c r="F66" s="43">
        <f t="shared" si="30"/>
        <v>56870</v>
      </c>
      <c r="G66" s="38">
        <v>276</v>
      </c>
      <c r="H66" s="140"/>
      <c r="I66" s="140">
        <v>527</v>
      </c>
      <c r="J66" s="488">
        <f t="shared" si="35"/>
        <v>803</v>
      </c>
      <c r="K66" s="33">
        <f t="shared" si="33"/>
        <v>365</v>
      </c>
      <c r="L66" s="33">
        <f t="shared" si="36"/>
        <v>0</v>
      </c>
      <c r="M66" s="33">
        <f t="shared" si="36"/>
        <v>0</v>
      </c>
      <c r="N66" s="33">
        <f t="shared" si="33"/>
        <v>423</v>
      </c>
      <c r="O66" s="33">
        <f t="shared" si="33"/>
        <v>-22</v>
      </c>
      <c r="P66" s="33">
        <f t="shared" si="37"/>
        <v>0</v>
      </c>
      <c r="Q66" s="33">
        <f t="shared" si="37"/>
        <v>0</v>
      </c>
      <c r="R66" s="33">
        <f t="shared" si="33"/>
        <v>9</v>
      </c>
      <c r="S66" s="17">
        <f t="shared" si="32"/>
        <v>57673</v>
      </c>
      <c r="T66" s="17">
        <f>S66-S65</f>
        <v>432</v>
      </c>
      <c r="V66" s="620"/>
      <c r="W66" s="140"/>
      <c r="X66" s="140"/>
      <c r="Y66" s="350"/>
      <c r="Z66" s="27"/>
      <c r="AA66" s="27"/>
      <c r="AB66" s="140"/>
      <c r="AC66" s="140"/>
      <c r="AD66" s="350"/>
      <c r="AE66" s="27"/>
      <c r="AF66" s="27"/>
      <c r="AG66" s="10"/>
      <c r="AH66" s="15"/>
      <c r="AI66" s="15"/>
      <c r="AJ66" s="15"/>
      <c r="AK66" s="10"/>
    </row>
    <row r="67" spans="1:37" hidden="1" x14ac:dyDescent="0.25">
      <c r="A67" s="331">
        <f t="shared" si="27"/>
        <v>1</v>
      </c>
      <c r="B67" s="201" t="s">
        <v>159</v>
      </c>
      <c r="C67" s="47">
        <f>ROUND(AVERAGE(C55:C66),0)</f>
        <v>42510</v>
      </c>
      <c r="D67" s="48"/>
      <c r="E67" s="48">
        <f t="shared" ref="E67:I67" si="38">ROUND(AVERAGE(E55:E66),0)</f>
        <v>19043</v>
      </c>
      <c r="F67" s="48">
        <f>ROUND(AVERAGE(F55:F66),0)</f>
        <v>61553</v>
      </c>
      <c r="G67" s="47">
        <f t="shared" si="38"/>
        <v>451</v>
      </c>
      <c r="H67" s="48"/>
      <c r="I67" s="48">
        <f t="shared" si="38"/>
        <v>502</v>
      </c>
      <c r="J67" s="486">
        <f>ROUND(AVERAGE(J55:J66),0)</f>
        <v>952</v>
      </c>
      <c r="K67" s="33"/>
      <c r="L67" s="33"/>
      <c r="M67" s="33"/>
      <c r="N67" s="33"/>
      <c r="O67" s="33"/>
      <c r="P67" s="33"/>
      <c r="Q67" s="33"/>
      <c r="R67" s="33"/>
      <c r="S67" s="17"/>
      <c r="T67" s="17"/>
      <c r="V67" s="15"/>
      <c r="W67" s="15"/>
      <c r="X67" s="15"/>
      <c r="Y67" s="350"/>
      <c r="Z67" s="15"/>
      <c r="AA67" s="15"/>
      <c r="AB67" s="103"/>
      <c r="AC67" s="15"/>
      <c r="AD67" s="237"/>
      <c r="AE67" s="105"/>
      <c r="AF67" s="10"/>
      <c r="AG67" s="10"/>
      <c r="AH67" s="15"/>
      <c r="AI67" s="15"/>
      <c r="AJ67" s="15"/>
      <c r="AK67" s="10"/>
    </row>
    <row r="68" spans="1:37" x14ac:dyDescent="0.25">
      <c r="A68" s="331">
        <f t="shared" si="27"/>
        <v>1</v>
      </c>
      <c r="B68" s="197">
        <v>41821</v>
      </c>
      <c r="C68" s="38">
        <v>37832</v>
      </c>
      <c r="D68" s="27">
        <v>0</v>
      </c>
      <c r="E68" s="27">
        <v>17496</v>
      </c>
      <c r="F68" s="43">
        <v>55328</v>
      </c>
      <c r="G68" s="38">
        <v>229</v>
      </c>
      <c r="H68" s="27">
        <v>0</v>
      </c>
      <c r="I68" s="27">
        <v>460</v>
      </c>
      <c r="J68" s="488">
        <v>689</v>
      </c>
      <c r="K68" s="33"/>
      <c r="L68" s="33"/>
      <c r="M68" s="33"/>
      <c r="N68" s="33"/>
      <c r="O68" s="33"/>
      <c r="P68" s="33"/>
      <c r="Q68" s="33"/>
      <c r="R68" s="33"/>
      <c r="S68" s="17"/>
      <c r="T68" s="17"/>
      <c r="V68" s="620"/>
      <c r="W68" s="140"/>
      <c r="X68" s="140"/>
      <c r="Y68" s="350"/>
      <c r="Z68" s="27"/>
      <c r="AA68" s="27"/>
      <c r="AB68" s="140"/>
      <c r="AC68" s="140"/>
      <c r="AD68" s="350"/>
      <c r="AE68" s="27"/>
      <c r="AF68" s="27"/>
      <c r="AG68" s="10"/>
      <c r="AH68" s="15"/>
      <c r="AI68" s="15"/>
      <c r="AJ68" s="15"/>
      <c r="AK68" s="10"/>
    </row>
    <row r="69" spans="1:37" x14ac:dyDescent="0.25">
      <c r="A69" s="331">
        <f t="shared" si="27"/>
        <v>1</v>
      </c>
      <c r="B69" s="197">
        <v>41852</v>
      </c>
      <c r="C69" s="38">
        <v>39858</v>
      </c>
      <c r="D69" s="27">
        <v>0</v>
      </c>
      <c r="E69" s="27">
        <v>19106</v>
      </c>
      <c r="F69" s="43">
        <v>58964</v>
      </c>
      <c r="G69" s="38">
        <v>296</v>
      </c>
      <c r="H69" s="27">
        <v>0</v>
      </c>
      <c r="I69" s="27">
        <v>496</v>
      </c>
      <c r="J69" s="488">
        <v>792</v>
      </c>
      <c r="K69" s="33"/>
      <c r="L69" s="33"/>
      <c r="M69" s="33"/>
      <c r="N69" s="33"/>
      <c r="O69" s="33"/>
      <c r="P69" s="33"/>
      <c r="Q69" s="33"/>
      <c r="R69" s="33"/>
      <c r="S69" s="17"/>
      <c r="T69" s="17"/>
      <c r="V69" s="15"/>
      <c r="W69" s="15"/>
      <c r="X69" s="15"/>
      <c r="Y69" s="350"/>
      <c r="Z69" s="15"/>
      <c r="AA69" s="15"/>
      <c r="AB69" s="103"/>
      <c r="AC69" s="15"/>
      <c r="AD69" s="237"/>
      <c r="AE69" s="105"/>
      <c r="AF69" s="10"/>
      <c r="AG69" s="10"/>
      <c r="AH69" s="15"/>
      <c r="AI69" s="15"/>
      <c r="AJ69" s="15"/>
      <c r="AK69" s="10"/>
    </row>
    <row r="70" spans="1:37" x14ac:dyDescent="0.25">
      <c r="A70" s="331">
        <f t="shared" si="27"/>
        <v>1</v>
      </c>
      <c r="B70" s="197">
        <v>41883</v>
      </c>
      <c r="C70" s="38">
        <v>38675</v>
      </c>
      <c r="D70" s="27">
        <v>0</v>
      </c>
      <c r="E70" s="27">
        <v>18350</v>
      </c>
      <c r="F70" s="43">
        <v>57025</v>
      </c>
      <c r="G70" s="38">
        <v>273</v>
      </c>
      <c r="H70" s="27">
        <v>0</v>
      </c>
      <c r="I70" s="27">
        <v>488</v>
      </c>
      <c r="J70" s="488">
        <v>761</v>
      </c>
      <c r="K70" s="33"/>
      <c r="L70" s="33"/>
      <c r="M70" s="33"/>
      <c r="N70" s="33"/>
      <c r="O70" s="33"/>
      <c r="P70" s="33"/>
      <c r="Q70" s="33"/>
      <c r="R70" s="33"/>
      <c r="S70" s="17"/>
      <c r="T70" s="17"/>
      <c r="V70" s="15"/>
      <c r="W70" s="15"/>
      <c r="X70" s="15"/>
      <c r="Y70" s="350"/>
      <c r="Z70" s="15"/>
      <c r="AA70" s="15"/>
      <c r="AB70" s="103"/>
      <c r="AC70" s="15"/>
      <c r="AD70" s="237"/>
      <c r="AE70" s="105"/>
      <c r="AF70" s="10"/>
      <c r="AG70" s="10"/>
      <c r="AH70" s="15"/>
      <c r="AI70" s="15"/>
      <c r="AJ70" s="15"/>
      <c r="AK70" s="10"/>
    </row>
    <row r="71" spans="1:37" x14ac:dyDescent="0.25">
      <c r="A71" s="331">
        <f t="shared" si="27"/>
        <v>1</v>
      </c>
      <c r="B71" s="197">
        <v>41913</v>
      </c>
      <c r="C71" s="38">
        <v>35543</v>
      </c>
      <c r="D71" s="27">
        <v>0</v>
      </c>
      <c r="E71" s="27">
        <v>16449</v>
      </c>
      <c r="F71" s="43">
        <v>51992</v>
      </c>
      <c r="G71" s="38">
        <v>224</v>
      </c>
      <c r="H71" s="27">
        <v>0</v>
      </c>
      <c r="I71" s="27">
        <v>457</v>
      </c>
      <c r="J71" s="488">
        <v>681</v>
      </c>
      <c r="K71" s="33"/>
      <c r="L71" s="33"/>
      <c r="M71" s="33"/>
      <c r="N71" s="33"/>
      <c r="O71" s="33"/>
      <c r="P71" s="33"/>
      <c r="Q71" s="33"/>
      <c r="R71" s="33"/>
      <c r="S71" s="17"/>
      <c r="T71" s="17"/>
      <c r="V71" s="15"/>
      <c r="W71" s="15"/>
      <c r="X71" s="15"/>
      <c r="Y71" s="350"/>
      <c r="Z71" s="15"/>
      <c r="AA71" s="15"/>
      <c r="AB71" s="103"/>
      <c r="AC71" s="15"/>
      <c r="AD71" s="237"/>
      <c r="AE71" s="105"/>
      <c r="AF71" s="10"/>
      <c r="AG71" s="10"/>
      <c r="AH71" s="15"/>
      <c r="AI71" s="15"/>
      <c r="AJ71" s="15"/>
      <c r="AK71" s="10"/>
    </row>
    <row r="72" spans="1:37" x14ac:dyDescent="0.25">
      <c r="A72" s="331">
        <f t="shared" si="27"/>
        <v>1</v>
      </c>
      <c r="B72" s="197">
        <v>41944</v>
      </c>
      <c r="C72" s="38">
        <v>35405</v>
      </c>
      <c r="D72" s="27">
        <v>0</v>
      </c>
      <c r="E72" s="27">
        <v>16027</v>
      </c>
      <c r="F72" s="43">
        <v>51432</v>
      </c>
      <c r="G72" s="38">
        <v>233</v>
      </c>
      <c r="H72" s="27">
        <v>0</v>
      </c>
      <c r="I72" s="27">
        <v>455</v>
      </c>
      <c r="J72" s="488">
        <v>688</v>
      </c>
      <c r="K72" s="33"/>
      <c r="L72" s="33"/>
      <c r="M72" s="33"/>
      <c r="N72" s="33"/>
      <c r="O72" s="33"/>
      <c r="P72" s="33"/>
      <c r="Q72" s="33"/>
      <c r="R72" s="33"/>
      <c r="S72" s="17"/>
      <c r="T72" s="17"/>
      <c r="V72" s="15"/>
      <c r="W72" s="15"/>
      <c r="X72" s="15"/>
      <c r="Y72" s="350"/>
      <c r="Z72" s="15"/>
      <c r="AA72" s="15"/>
      <c r="AB72" s="103"/>
      <c r="AC72" s="15"/>
      <c r="AD72" s="237"/>
      <c r="AE72" s="105"/>
      <c r="AF72" s="10"/>
      <c r="AG72" s="10"/>
      <c r="AH72" s="15"/>
      <c r="AI72" s="15"/>
      <c r="AJ72" s="15"/>
      <c r="AK72" s="10"/>
    </row>
    <row r="73" spans="1:37" x14ac:dyDescent="0.25">
      <c r="A73" s="331">
        <f t="shared" si="27"/>
        <v>1</v>
      </c>
      <c r="B73" s="197">
        <v>41974</v>
      </c>
      <c r="C73" s="38">
        <v>36771</v>
      </c>
      <c r="D73" s="27">
        <v>0</v>
      </c>
      <c r="E73" s="27">
        <v>15851</v>
      </c>
      <c r="F73" s="43">
        <v>52622</v>
      </c>
      <c r="G73" s="38">
        <v>232</v>
      </c>
      <c r="H73" s="27">
        <v>0</v>
      </c>
      <c r="I73" s="27">
        <v>446</v>
      </c>
      <c r="J73" s="488">
        <v>678</v>
      </c>
      <c r="K73" s="33"/>
      <c r="L73" s="33"/>
      <c r="M73" s="33"/>
      <c r="N73" s="33"/>
      <c r="O73" s="33"/>
      <c r="P73" s="33"/>
      <c r="Q73" s="33"/>
      <c r="R73" s="33"/>
      <c r="S73" s="17"/>
      <c r="T73" s="17"/>
      <c r="V73" s="15"/>
      <c r="W73" s="15"/>
      <c r="X73" s="15"/>
      <c r="Y73" s="350"/>
      <c r="Z73" s="15"/>
      <c r="AA73" s="15"/>
      <c r="AB73" s="103"/>
      <c r="AC73" s="15"/>
      <c r="AD73" s="237"/>
      <c r="AE73" s="105"/>
      <c r="AF73" s="10"/>
      <c r="AG73" s="10"/>
      <c r="AH73" s="15"/>
      <c r="AI73" s="15"/>
      <c r="AJ73" s="15"/>
      <c r="AK73" s="10"/>
    </row>
    <row r="74" spans="1:37" x14ac:dyDescent="0.25">
      <c r="A74" s="331">
        <f t="shared" si="27"/>
        <v>1</v>
      </c>
      <c r="B74" s="197">
        <v>42005</v>
      </c>
      <c r="C74" s="38">
        <v>36177</v>
      </c>
      <c r="D74" s="27">
        <v>0</v>
      </c>
      <c r="E74" s="27">
        <v>15780</v>
      </c>
      <c r="F74" s="43">
        <v>51957</v>
      </c>
      <c r="G74" s="38">
        <v>205</v>
      </c>
      <c r="H74" s="27">
        <v>0</v>
      </c>
      <c r="I74" s="27">
        <v>478</v>
      </c>
      <c r="J74" s="488">
        <v>683</v>
      </c>
      <c r="K74" s="33"/>
      <c r="L74" s="33"/>
      <c r="M74" s="33"/>
      <c r="N74" s="33"/>
      <c r="O74" s="33"/>
      <c r="P74" s="33"/>
      <c r="Q74" s="33"/>
      <c r="R74" s="33"/>
      <c r="S74" s="17"/>
      <c r="T74" s="17"/>
      <c r="V74" s="15"/>
      <c r="W74" s="15"/>
      <c r="X74" s="15"/>
      <c r="Y74" s="350"/>
      <c r="Z74" s="15"/>
      <c r="AA74" s="15"/>
      <c r="AB74" s="103"/>
      <c r="AC74" s="15"/>
      <c r="AD74" s="237"/>
      <c r="AE74" s="105"/>
      <c r="AF74" s="10"/>
      <c r="AG74" s="10"/>
      <c r="AH74" s="15"/>
      <c r="AI74" s="15"/>
      <c r="AJ74" s="15"/>
      <c r="AK74" s="10"/>
    </row>
    <row r="75" spans="1:37" x14ac:dyDescent="0.25">
      <c r="A75" s="331">
        <f t="shared" si="27"/>
        <v>1</v>
      </c>
      <c r="B75" s="197">
        <v>42036</v>
      </c>
      <c r="C75" s="38">
        <v>36686</v>
      </c>
      <c r="D75" s="27">
        <v>0</v>
      </c>
      <c r="E75" s="27">
        <v>15980</v>
      </c>
      <c r="F75" s="43">
        <v>52666</v>
      </c>
      <c r="G75" s="38">
        <v>200</v>
      </c>
      <c r="H75" s="27">
        <v>0</v>
      </c>
      <c r="I75" s="27">
        <v>465</v>
      </c>
      <c r="J75" s="488">
        <v>665</v>
      </c>
      <c r="K75" s="33"/>
      <c r="L75" s="33"/>
      <c r="M75" s="33"/>
      <c r="N75" s="33"/>
      <c r="O75" s="33"/>
      <c r="P75" s="33"/>
      <c r="Q75" s="33"/>
      <c r="R75" s="33"/>
      <c r="S75" s="17"/>
      <c r="T75" s="17"/>
      <c r="V75" s="15"/>
      <c r="W75" s="15"/>
      <c r="X75" s="15"/>
      <c r="Y75" s="350"/>
      <c r="Z75" s="15"/>
      <c r="AA75" s="15"/>
      <c r="AB75" s="103"/>
      <c r="AC75" s="15"/>
      <c r="AD75" s="237"/>
      <c r="AE75" s="105"/>
      <c r="AF75" s="10"/>
      <c r="AG75" s="10"/>
      <c r="AH75" s="15"/>
      <c r="AI75" s="15"/>
      <c r="AJ75" s="15"/>
      <c r="AK75" s="10"/>
    </row>
    <row r="76" spans="1:37" x14ac:dyDescent="0.25">
      <c r="A76" s="331">
        <f t="shared" si="27"/>
        <v>1</v>
      </c>
      <c r="B76" s="197">
        <v>42064</v>
      </c>
      <c r="C76" s="334">
        <v>36909</v>
      </c>
      <c r="D76" s="335">
        <v>0</v>
      </c>
      <c r="E76" s="335">
        <v>16068</v>
      </c>
      <c r="F76" s="43">
        <v>52977</v>
      </c>
      <c r="G76" s="334">
        <v>195</v>
      </c>
      <c r="H76" s="335">
        <v>0</v>
      </c>
      <c r="I76" s="335">
        <v>485</v>
      </c>
      <c r="J76" s="488">
        <v>680</v>
      </c>
      <c r="K76" s="33"/>
      <c r="L76" s="33"/>
      <c r="M76" s="33"/>
      <c r="N76" s="33"/>
      <c r="O76" s="33"/>
      <c r="P76" s="33"/>
      <c r="Q76" s="33"/>
      <c r="R76" s="33"/>
      <c r="S76" s="17"/>
      <c r="T76" s="17"/>
      <c r="V76" s="15"/>
      <c r="W76" s="15"/>
      <c r="X76" s="15"/>
      <c r="Y76" s="350"/>
      <c r="Z76" s="15"/>
      <c r="AA76" s="15"/>
      <c r="AB76" s="103"/>
      <c r="AC76" s="15"/>
      <c r="AD76" s="237"/>
      <c r="AE76" s="105"/>
      <c r="AF76" s="10"/>
      <c r="AG76" s="10"/>
      <c r="AH76" s="15"/>
      <c r="AI76" s="15"/>
      <c r="AJ76" s="15"/>
      <c r="AK76" s="10"/>
    </row>
    <row r="77" spans="1:37" x14ac:dyDescent="0.25">
      <c r="A77" s="331">
        <f t="shared" si="27"/>
        <v>1</v>
      </c>
      <c r="B77" s="197">
        <v>42095</v>
      </c>
      <c r="C77" s="334">
        <v>37175</v>
      </c>
      <c r="D77" s="335">
        <v>0</v>
      </c>
      <c r="E77" s="335">
        <v>16327</v>
      </c>
      <c r="F77" s="43">
        <v>53502</v>
      </c>
      <c r="G77" s="334">
        <v>214</v>
      </c>
      <c r="H77" s="335">
        <v>0</v>
      </c>
      <c r="I77" s="335">
        <v>444</v>
      </c>
      <c r="J77" s="488">
        <v>658</v>
      </c>
      <c r="K77" s="33"/>
      <c r="L77" s="33"/>
      <c r="M77" s="33"/>
      <c r="N77" s="33"/>
      <c r="O77" s="33"/>
      <c r="P77" s="33"/>
      <c r="Q77" s="33"/>
      <c r="R77" s="33"/>
      <c r="S77" s="17"/>
      <c r="T77" s="17"/>
      <c r="V77" s="15"/>
      <c r="W77" s="15"/>
      <c r="X77" s="15"/>
      <c r="Y77" s="350"/>
      <c r="Z77" s="15"/>
      <c r="AA77" s="15"/>
      <c r="AB77" s="103"/>
      <c r="AC77" s="15"/>
      <c r="AD77" s="237"/>
      <c r="AE77" s="105"/>
      <c r="AF77" s="10"/>
      <c r="AG77" s="10"/>
      <c r="AH77" s="15"/>
      <c r="AI77" s="15"/>
      <c r="AJ77" s="15"/>
      <c r="AK77" s="10"/>
    </row>
    <row r="78" spans="1:37" x14ac:dyDescent="0.25">
      <c r="A78" s="331">
        <f t="shared" si="27"/>
        <v>1</v>
      </c>
      <c r="B78" s="197">
        <v>42125</v>
      </c>
      <c r="C78" s="334">
        <v>37114</v>
      </c>
      <c r="D78" s="335">
        <v>0</v>
      </c>
      <c r="E78" s="335">
        <v>16573</v>
      </c>
      <c r="F78" s="43">
        <v>53687</v>
      </c>
      <c r="G78" s="334">
        <v>212</v>
      </c>
      <c r="H78" s="27">
        <v>0</v>
      </c>
      <c r="I78" s="27">
        <v>433</v>
      </c>
      <c r="J78" s="488">
        <v>645</v>
      </c>
      <c r="K78" s="33"/>
      <c r="L78" s="33"/>
      <c r="M78" s="33"/>
      <c r="N78" s="33"/>
      <c r="O78" s="33"/>
      <c r="P78" s="33"/>
      <c r="Q78" s="33"/>
      <c r="R78" s="33"/>
      <c r="S78" s="17"/>
      <c r="T78" s="17"/>
      <c r="V78" s="15"/>
      <c r="W78" s="15"/>
      <c r="X78" s="15"/>
      <c r="Y78" s="350"/>
      <c r="Z78" s="15"/>
      <c r="AA78" s="15"/>
      <c r="AB78" s="103"/>
      <c r="AC78" s="15"/>
      <c r="AD78" s="237"/>
      <c r="AE78" s="105"/>
      <c r="AF78" s="10"/>
      <c r="AG78" s="10"/>
      <c r="AH78" s="15"/>
      <c r="AI78" s="15"/>
      <c r="AJ78" s="15"/>
      <c r="AK78" s="10"/>
    </row>
    <row r="79" spans="1:37" x14ac:dyDescent="0.25">
      <c r="A79" s="331">
        <f t="shared" si="27"/>
        <v>1</v>
      </c>
      <c r="B79" s="197">
        <v>42156</v>
      </c>
      <c r="C79" s="38">
        <v>36236</v>
      </c>
      <c r="D79" s="27">
        <v>0</v>
      </c>
      <c r="E79" s="27">
        <v>16005</v>
      </c>
      <c r="F79" s="43">
        <v>52241</v>
      </c>
      <c r="G79" s="38">
        <v>210</v>
      </c>
      <c r="H79" s="27">
        <v>0</v>
      </c>
      <c r="I79" s="27">
        <v>416</v>
      </c>
      <c r="J79" s="488">
        <v>626</v>
      </c>
      <c r="K79" s="33"/>
      <c r="L79" s="33"/>
      <c r="M79" s="33"/>
      <c r="N79" s="33"/>
      <c r="O79" s="33"/>
      <c r="P79" s="33"/>
      <c r="Q79" s="33"/>
      <c r="R79" s="33"/>
      <c r="S79" s="17"/>
      <c r="T79" s="17"/>
      <c r="V79" s="15"/>
      <c r="W79" s="15"/>
      <c r="X79" s="15"/>
      <c r="Y79" s="350"/>
      <c r="Z79" s="15"/>
      <c r="AA79" s="15"/>
      <c r="AB79" s="103"/>
      <c r="AC79" s="15"/>
      <c r="AD79" s="237"/>
      <c r="AE79" s="105"/>
      <c r="AF79" s="10"/>
      <c r="AG79" s="10"/>
      <c r="AH79" s="15"/>
      <c r="AI79" s="15"/>
      <c r="AJ79" s="15"/>
      <c r="AK79" s="10"/>
    </row>
    <row r="80" spans="1:37" x14ac:dyDescent="0.25">
      <c r="A80" s="331">
        <f t="shared" si="27"/>
        <v>1</v>
      </c>
      <c r="B80" s="201" t="s">
        <v>263</v>
      </c>
      <c r="C80" s="47">
        <v>37032</v>
      </c>
      <c r="D80" s="48">
        <v>0</v>
      </c>
      <c r="E80" s="48">
        <v>16668</v>
      </c>
      <c r="F80" s="48">
        <v>53699</v>
      </c>
      <c r="G80" s="47">
        <v>227</v>
      </c>
      <c r="H80" s="47" t="e">
        <v>#DIV/0!</v>
      </c>
      <c r="I80" s="48">
        <v>460</v>
      </c>
      <c r="J80" s="486">
        <v>687</v>
      </c>
      <c r="K80" s="33"/>
      <c r="L80" s="33"/>
      <c r="M80" s="33"/>
      <c r="N80" s="33"/>
      <c r="O80" s="33"/>
      <c r="P80" s="33"/>
      <c r="Q80" s="33"/>
      <c r="R80" s="33"/>
      <c r="S80" s="17"/>
      <c r="T80" s="17"/>
      <c r="V80" s="15"/>
      <c r="W80" s="15"/>
      <c r="X80" s="15"/>
      <c r="Y80" s="350"/>
      <c r="Z80" s="15"/>
      <c r="AA80" s="15"/>
      <c r="AB80" s="103"/>
      <c r="AC80" s="15"/>
      <c r="AD80" s="237"/>
      <c r="AE80" s="105"/>
      <c r="AF80" s="10"/>
      <c r="AG80" s="10"/>
      <c r="AH80" s="15"/>
      <c r="AI80" s="15"/>
      <c r="AJ80" s="15"/>
      <c r="AK80" s="10"/>
    </row>
    <row r="81" spans="1:37" x14ac:dyDescent="0.25">
      <c r="A81" s="331">
        <f>IF(C81="",0,1)</f>
        <v>1</v>
      </c>
      <c r="B81" s="197">
        <v>42186</v>
      </c>
      <c r="C81" s="38">
        <v>35269</v>
      </c>
      <c r="D81" s="27">
        <v>0</v>
      </c>
      <c r="E81" s="27">
        <v>15382</v>
      </c>
      <c r="F81" s="43">
        <v>50651</v>
      </c>
      <c r="G81" s="38">
        <v>206</v>
      </c>
      <c r="H81" s="27">
        <v>0</v>
      </c>
      <c r="I81" s="27">
        <v>415</v>
      </c>
      <c r="J81" s="488">
        <v>621</v>
      </c>
      <c r="K81" s="33"/>
      <c r="L81" s="33"/>
      <c r="M81" s="33"/>
      <c r="N81" s="33"/>
      <c r="O81" s="33"/>
      <c r="P81" s="33"/>
      <c r="Q81" s="33"/>
      <c r="R81" s="33"/>
      <c r="S81" s="17"/>
      <c r="T81" s="17"/>
      <c r="V81" s="15"/>
      <c r="W81" s="15"/>
      <c r="X81" s="15"/>
      <c r="Y81" s="350"/>
      <c r="Z81" s="15"/>
      <c r="AA81" s="15"/>
      <c r="AB81" s="103"/>
      <c r="AC81" s="15"/>
      <c r="AD81" s="237"/>
      <c r="AE81" s="105"/>
      <c r="AF81" s="10"/>
      <c r="AG81" s="10"/>
      <c r="AH81" s="15"/>
      <c r="AI81" s="15"/>
      <c r="AJ81" s="15"/>
      <c r="AK81" s="10"/>
    </row>
    <row r="82" spans="1:37" x14ac:dyDescent="0.25">
      <c r="A82" s="331">
        <f t="shared" si="27"/>
        <v>1</v>
      </c>
      <c r="B82" s="197">
        <v>42217</v>
      </c>
      <c r="C82" s="38">
        <v>33608</v>
      </c>
      <c r="D82" s="27">
        <v>0</v>
      </c>
      <c r="E82" s="27">
        <v>14765</v>
      </c>
      <c r="F82" s="43">
        <v>48373</v>
      </c>
      <c r="G82" s="38">
        <v>189</v>
      </c>
      <c r="H82" s="27">
        <v>0</v>
      </c>
      <c r="I82" s="27">
        <v>398</v>
      </c>
      <c r="J82" s="488">
        <v>587</v>
      </c>
      <c r="K82" s="33"/>
      <c r="L82" s="33"/>
      <c r="M82" s="33"/>
      <c r="N82" s="33"/>
      <c r="O82" s="33"/>
      <c r="P82" s="33"/>
      <c r="Q82" s="33"/>
      <c r="R82" s="33"/>
      <c r="S82" s="17"/>
      <c r="T82" s="17"/>
      <c r="V82" s="15"/>
      <c r="W82" s="15"/>
      <c r="X82" s="15"/>
      <c r="Y82" s="350"/>
      <c r="Z82" s="15"/>
      <c r="AA82" s="15"/>
      <c r="AB82" s="103"/>
      <c r="AC82" s="15"/>
      <c r="AD82" s="237"/>
      <c r="AE82" s="105"/>
      <c r="AF82" s="10"/>
      <c r="AG82" s="10"/>
      <c r="AH82" s="15"/>
      <c r="AI82" s="15"/>
      <c r="AJ82" s="15"/>
      <c r="AK82" s="10"/>
    </row>
    <row r="83" spans="1:37" x14ac:dyDescent="0.25">
      <c r="A83" s="331">
        <f t="shared" si="27"/>
        <v>1</v>
      </c>
      <c r="B83" s="197">
        <v>42248</v>
      </c>
      <c r="C83" s="38">
        <v>33333</v>
      </c>
      <c r="D83" s="27">
        <v>0</v>
      </c>
      <c r="E83" s="27">
        <v>14936</v>
      </c>
      <c r="F83" s="43">
        <v>48269</v>
      </c>
      <c r="G83" s="38">
        <v>183</v>
      </c>
      <c r="H83" s="27">
        <v>0</v>
      </c>
      <c r="I83" s="27">
        <v>394</v>
      </c>
      <c r="J83" s="488">
        <v>577</v>
      </c>
      <c r="K83" s="33"/>
      <c r="L83" s="33"/>
      <c r="M83" s="33"/>
      <c r="N83" s="33"/>
      <c r="O83" s="33"/>
      <c r="P83" s="33"/>
      <c r="Q83" s="33"/>
      <c r="R83" s="33"/>
      <c r="S83" s="17"/>
      <c r="T83" s="17"/>
      <c r="V83" s="15"/>
      <c r="W83" s="15"/>
      <c r="X83" s="15"/>
      <c r="Y83" s="350"/>
      <c r="Z83" s="15"/>
      <c r="AA83" s="15"/>
      <c r="AB83" s="103"/>
      <c r="AC83" s="15"/>
      <c r="AD83" s="237"/>
      <c r="AE83" s="105"/>
      <c r="AF83" s="10"/>
      <c r="AG83" s="10"/>
      <c r="AH83" s="15"/>
      <c r="AI83" s="15"/>
      <c r="AJ83" s="15"/>
      <c r="AK83" s="10"/>
    </row>
    <row r="84" spans="1:37" x14ac:dyDescent="0.25">
      <c r="A84" s="331">
        <f t="shared" si="27"/>
        <v>1</v>
      </c>
      <c r="B84" s="197">
        <v>42278</v>
      </c>
      <c r="C84" s="38">
        <v>32011</v>
      </c>
      <c r="D84" s="27">
        <v>0</v>
      </c>
      <c r="E84" s="27">
        <v>14444</v>
      </c>
      <c r="F84" s="43">
        <v>46455</v>
      </c>
      <c r="G84" s="38">
        <v>167</v>
      </c>
      <c r="H84" s="27">
        <v>0</v>
      </c>
      <c r="I84" s="27">
        <v>405</v>
      </c>
      <c r="J84" s="488">
        <v>572</v>
      </c>
      <c r="K84" s="33"/>
      <c r="L84" s="33"/>
      <c r="M84" s="33"/>
      <c r="N84" s="33"/>
      <c r="O84" s="33"/>
      <c r="P84" s="33"/>
      <c r="Q84" s="33"/>
      <c r="R84" s="33"/>
      <c r="S84" s="17"/>
      <c r="T84" s="17"/>
      <c r="V84" s="15"/>
      <c r="W84" s="15"/>
      <c r="X84" s="15"/>
      <c r="Y84" s="350"/>
      <c r="Z84" s="15"/>
      <c r="AA84" s="15"/>
      <c r="AB84" s="103"/>
      <c r="AC84" s="15"/>
      <c r="AD84" s="237"/>
      <c r="AE84" s="105"/>
      <c r="AF84" s="10"/>
      <c r="AG84" s="10"/>
      <c r="AH84" s="15"/>
      <c r="AI84" s="15"/>
      <c r="AJ84" s="15"/>
      <c r="AK84" s="10"/>
    </row>
    <row r="85" spans="1:37" x14ac:dyDescent="0.25">
      <c r="A85" s="331">
        <f t="shared" si="27"/>
        <v>1</v>
      </c>
      <c r="B85" s="197">
        <v>42309</v>
      </c>
      <c r="C85" s="38">
        <v>31821</v>
      </c>
      <c r="D85" s="27">
        <v>0</v>
      </c>
      <c r="E85" s="27">
        <v>14212</v>
      </c>
      <c r="F85" s="43">
        <v>46033</v>
      </c>
      <c r="G85" s="38">
        <v>192</v>
      </c>
      <c r="H85" s="27">
        <v>0</v>
      </c>
      <c r="I85" s="27">
        <v>449</v>
      </c>
      <c r="J85" s="488">
        <v>641</v>
      </c>
      <c r="K85" s="33"/>
      <c r="L85" s="33"/>
      <c r="M85" s="33"/>
      <c r="N85" s="33"/>
      <c r="O85" s="33"/>
      <c r="P85" s="33"/>
      <c r="Q85" s="33"/>
      <c r="R85" s="33"/>
      <c r="S85" s="17"/>
      <c r="T85" s="17"/>
      <c r="V85" s="15"/>
      <c r="W85" s="15"/>
      <c r="X85" s="15"/>
      <c r="Y85" s="350"/>
      <c r="Z85" s="15"/>
      <c r="AA85" s="15"/>
      <c r="AB85" s="103"/>
      <c r="AC85" s="15"/>
      <c r="AD85" s="237"/>
      <c r="AE85" s="105"/>
      <c r="AF85" s="10"/>
      <c r="AG85" s="10"/>
      <c r="AH85" s="15"/>
      <c r="AI85" s="15"/>
      <c r="AJ85" s="15"/>
      <c r="AK85" s="10"/>
    </row>
    <row r="86" spans="1:37" x14ac:dyDescent="0.25">
      <c r="A86" s="331">
        <f t="shared" si="27"/>
        <v>1</v>
      </c>
      <c r="B86" s="197">
        <v>42339</v>
      </c>
      <c r="C86" s="38">
        <v>32921</v>
      </c>
      <c r="D86" s="27">
        <v>0</v>
      </c>
      <c r="E86" s="27">
        <v>14908</v>
      </c>
      <c r="F86" s="43">
        <v>47829</v>
      </c>
      <c r="G86" s="38">
        <v>187</v>
      </c>
      <c r="H86" s="27">
        <v>0</v>
      </c>
      <c r="I86" s="27">
        <v>472</v>
      </c>
      <c r="J86" s="488">
        <v>659</v>
      </c>
      <c r="K86" s="33"/>
      <c r="L86" s="33"/>
      <c r="M86" s="33"/>
      <c r="N86" s="33"/>
      <c r="O86" s="33"/>
      <c r="P86" s="33"/>
      <c r="Q86" s="33"/>
      <c r="R86" s="33"/>
      <c r="S86" s="17"/>
      <c r="T86" s="17"/>
      <c r="W86" s="15"/>
      <c r="X86" s="15"/>
      <c r="Y86" s="350"/>
      <c r="Z86" s="15"/>
      <c r="AA86" s="15"/>
      <c r="AB86" s="103"/>
      <c r="AC86" s="15"/>
      <c r="AD86" s="237"/>
      <c r="AE86" s="105"/>
      <c r="AF86" s="10"/>
      <c r="AG86" s="10"/>
      <c r="AJ86" s="15"/>
      <c r="AK86" s="10"/>
    </row>
    <row r="87" spans="1:37" x14ac:dyDescent="0.25">
      <c r="A87" s="331">
        <f t="shared" si="27"/>
        <v>1</v>
      </c>
      <c r="B87" s="197">
        <v>42370</v>
      </c>
      <c r="C87" s="38">
        <v>34658</v>
      </c>
      <c r="D87" s="27">
        <v>0</v>
      </c>
      <c r="E87" s="27">
        <v>16036</v>
      </c>
      <c r="F87" s="43">
        <v>50694</v>
      </c>
      <c r="G87" s="38">
        <v>205</v>
      </c>
      <c r="H87" s="27">
        <v>0</v>
      </c>
      <c r="I87" s="27">
        <v>506</v>
      </c>
      <c r="J87" s="488">
        <v>711</v>
      </c>
      <c r="K87" s="33"/>
      <c r="L87" s="33"/>
      <c r="M87" s="33"/>
      <c r="N87" s="33"/>
      <c r="O87" s="33"/>
      <c r="P87" s="33"/>
      <c r="Q87" s="33"/>
      <c r="R87" s="33"/>
      <c r="S87" s="17"/>
      <c r="T87" s="17"/>
      <c r="W87" s="15"/>
      <c r="X87" s="15"/>
      <c r="Y87" s="350"/>
      <c r="Z87" s="15"/>
      <c r="AA87" s="15"/>
      <c r="AB87" s="103"/>
      <c r="AC87" s="15"/>
      <c r="AD87" s="237"/>
      <c r="AE87" s="105"/>
      <c r="AF87" s="10"/>
      <c r="AG87" s="10"/>
      <c r="AJ87" s="15"/>
      <c r="AK87" s="10"/>
    </row>
    <row r="88" spans="1:37" x14ac:dyDescent="0.25">
      <c r="A88" s="331">
        <f t="shared" si="27"/>
        <v>1</v>
      </c>
      <c r="B88" s="197">
        <v>42401</v>
      </c>
      <c r="C88" s="38">
        <v>35557</v>
      </c>
      <c r="D88" s="27">
        <v>0</v>
      </c>
      <c r="E88" s="27">
        <v>16728</v>
      </c>
      <c r="F88" s="43">
        <v>52285</v>
      </c>
      <c r="G88" s="38">
        <v>202</v>
      </c>
      <c r="H88" s="27">
        <v>0</v>
      </c>
      <c r="I88" s="27">
        <v>515</v>
      </c>
      <c r="J88" s="488">
        <v>717</v>
      </c>
      <c r="K88" s="33"/>
      <c r="L88" s="33"/>
      <c r="M88" s="33"/>
      <c r="N88" s="33"/>
      <c r="O88" s="33"/>
      <c r="P88" s="33"/>
      <c r="Q88" s="33"/>
      <c r="R88" s="33"/>
      <c r="S88" s="17"/>
      <c r="T88" s="17"/>
      <c r="W88" s="15"/>
      <c r="X88" s="15"/>
      <c r="Y88" s="350"/>
      <c r="Z88" s="15"/>
      <c r="AA88" s="15"/>
      <c r="AB88" s="103"/>
      <c r="AC88" s="15"/>
      <c r="AD88" s="237"/>
      <c r="AE88" s="105"/>
      <c r="AF88" s="10"/>
      <c r="AG88" s="10"/>
      <c r="AJ88" s="15"/>
      <c r="AK88" s="10"/>
    </row>
    <row r="89" spans="1:37" x14ac:dyDescent="0.25">
      <c r="A89" s="331">
        <f t="shared" si="27"/>
        <v>1</v>
      </c>
      <c r="B89" s="197">
        <v>42430</v>
      </c>
      <c r="C89" s="38">
        <v>36075</v>
      </c>
      <c r="D89" s="27">
        <v>0</v>
      </c>
      <c r="E89" s="27">
        <v>17257</v>
      </c>
      <c r="F89" s="43">
        <v>53332</v>
      </c>
      <c r="G89" s="38">
        <v>196</v>
      </c>
      <c r="H89" s="27">
        <v>0</v>
      </c>
      <c r="I89" s="27">
        <v>529</v>
      </c>
      <c r="J89" s="488">
        <v>725</v>
      </c>
      <c r="K89" s="33"/>
      <c r="L89" s="33"/>
      <c r="M89" s="33"/>
      <c r="N89" s="33"/>
      <c r="O89" s="33"/>
      <c r="P89" s="33"/>
      <c r="Q89" s="33"/>
      <c r="R89" s="33"/>
      <c r="S89" s="17"/>
      <c r="T89" s="17"/>
      <c r="W89" s="15"/>
      <c r="X89" s="15"/>
      <c r="Y89" s="350"/>
      <c r="Z89" s="15"/>
      <c r="AA89" s="15"/>
      <c r="AB89" s="103"/>
      <c r="AC89" s="15"/>
      <c r="AD89" s="237"/>
      <c r="AE89" s="105"/>
      <c r="AF89" s="10"/>
      <c r="AG89" s="10"/>
      <c r="AJ89" s="15"/>
      <c r="AK89" s="10"/>
    </row>
    <row r="90" spans="1:37" x14ac:dyDescent="0.25">
      <c r="A90" s="331">
        <f t="shared" si="27"/>
        <v>1</v>
      </c>
      <c r="B90" s="197">
        <v>42461</v>
      </c>
      <c r="C90" s="38">
        <v>37075</v>
      </c>
      <c r="D90" s="27">
        <v>0</v>
      </c>
      <c r="E90" s="27">
        <v>17763</v>
      </c>
      <c r="F90" s="43">
        <v>54838</v>
      </c>
      <c r="G90" s="38">
        <v>212</v>
      </c>
      <c r="H90" s="27">
        <v>0</v>
      </c>
      <c r="I90" s="27">
        <v>519</v>
      </c>
      <c r="J90" s="488">
        <v>731</v>
      </c>
      <c r="K90" s="33"/>
      <c r="L90" s="33"/>
      <c r="M90" s="33"/>
      <c r="N90" s="33"/>
      <c r="O90" s="33"/>
      <c r="P90" s="33"/>
      <c r="Q90" s="33"/>
      <c r="R90" s="33"/>
      <c r="S90" s="17"/>
      <c r="T90" s="17"/>
      <c r="W90" s="15"/>
      <c r="X90" s="15"/>
      <c r="Y90" s="350"/>
      <c r="Z90" s="15"/>
      <c r="AA90" s="15"/>
      <c r="AB90" s="103"/>
      <c r="AC90" s="15"/>
      <c r="AD90" s="237"/>
      <c r="AE90" s="105"/>
      <c r="AF90" s="10"/>
      <c r="AG90" s="10"/>
      <c r="AJ90" s="15"/>
      <c r="AK90" s="10"/>
    </row>
    <row r="91" spans="1:37" x14ac:dyDescent="0.25">
      <c r="A91" s="331">
        <f t="shared" si="27"/>
        <v>1</v>
      </c>
      <c r="B91" s="197">
        <v>42491</v>
      </c>
      <c r="C91" s="38">
        <v>38019</v>
      </c>
      <c r="D91" s="27">
        <v>0</v>
      </c>
      <c r="E91" s="27">
        <v>18204</v>
      </c>
      <c r="F91" s="43">
        <v>56223</v>
      </c>
      <c r="G91" s="38">
        <v>225</v>
      </c>
      <c r="H91" s="27">
        <v>0</v>
      </c>
      <c r="I91" s="27">
        <v>515</v>
      </c>
      <c r="J91" s="488">
        <v>740</v>
      </c>
      <c r="K91" s="33"/>
      <c r="L91" s="33"/>
      <c r="M91" s="33"/>
      <c r="N91" s="33"/>
      <c r="O91" s="33"/>
      <c r="P91" s="33"/>
      <c r="Q91" s="33"/>
      <c r="R91" s="33"/>
      <c r="S91" s="17"/>
      <c r="T91" s="17"/>
      <c r="W91" s="15"/>
      <c r="X91" s="15"/>
      <c r="Y91" s="350"/>
      <c r="Z91" s="15"/>
      <c r="AA91" s="15"/>
      <c r="AB91" s="103"/>
      <c r="AC91" s="15"/>
      <c r="AD91" s="237"/>
      <c r="AE91" s="105"/>
      <c r="AF91" s="10"/>
      <c r="AG91" s="10"/>
      <c r="AJ91" s="15"/>
      <c r="AK91" s="10"/>
    </row>
    <row r="92" spans="1:37" x14ac:dyDescent="0.25">
      <c r="A92" s="331">
        <f t="shared" si="27"/>
        <v>1</v>
      </c>
      <c r="B92" s="197">
        <v>42522</v>
      </c>
      <c r="C92" s="38">
        <v>38938</v>
      </c>
      <c r="D92" s="27">
        <v>0</v>
      </c>
      <c r="E92" s="27">
        <v>18568</v>
      </c>
      <c r="F92" s="43">
        <v>57506</v>
      </c>
      <c r="G92" s="38">
        <v>220</v>
      </c>
      <c r="H92" s="27">
        <v>0</v>
      </c>
      <c r="I92" s="27">
        <v>514</v>
      </c>
      <c r="J92" s="488">
        <v>734</v>
      </c>
      <c r="K92" s="33"/>
      <c r="L92" s="33"/>
      <c r="M92" s="33"/>
      <c r="N92" s="33"/>
      <c r="O92" s="33"/>
      <c r="P92" s="33"/>
      <c r="Q92" s="33"/>
      <c r="R92" s="33"/>
      <c r="S92" s="17"/>
      <c r="T92" s="17"/>
      <c r="W92" s="15"/>
      <c r="X92" s="15"/>
      <c r="Y92" s="350"/>
      <c r="Z92" s="15"/>
      <c r="AA92" s="15"/>
      <c r="AB92" s="103"/>
      <c r="AC92" s="15"/>
      <c r="AD92" s="237"/>
      <c r="AE92" s="105"/>
      <c r="AF92" s="10"/>
      <c r="AG92" s="10"/>
      <c r="AJ92" s="15"/>
      <c r="AK92" s="10"/>
    </row>
    <row r="93" spans="1:37" x14ac:dyDescent="0.25">
      <c r="A93" s="331">
        <f t="shared" si="27"/>
        <v>1</v>
      </c>
      <c r="B93" s="201" t="s">
        <v>320</v>
      </c>
      <c r="C93" s="47">
        <v>34940</v>
      </c>
      <c r="D93" s="48">
        <v>0</v>
      </c>
      <c r="E93" s="48">
        <v>16100</v>
      </c>
      <c r="F93" s="48">
        <v>51041</v>
      </c>
      <c r="G93" s="47">
        <v>199</v>
      </c>
      <c r="H93" s="47" t="e">
        <v>#DIV/0!</v>
      </c>
      <c r="I93" s="48">
        <v>469</v>
      </c>
      <c r="J93" s="486">
        <v>668</v>
      </c>
      <c r="K93" s="33"/>
      <c r="L93" s="33"/>
      <c r="M93" s="33"/>
      <c r="N93" s="33"/>
      <c r="O93" s="33"/>
      <c r="P93" s="33"/>
      <c r="Q93" s="33"/>
      <c r="R93" s="33"/>
      <c r="S93" s="17"/>
      <c r="T93" s="17"/>
      <c r="W93" s="15"/>
      <c r="X93" s="15"/>
      <c r="Y93" s="350"/>
      <c r="Z93" s="15"/>
      <c r="AA93" s="15"/>
      <c r="AB93" s="103"/>
      <c r="AC93" s="15"/>
      <c r="AD93" s="237"/>
      <c r="AE93" s="105"/>
      <c r="AF93" s="10"/>
      <c r="AG93" s="10"/>
      <c r="AJ93" s="15"/>
      <c r="AK93" s="10"/>
    </row>
    <row r="94" spans="1:37" x14ac:dyDescent="0.25">
      <c r="A94" s="331">
        <f t="shared" si="27"/>
        <v>1</v>
      </c>
      <c r="B94" s="197">
        <v>42552</v>
      </c>
      <c r="C94" s="38">
        <v>39962</v>
      </c>
      <c r="D94" s="27">
        <v>0</v>
      </c>
      <c r="E94" s="27">
        <v>18968</v>
      </c>
      <c r="F94" s="43">
        <v>58930</v>
      </c>
      <c r="G94" s="38">
        <v>227</v>
      </c>
      <c r="H94" s="27">
        <v>0</v>
      </c>
      <c r="I94" s="27">
        <v>509</v>
      </c>
      <c r="J94" s="488">
        <v>736</v>
      </c>
      <c r="K94" s="33"/>
      <c r="L94" s="33"/>
      <c r="M94" s="33"/>
      <c r="N94" s="33"/>
      <c r="O94" s="33"/>
      <c r="P94" s="33"/>
      <c r="Q94" s="33"/>
      <c r="R94" s="33"/>
      <c r="S94" s="17"/>
      <c r="T94" s="17"/>
      <c r="W94" s="15"/>
      <c r="X94" s="15"/>
      <c r="Y94" s="350"/>
      <c r="Z94" s="15"/>
      <c r="AA94" s="15"/>
      <c r="AB94" s="103"/>
      <c r="AC94" s="15"/>
      <c r="AD94" s="237"/>
      <c r="AE94" s="105"/>
      <c r="AF94" s="10"/>
      <c r="AG94" s="10"/>
      <c r="AJ94" s="15"/>
      <c r="AK94" s="10"/>
    </row>
    <row r="95" spans="1:37" x14ac:dyDescent="0.25">
      <c r="A95" s="331">
        <f t="shared" si="27"/>
        <v>1</v>
      </c>
      <c r="B95" s="197">
        <v>42583</v>
      </c>
      <c r="C95" s="38">
        <v>41345</v>
      </c>
      <c r="D95" s="27">
        <v>0</v>
      </c>
      <c r="E95" s="27">
        <v>19419</v>
      </c>
      <c r="F95" s="43">
        <v>60764</v>
      </c>
      <c r="G95" s="38">
        <v>200</v>
      </c>
      <c r="H95" s="27">
        <v>0</v>
      </c>
      <c r="I95" s="27">
        <v>497</v>
      </c>
      <c r="J95" s="488">
        <v>697</v>
      </c>
      <c r="K95" s="33"/>
      <c r="L95" s="33"/>
      <c r="M95" s="33"/>
      <c r="N95" s="33"/>
      <c r="O95" s="33"/>
      <c r="P95" s="33"/>
      <c r="Q95" s="33"/>
      <c r="R95" s="33"/>
      <c r="S95" s="17"/>
      <c r="T95" s="17"/>
      <c r="W95" s="15"/>
      <c r="X95" s="15"/>
      <c r="Y95" s="350"/>
      <c r="Z95" s="15"/>
      <c r="AA95" s="15"/>
      <c r="AB95" s="103"/>
      <c r="AC95" s="15"/>
      <c r="AD95" s="237"/>
      <c r="AE95" s="105"/>
      <c r="AF95" s="10"/>
      <c r="AG95" s="10"/>
      <c r="AJ95" s="15"/>
      <c r="AK95" s="10"/>
    </row>
    <row r="96" spans="1:37" x14ac:dyDescent="0.25">
      <c r="A96" s="331">
        <f t="shared" si="27"/>
        <v>1</v>
      </c>
      <c r="B96" s="197">
        <v>42614</v>
      </c>
      <c r="C96" s="38">
        <v>41419</v>
      </c>
      <c r="D96" s="27">
        <v>0</v>
      </c>
      <c r="E96" s="27">
        <v>19945</v>
      </c>
      <c r="F96" s="43">
        <v>61364</v>
      </c>
      <c r="G96" s="38">
        <v>199</v>
      </c>
      <c r="H96" s="27">
        <v>0</v>
      </c>
      <c r="I96" s="27">
        <v>477</v>
      </c>
      <c r="J96" s="488">
        <v>676</v>
      </c>
      <c r="K96" s="33"/>
      <c r="L96" s="33"/>
      <c r="M96" s="33"/>
      <c r="N96" s="33"/>
      <c r="O96" s="33"/>
      <c r="P96" s="33"/>
      <c r="Q96" s="33"/>
      <c r="R96" s="33"/>
      <c r="S96" s="17"/>
      <c r="T96" s="17"/>
      <c r="W96" s="15"/>
      <c r="X96" s="15"/>
      <c r="Y96" s="350"/>
      <c r="Z96" s="15"/>
      <c r="AA96" s="15"/>
      <c r="AB96" s="103"/>
      <c r="AC96" s="15"/>
      <c r="AD96" s="237"/>
      <c r="AE96" s="105"/>
      <c r="AF96" s="10"/>
      <c r="AG96" s="10"/>
      <c r="AJ96" s="15"/>
      <c r="AK96" s="10"/>
    </row>
    <row r="97" spans="1:37" x14ac:dyDescent="0.25">
      <c r="A97" s="331">
        <f t="shared" si="27"/>
        <v>1</v>
      </c>
      <c r="B97" s="197">
        <v>42644</v>
      </c>
      <c r="C97" s="38">
        <v>40987</v>
      </c>
      <c r="D97" s="27">
        <v>0</v>
      </c>
      <c r="E97" s="27">
        <v>19751</v>
      </c>
      <c r="F97" s="43">
        <v>60738</v>
      </c>
      <c r="G97" s="38">
        <v>205</v>
      </c>
      <c r="H97" s="27">
        <v>0</v>
      </c>
      <c r="I97" s="27">
        <v>443</v>
      </c>
      <c r="J97" s="488">
        <v>648</v>
      </c>
      <c r="K97" s="33"/>
      <c r="L97" s="33"/>
      <c r="M97" s="33"/>
      <c r="N97" s="33"/>
      <c r="O97" s="33"/>
      <c r="P97" s="33"/>
      <c r="Q97" s="33"/>
      <c r="R97" s="33"/>
      <c r="S97" s="17"/>
      <c r="T97" s="17"/>
      <c r="W97" s="15"/>
      <c r="X97" s="15"/>
      <c r="Y97" s="350"/>
      <c r="Z97" s="15"/>
      <c r="AA97" s="15"/>
      <c r="AB97" s="103"/>
      <c r="AC97" s="15"/>
      <c r="AD97" s="237"/>
      <c r="AE97" s="105"/>
      <c r="AF97" s="10"/>
      <c r="AG97" s="10"/>
      <c r="AJ97" s="15"/>
      <c r="AK97" s="10"/>
    </row>
    <row r="98" spans="1:37" x14ac:dyDescent="0.25">
      <c r="A98" s="331">
        <f t="shared" si="27"/>
        <v>1</v>
      </c>
      <c r="B98" s="197">
        <v>42675</v>
      </c>
      <c r="C98" s="38">
        <v>40451</v>
      </c>
      <c r="D98" s="27">
        <v>0</v>
      </c>
      <c r="E98" s="27">
        <v>19205</v>
      </c>
      <c r="F98" s="43">
        <v>59656</v>
      </c>
      <c r="G98" s="38">
        <v>202</v>
      </c>
      <c r="H98" s="27">
        <v>0</v>
      </c>
      <c r="I98" s="27">
        <v>464</v>
      </c>
      <c r="J98" s="488">
        <v>666</v>
      </c>
      <c r="K98" s="33"/>
      <c r="L98" s="33"/>
      <c r="M98" s="33"/>
      <c r="N98" s="33"/>
      <c r="O98" s="33"/>
      <c r="P98" s="33"/>
      <c r="Q98" s="33"/>
      <c r="R98" s="33"/>
      <c r="S98" s="17"/>
      <c r="T98" s="17"/>
      <c r="W98" s="15"/>
      <c r="X98" s="15"/>
      <c r="Y98" s="350"/>
      <c r="Z98" s="15"/>
      <c r="AA98" s="15"/>
      <c r="AB98" s="103"/>
      <c r="AC98" s="15"/>
      <c r="AD98" s="237"/>
      <c r="AE98" s="105"/>
      <c r="AF98" s="10"/>
      <c r="AG98" s="10"/>
      <c r="AJ98" s="15"/>
      <c r="AK98" s="10"/>
    </row>
    <row r="99" spans="1:37" x14ac:dyDescent="0.25">
      <c r="A99" s="331">
        <f t="shared" si="27"/>
        <v>1</v>
      </c>
      <c r="B99" s="197">
        <v>42705</v>
      </c>
      <c r="C99" s="38">
        <v>41974</v>
      </c>
      <c r="D99" s="27">
        <v>0</v>
      </c>
      <c r="E99" s="27">
        <v>19860</v>
      </c>
      <c r="F99" s="43">
        <v>61834</v>
      </c>
      <c r="G99" s="38">
        <v>199</v>
      </c>
      <c r="H99" s="27">
        <v>0</v>
      </c>
      <c r="I99" s="27">
        <v>494</v>
      </c>
      <c r="J99" s="488">
        <v>693</v>
      </c>
      <c r="K99" s="33"/>
      <c r="L99" s="33"/>
      <c r="M99" s="33"/>
      <c r="N99" s="33"/>
      <c r="O99" s="33"/>
      <c r="P99" s="33"/>
      <c r="Q99" s="33"/>
      <c r="R99" s="33"/>
      <c r="S99" s="17"/>
      <c r="T99" s="17"/>
      <c r="W99" s="15"/>
      <c r="X99" s="15"/>
      <c r="Y99" s="350"/>
      <c r="Z99" s="15"/>
      <c r="AA99" s="15"/>
      <c r="AB99" s="103"/>
      <c r="AC99" s="15"/>
      <c r="AD99" s="237"/>
      <c r="AE99" s="105"/>
      <c r="AF99" s="10"/>
      <c r="AG99" s="10"/>
      <c r="AJ99" s="15"/>
      <c r="AK99" s="10"/>
    </row>
    <row r="100" spans="1:37" x14ac:dyDescent="0.25">
      <c r="A100" s="331">
        <f t="shared" si="27"/>
        <v>1</v>
      </c>
      <c r="B100" s="197">
        <v>42736</v>
      </c>
      <c r="C100" s="38">
        <v>42653</v>
      </c>
      <c r="D100" s="27">
        <v>0</v>
      </c>
      <c r="E100" s="27">
        <v>20732</v>
      </c>
      <c r="F100" s="43">
        <v>63385</v>
      </c>
      <c r="G100" s="38">
        <v>204</v>
      </c>
      <c r="H100" s="27">
        <v>0</v>
      </c>
      <c r="I100" s="27">
        <v>510</v>
      </c>
      <c r="J100" s="488">
        <v>714</v>
      </c>
      <c r="K100" s="33"/>
      <c r="L100" s="33"/>
      <c r="M100" s="33"/>
      <c r="N100" s="33"/>
      <c r="O100" s="33"/>
      <c r="P100" s="33"/>
      <c r="Q100" s="33"/>
      <c r="R100" s="33"/>
      <c r="S100" s="17"/>
      <c r="T100" s="17"/>
      <c r="W100" s="15"/>
      <c r="X100" s="15"/>
      <c r="Y100" s="350"/>
      <c r="Z100" s="15"/>
      <c r="AA100" s="15"/>
      <c r="AB100" s="103"/>
      <c r="AC100" s="15"/>
      <c r="AD100" s="237"/>
      <c r="AE100" s="105"/>
      <c r="AF100" s="10"/>
      <c r="AG100" s="10"/>
      <c r="AJ100" s="15"/>
      <c r="AK100" s="10"/>
    </row>
    <row r="101" spans="1:37" x14ac:dyDescent="0.25">
      <c r="A101" s="331">
        <f t="shared" si="27"/>
        <v>1</v>
      </c>
      <c r="B101" s="197">
        <v>42767</v>
      </c>
      <c r="C101" s="38">
        <v>43074</v>
      </c>
      <c r="D101" s="27">
        <v>0</v>
      </c>
      <c r="E101" s="27">
        <v>21191</v>
      </c>
      <c r="F101" s="43">
        <v>64265</v>
      </c>
      <c r="G101" s="38">
        <v>208</v>
      </c>
      <c r="H101" s="27">
        <v>0</v>
      </c>
      <c r="I101" s="27">
        <v>498</v>
      </c>
      <c r="J101" s="488">
        <v>706</v>
      </c>
      <c r="K101" s="33"/>
      <c r="L101" s="33"/>
      <c r="M101" s="33"/>
      <c r="N101" s="33"/>
      <c r="O101" s="33"/>
      <c r="P101" s="33"/>
      <c r="Q101" s="33"/>
      <c r="R101" s="33"/>
      <c r="S101" s="17"/>
      <c r="T101" s="17"/>
      <c r="W101" s="15"/>
      <c r="X101" s="15"/>
      <c r="Y101" s="350"/>
      <c r="Z101" s="15"/>
      <c r="AA101" s="15"/>
      <c r="AB101" s="103"/>
      <c r="AC101" s="15"/>
      <c r="AD101" s="237"/>
      <c r="AE101" s="105"/>
      <c r="AF101" s="10"/>
      <c r="AG101" s="10"/>
      <c r="AJ101" s="15"/>
      <c r="AK101" s="10"/>
    </row>
    <row r="102" spans="1:37" x14ac:dyDescent="0.25">
      <c r="A102" s="331">
        <f t="shared" si="27"/>
        <v>1</v>
      </c>
      <c r="B102" s="197">
        <v>42795</v>
      </c>
      <c r="C102" s="584">
        <v>47733</v>
      </c>
      <c r="D102" s="585">
        <v>0</v>
      </c>
      <c r="E102" s="585">
        <v>23867</v>
      </c>
      <c r="F102" s="586">
        <v>71600</v>
      </c>
      <c r="G102" s="584">
        <v>257</v>
      </c>
      <c r="H102" s="584">
        <v>0</v>
      </c>
      <c r="I102" s="585">
        <v>517</v>
      </c>
      <c r="J102" s="587">
        <v>774</v>
      </c>
      <c r="K102" s="33"/>
      <c r="L102" s="33"/>
      <c r="M102" s="33"/>
      <c r="N102" s="33"/>
      <c r="O102" s="33"/>
      <c r="P102" s="33"/>
      <c r="Q102" s="33"/>
      <c r="R102" s="33"/>
      <c r="S102" s="17"/>
      <c r="T102" s="17"/>
      <c r="W102" s="15"/>
      <c r="X102" s="15"/>
      <c r="Y102" s="350"/>
      <c r="Z102" s="15"/>
      <c r="AA102" s="15"/>
      <c r="AB102" s="103"/>
      <c r="AC102" s="15"/>
      <c r="AD102" s="237"/>
      <c r="AE102" s="105"/>
      <c r="AF102" s="10"/>
      <c r="AG102" s="10"/>
      <c r="AJ102" s="15"/>
      <c r="AK102" s="10"/>
    </row>
    <row r="103" spans="1:37" x14ac:dyDescent="0.25">
      <c r="A103" s="331">
        <f t="shared" si="27"/>
        <v>1</v>
      </c>
      <c r="B103" s="197">
        <v>42826</v>
      </c>
      <c r="C103" s="584">
        <v>49020</v>
      </c>
      <c r="D103" s="585">
        <v>0</v>
      </c>
      <c r="E103" s="585">
        <v>24052</v>
      </c>
      <c r="F103" s="586">
        <v>73072</v>
      </c>
      <c r="G103" s="584">
        <v>261</v>
      </c>
      <c r="H103" s="585">
        <v>0</v>
      </c>
      <c r="I103" s="585">
        <v>515</v>
      </c>
      <c r="J103" s="587">
        <v>776</v>
      </c>
      <c r="K103" s="33"/>
      <c r="L103" s="33"/>
      <c r="M103" s="33"/>
      <c r="N103" s="33"/>
      <c r="O103" s="33"/>
      <c r="P103" s="33"/>
      <c r="Q103" s="33"/>
      <c r="R103" s="33"/>
      <c r="S103" s="17"/>
      <c r="T103" s="17"/>
      <c r="W103" s="15"/>
      <c r="X103" s="15"/>
      <c r="Y103" s="350"/>
      <c r="Z103" s="15"/>
      <c r="AA103" s="15"/>
      <c r="AB103" s="103"/>
      <c r="AC103" s="15"/>
      <c r="AD103" s="237"/>
      <c r="AE103" s="105"/>
      <c r="AF103" s="10"/>
      <c r="AG103" s="10"/>
      <c r="AJ103" s="15"/>
      <c r="AK103" s="10"/>
    </row>
    <row r="104" spans="1:37" x14ac:dyDescent="0.25">
      <c r="A104" s="331">
        <f t="shared" si="27"/>
        <v>1</v>
      </c>
      <c r="B104" s="197">
        <v>42856</v>
      </c>
      <c r="C104" s="584">
        <v>49427</v>
      </c>
      <c r="D104" s="585">
        <v>0</v>
      </c>
      <c r="E104" s="585">
        <v>24136</v>
      </c>
      <c r="F104" s="586">
        <v>73563</v>
      </c>
      <c r="G104" s="584">
        <v>269</v>
      </c>
      <c r="H104" s="585">
        <v>0</v>
      </c>
      <c r="I104" s="585">
        <v>505</v>
      </c>
      <c r="J104" s="587">
        <v>774</v>
      </c>
      <c r="K104" s="33"/>
      <c r="L104" s="33"/>
      <c r="M104" s="33"/>
      <c r="N104" s="33"/>
      <c r="O104" s="33"/>
      <c r="P104" s="33"/>
      <c r="Q104" s="33"/>
      <c r="R104" s="33"/>
      <c r="S104" s="17"/>
      <c r="T104" s="17"/>
      <c r="W104" s="15"/>
      <c r="X104" s="15"/>
      <c r="Y104" s="350"/>
      <c r="Z104" s="15"/>
      <c r="AA104" s="15"/>
      <c r="AB104" s="103"/>
      <c r="AC104" s="15"/>
      <c r="AD104" s="237"/>
      <c r="AE104" s="105"/>
      <c r="AF104" s="10"/>
      <c r="AG104" s="10"/>
      <c r="AJ104" s="15"/>
      <c r="AK104" s="10"/>
    </row>
    <row r="105" spans="1:37" x14ac:dyDescent="0.25">
      <c r="A105" s="331">
        <f t="shared" si="27"/>
        <v>0</v>
      </c>
      <c r="B105" s="197">
        <v>42887</v>
      </c>
      <c r="C105" s="38"/>
      <c r="D105" s="27"/>
      <c r="E105" s="27"/>
      <c r="F105" s="43"/>
      <c r="G105" s="38"/>
      <c r="H105" s="27"/>
      <c r="I105" s="27"/>
      <c r="J105" s="488"/>
      <c r="K105" s="33"/>
      <c r="L105" s="33"/>
      <c r="M105" s="33"/>
      <c r="N105" s="33"/>
      <c r="O105" s="33"/>
      <c r="P105" s="33"/>
      <c r="Q105" s="33"/>
      <c r="R105" s="33"/>
      <c r="S105" s="17"/>
      <c r="T105" s="17"/>
      <c r="W105" s="15"/>
      <c r="X105" s="15"/>
      <c r="Y105" s="350"/>
      <c r="Z105" s="15"/>
      <c r="AA105" s="15"/>
      <c r="AB105" s="103"/>
      <c r="AC105" s="15"/>
      <c r="AD105" s="237"/>
      <c r="AE105" s="105"/>
      <c r="AF105" s="10"/>
      <c r="AG105" s="10"/>
      <c r="AJ105" s="15"/>
      <c r="AK105" s="10"/>
    </row>
    <row r="106" spans="1:37" x14ac:dyDescent="0.25">
      <c r="A106" s="331">
        <f t="shared" si="27"/>
        <v>0</v>
      </c>
      <c r="B106" s="197"/>
      <c r="C106" s="38"/>
      <c r="D106" s="27"/>
      <c r="E106" s="27"/>
      <c r="F106" s="43"/>
      <c r="G106" s="38"/>
      <c r="H106" s="27"/>
      <c r="I106" s="27"/>
      <c r="J106" s="488"/>
      <c r="K106" s="33"/>
      <c r="L106" s="33"/>
      <c r="M106" s="33"/>
      <c r="N106" s="33"/>
      <c r="O106" s="33"/>
      <c r="P106" s="33"/>
      <c r="Q106" s="33"/>
      <c r="R106" s="33"/>
      <c r="S106" s="17"/>
      <c r="T106" s="17"/>
      <c r="W106" s="15"/>
      <c r="X106" s="15"/>
      <c r="Y106" s="350"/>
      <c r="Z106" s="15"/>
      <c r="AA106" s="15"/>
      <c r="AB106" s="103"/>
      <c r="AC106" s="15"/>
      <c r="AD106" s="237"/>
      <c r="AE106" s="105"/>
      <c r="AF106" s="10"/>
      <c r="AG106" s="10"/>
      <c r="AJ106" s="15"/>
      <c r="AK106" s="10"/>
    </row>
    <row r="107" spans="1:37" x14ac:dyDescent="0.25">
      <c r="B107" s="205" t="s">
        <v>310</v>
      </c>
      <c r="C107" s="36">
        <f>+AVERAGE(C94:C105)</f>
        <v>43458.63636363636</v>
      </c>
      <c r="D107" s="37">
        <f t="shared" ref="D107:J107" si="39">+AVERAGE(D94:D105)</f>
        <v>0</v>
      </c>
      <c r="E107" s="37">
        <f t="shared" si="39"/>
        <v>21011.454545454544</v>
      </c>
      <c r="F107" s="53">
        <f t="shared" si="39"/>
        <v>64470.090909090912</v>
      </c>
      <c r="G107" s="36">
        <f t="shared" si="39"/>
        <v>221</v>
      </c>
      <c r="H107" s="37">
        <f t="shared" si="39"/>
        <v>0</v>
      </c>
      <c r="I107" s="37">
        <f t="shared" si="39"/>
        <v>493.54545454545456</v>
      </c>
      <c r="J107" s="489">
        <f t="shared" si="39"/>
        <v>714.5454545454545</v>
      </c>
      <c r="K107" s="37"/>
      <c r="L107" s="37"/>
      <c r="M107" s="37"/>
      <c r="N107" s="37"/>
      <c r="O107" s="37"/>
      <c r="P107" s="37"/>
      <c r="Q107" s="37"/>
      <c r="R107" s="37"/>
      <c r="AB107" s="103"/>
      <c r="AD107" s="33"/>
      <c r="AE107" s="105"/>
      <c r="AF107" s="10"/>
      <c r="AG107" s="10"/>
      <c r="AH107" s="15"/>
      <c r="AI107" s="15"/>
      <c r="AK107" s="10"/>
    </row>
    <row r="108" spans="1:37" s="122" customFormat="1" ht="15.75" customHeight="1" x14ac:dyDescent="0.25">
      <c r="B108" s="205" t="s">
        <v>311</v>
      </c>
      <c r="C108" s="38">
        <v>41022</v>
      </c>
      <c r="D108" s="27"/>
      <c r="E108" s="27">
        <v>20097</v>
      </c>
      <c r="F108" s="43">
        <v>61119</v>
      </c>
      <c r="G108" s="38">
        <v>258</v>
      </c>
      <c r="H108" s="27"/>
      <c r="I108" s="27">
        <v>575</v>
      </c>
      <c r="J108" s="488">
        <v>833</v>
      </c>
      <c r="K108" s="37"/>
      <c r="L108" s="37"/>
      <c r="M108" s="37"/>
      <c r="N108" s="37"/>
      <c r="O108" s="37"/>
      <c r="P108" s="37"/>
      <c r="Q108" s="37"/>
      <c r="R108" s="37"/>
      <c r="AB108" s="123"/>
      <c r="AD108" s="27"/>
      <c r="AE108" s="124"/>
      <c r="AF108" s="125"/>
      <c r="AG108" s="125"/>
      <c r="AH108" s="126"/>
      <c r="AI108" s="126"/>
      <c r="AK108" s="125"/>
    </row>
    <row r="109" spans="1:37" x14ac:dyDescent="0.25">
      <c r="B109" s="207" t="s">
        <v>18</v>
      </c>
      <c r="C109" s="38">
        <f t="array" ref="C109">IF(TEXT(MAX(IF($A$94:$A$105=1,$B$94:$B$105)),"mmmm")="July",C94-C92,INDEX(C$94:C$105,MATCH(TEXT(MAX(IF($A$94:$A$105=1,$B$94:$B$105)),"mmmm"),TEXT($B$94:$B$105,"mmmm"),0))-INDEX(C$94:C$105,MATCH(TEXT(MAX(IF($A$94:$A$105=1,$B$94:$B$105)),"mmmm"),TEXT($B$94:$B$105,"mmmm"),0)-1))</f>
        <v>407</v>
      </c>
      <c r="D109" s="27">
        <f t="array" ref="D109">IF(TEXT(MAX(IF($A$94:$A$105=1,$B$94:$B$105)),"mmmm")="July",D94-D92,INDEX(D$94:D$105,MATCH(TEXT(MAX(IF($A$94:$A$105=1,$B$94:$B$105)),"mmmm"),TEXT($B$94:$B$105,"mmmm"),0))-INDEX(D$94:D$105,MATCH(TEXT(MAX(IF($A$94:$A$105=1,$B$94:$B$105)),"mmmm"),TEXT($B$94:$B$105,"mmmm"),0)-1))</f>
        <v>0</v>
      </c>
      <c r="E109" s="27">
        <f t="array" ref="E109">IF(TEXT(MAX(IF($A$94:$A$105=1,$B$94:$B$105)),"mmmm")="July",E94-E92,INDEX(E$94:E$105,MATCH(TEXT(MAX(IF($A$94:$A$105=1,$B$94:$B$105)),"mmmm"),TEXT($B$94:$B$105,"mmmm"),0))-INDEX(E$94:E$105,MATCH(TEXT(MAX(IF($A$94:$A$105=1,$B$94:$B$105)),"mmmm"),TEXT($B$94:$B$105,"mmmm"),0)-1))</f>
        <v>84</v>
      </c>
      <c r="F109" s="43">
        <f t="array" ref="F109">IF(TEXT(MAX(IF($A$94:$A$105=1,$B$94:$B$105)),"mmmm")="July",F94-F92,INDEX(F$94:F$105,MATCH(TEXT(MAX(IF($A$94:$A$105=1,$B$94:$B$105)),"mmmm"),TEXT($B$94:$B$105,"mmmm"),0))-INDEX(F$94:F$105,MATCH(TEXT(MAX(IF($A$94:$A$105=1,$B$94:$B$105)),"mmmm"),TEXT($B$94:$B$105,"mmmm"),0)-1))</f>
        <v>491</v>
      </c>
      <c r="G109" s="38">
        <f t="array" ref="G109">IF(TEXT(MAX(IF($A$94:$A$105=1,$B$94:$B$105)),"mmmm")="July",G94-G92,INDEX(G$94:G$105,MATCH(TEXT(MAX(IF($A$94:$A$105=1,$B$94:$B$105)),"mmmm"),TEXT($B$94:$B$105,"mmmm"),0))-INDEX(G$94:G$105,MATCH(TEXT(MAX(IF($A$94:$A$105=1,$B$94:$B$105)),"mmmm"),TEXT($B$94:$B$105,"mmmm"),0)-1))</f>
        <v>8</v>
      </c>
      <c r="H109" s="27">
        <f t="array" ref="H109">IF(TEXT(MAX(IF($A$94:$A$105=1,$B$94:$B$105)),"mmmm")="July",H94-H92,INDEX(H$94:H$105,MATCH(TEXT(MAX(IF($A$94:$A$105=1,$B$94:$B$105)),"mmmm"),TEXT($B$94:$B$105,"mmmm"),0))-INDEX(H$94:H$105,MATCH(TEXT(MAX(IF($A$94:$A$105=1,$B$94:$B$105)),"mmmm"),TEXT($B$94:$B$105,"mmmm"),0)-1))</f>
        <v>0</v>
      </c>
      <c r="I109" s="27">
        <f t="array" ref="I109">IF(TEXT(MAX(IF($A$94:$A$105=1,$B$94:$B$105)),"mmmm")="July",I94-I92,INDEX(I$94:I$105,MATCH(TEXT(MAX(IF($A$94:$A$105=1,$B$94:$B$105)),"mmmm"),TEXT($B$94:$B$105,"mmmm"),0))-INDEX(I$94:I$105,MATCH(TEXT(MAX(IF($A$94:$A$105=1,$B$94:$B$105)),"mmmm"),TEXT($B$94:$B$105,"mmmm"),0)-1))</f>
        <v>-10</v>
      </c>
      <c r="J109" s="488">
        <f t="array" ref="J109">IF(TEXT(MAX(IF($A$94:$A$105=1,$B$94:$B$105)),"mmmm")="July",J94-J92,INDEX(J$94:J$105,MATCH(TEXT(MAX(IF($A$94:$A$105=1,$B$94:$B$105)),"mmmm"),TEXT($B$94:$B$105,"mmmm"),0))-INDEX(J$94:J$105,MATCH(TEXT(MAX(IF($A$94:$A$105=1,$B$94:$B$105)),"mmmm"),TEXT($B$94:$B$105,"mmmm"),0)-1))</f>
        <v>-2</v>
      </c>
      <c r="K109" s="27"/>
      <c r="L109" s="27"/>
      <c r="M109" s="27"/>
      <c r="N109" s="27"/>
      <c r="O109" s="27"/>
      <c r="P109" s="27"/>
      <c r="Q109" s="27"/>
      <c r="R109" s="27"/>
      <c r="AB109" s="103"/>
      <c r="AD109" s="33"/>
      <c r="AE109" s="105"/>
      <c r="AF109" s="10"/>
      <c r="AG109" s="10"/>
      <c r="AH109" s="15"/>
      <c r="AI109" s="15"/>
      <c r="AK109" s="10"/>
    </row>
    <row r="110" spans="1:37" x14ac:dyDescent="0.25">
      <c r="B110" s="207" t="s">
        <v>21</v>
      </c>
      <c r="C110" s="54">
        <f t="array" ref="C110">IF(TEXT(MAX(IF($A$94:$A$105=1,$B$94:$B$105)),"mmmm")="July",C109/C92,C109/INDEX(C$94:C$105,MATCH(TEXT(MAX(IF($A$94:$A$105=1,$B$94:$B$105)),"mmmm"),TEXT($B$94:$B$105,"mmmm"),0)-1))</f>
        <v>8.3027335781313757E-3</v>
      </c>
      <c r="D110" s="28" t="e">
        <f t="array" ref="D110">IF(TEXT(MAX(IF($A$94:$A$105=1,$B$94:$B$105)),"mmmm")="July",D109/D92,D109/INDEX(D$94:D$105,MATCH(TEXT(MAX(IF($A$94:$A$105=1,$B$94:$B$105)),"mmmm"),TEXT($B$94:$B$105,"mmmm"),0)-1))</f>
        <v>#DIV/0!</v>
      </c>
      <c r="E110" s="28">
        <f t="array" ref="E110">IF(TEXT(MAX(IF($A$94:$A$105=1,$B$94:$B$105)),"mmmm")="July",E109/E92,E109/INDEX(E$94:E$105,MATCH(TEXT(MAX(IF($A$94:$A$105=1,$B$94:$B$105)),"mmmm"),TEXT($B$94:$B$105,"mmmm"),0)-1))</f>
        <v>3.4924330616996507E-3</v>
      </c>
      <c r="F110" s="52">
        <f t="array" ref="F110">IF(TEXT(MAX(IF($A$94:$A$105=1,$B$94:$B$105)),"mmmm")="July",F109/F92,F109/INDEX(F$94:F$105,MATCH(TEXT(MAX(IF($A$94:$A$105=1,$B$94:$B$105)),"mmmm"),TEXT($B$94:$B$105,"mmmm"),0)-1))</f>
        <v>6.7194000437924241E-3</v>
      </c>
      <c r="G110" s="54">
        <f t="array" ref="G110">IF(TEXT(MAX(IF($A$94:$A$105=1,$B$94:$B$105)),"mmmm")="July",G109/G92,G109/INDEX(G$94:G$105,MATCH(TEXT(MAX(IF($A$94:$A$105=1,$B$94:$B$105)),"mmmm"),TEXT($B$94:$B$105,"mmmm"),0)-1))</f>
        <v>3.0651340996168581E-2</v>
      </c>
      <c r="H110" s="28" t="e">
        <f t="array" ref="H110">IF(TEXT(MAX(IF($A$94:$A$105=1,$B$94:$B$105)),"mmmm")="July",H109/H92,H109/INDEX(H$94:H$105,MATCH(TEXT(MAX(IF($A$94:$A$105=1,$B$94:$B$105)),"mmmm"),TEXT($B$94:$B$105,"mmmm"),0)-1))</f>
        <v>#DIV/0!</v>
      </c>
      <c r="I110" s="28">
        <f t="array" ref="I110">IF(TEXT(MAX(IF($A$94:$A$105=1,$B$94:$B$105)),"mmmm")="July",I109/I92,I109/INDEX(I$94:I$105,MATCH(TEXT(MAX(IF($A$94:$A$105=1,$B$94:$B$105)),"mmmm"),TEXT($B$94:$B$105,"mmmm"),0)-1))</f>
        <v>-1.9417475728155338E-2</v>
      </c>
      <c r="J110" s="490">
        <f t="array" ref="J110">IF(TEXT(MAX(IF($A$94:$A$105=1,$B$94:$B$105)),"mmmm")="July",J109/J92,J109/INDEX(J$94:J$105,MATCH(TEXT(MAX(IF($A$94:$A$105=1,$B$94:$B$105)),"mmmm"),TEXT($B$94:$B$105,"mmmm"),0)-1))</f>
        <v>-2.5773195876288659E-3</v>
      </c>
      <c r="K110" s="28"/>
      <c r="L110" s="28"/>
      <c r="M110" s="28"/>
      <c r="N110" s="28"/>
      <c r="O110" s="28"/>
      <c r="P110" s="28"/>
      <c r="Q110" s="28"/>
      <c r="R110" s="28"/>
      <c r="AB110" s="430"/>
    </row>
    <row r="111" spans="1:37" x14ac:dyDescent="0.25">
      <c r="B111" s="207" t="s">
        <v>36</v>
      </c>
      <c r="C111" s="38">
        <f t="array" ref="C111">INDEX(C$94:C$105,MATCH(TEXT(MAX(IF($A$94:$A$105=1,$B$94:$B$105)),"mmmm"),TEXT($B$94:$B$105,"mmmm"),0))-INDEX(C$81:C$92,MATCH(TEXT(MAX(IF($A$94:$A$105=1,$B$94:$B$105)),"mmmm"),TEXT($B$81:$B$92,"mmmm"),0))</f>
        <v>11408</v>
      </c>
      <c r="D111" s="27">
        <f t="array" ref="D111">INDEX(D$94:D$105,MATCH(TEXT(MAX(IF($A$94:$A$105=1,$B$94:$B$105)),"mmmm"),TEXT($B$94:$B$105,"mmmm"),0))-INDEX(D$81:D$92,MATCH(TEXT(MAX(IF($A$94:$A$105=1,$B$94:$B$105)),"mmmm"),TEXT($B$81:$B$92,"mmmm"),0))</f>
        <v>0</v>
      </c>
      <c r="E111" s="27">
        <f t="array" ref="E111">INDEX(E$94:E$105,MATCH(TEXT(MAX(IF($A$94:$A$105=1,$B$94:$B$105)),"mmmm"),TEXT($B$94:$B$105,"mmmm"),0))-INDEX(E$81:E$92,MATCH(TEXT(MAX(IF($A$94:$A$105=1,$B$94:$B$105)),"mmmm"),TEXT($B$81:$B$92,"mmmm"),0))</f>
        <v>5932</v>
      </c>
      <c r="F111" s="43">
        <f t="array" ref="F111">INDEX(F$94:F$105,MATCH(TEXT(MAX(IF($A$94:$A$105=1,$B$94:$B$105)),"mmmm"),TEXT($B$94:$B$105,"mmmm"),0))-INDEX(F$81:F$92,MATCH(TEXT(MAX(IF($A$94:$A$105=1,$B$94:$B$105)),"mmmm"),TEXT($B$81:$B$92,"mmmm"),0))</f>
        <v>17340</v>
      </c>
      <c r="G111" s="38">
        <f t="array" ref="G111">INDEX(G$94:G$105,MATCH(TEXT(MAX(IF($A$94:$A$105=1,$B$94:$B$105)),"mmmm"),TEXT($B$94:$B$105,"mmmm"),0))-INDEX(G$81:G$92,MATCH(TEXT(MAX(IF($A$94:$A$105=1,$B$94:$B$105)),"mmmm"),TEXT($B$81:$B$92,"mmmm"),0))</f>
        <v>44</v>
      </c>
      <c r="H111" s="27">
        <f t="array" ref="H111">INDEX(H$94:H$105,MATCH(TEXT(MAX(IF($A$94:$A$105=1,$B$94:$B$105)),"mmmm"),TEXT($B$94:$B$105,"mmmm"),0))-INDEX(H$81:H$92,MATCH(TEXT(MAX(IF($A$94:$A$105=1,$B$94:$B$105)),"mmmm"),TEXT($B$81:$B$92,"mmmm"),0))</f>
        <v>0</v>
      </c>
      <c r="I111" s="27">
        <f t="array" ref="I111">INDEX(I$94:I$105,MATCH(TEXT(MAX(IF($A$94:$A$105=1,$B$94:$B$105)),"mmmm"),TEXT($B$94:$B$105,"mmmm"),0))-INDEX(I$81:I$92,MATCH(TEXT(MAX(IF($A$94:$A$105=1,$B$94:$B$105)),"mmmm"),TEXT($B$81:$B$92,"mmmm"),0))</f>
        <v>-10</v>
      </c>
      <c r="J111" s="488">
        <f t="array" ref="J111">INDEX(J$94:J$105,MATCH(TEXT(MAX(IF($A$94:$A$105=1,$B$94:$B$105)),"mmmm"),TEXT($B$94:$B$105,"mmmm"),0))-INDEX(J$81:J$92,MATCH(TEXT(MAX(IF($A$94:$A$105=1,$B$94:$B$105)),"mmmm"),TEXT($B$81:$B$92,"mmmm"),0))</f>
        <v>34</v>
      </c>
      <c r="K111" s="27"/>
      <c r="L111" s="27"/>
      <c r="M111" s="27"/>
      <c r="N111" s="27"/>
      <c r="O111" s="27"/>
      <c r="P111" s="27"/>
      <c r="Q111" s="27"/>
      <c r="R111" s="27"/>
      <c r="AB111" s="430"/>
    </row>
    <row r="112" spans="1:37" ht="16.5" thickBot="1" x14ac:dyDescent="0.3">
      <c r="B112" s="207" t="s">
        <v>37</v>
      </c>
      <c r="C112" s="54">
        <f t="array" ref="C112">C111/INDEX(C$81:C$92,MATCH(TEXT(MAX(IF($A$94:$A$105=1,$B$94:$B$105)),"mmmm"),TEXT($B$81:$B$92,"mmmm"),0))</f>
        <v>0.30006049606775559</v>
      </c>
      <c r="D112" s="28" t="e">
        <f t="array" ref="D112">D111/INDEX(D$81:D$92,MATCH(TEXT(MAX(IF($A$94:$A$105=1,$B$94:$B$105)),"mmmm"),TEXT($B$81:$B$92,"mmmm"),0))</f>
        <v>#DIV/0!</v>
      </c>
      <c r="E112" s="28">
        <f t="array" ref="E112">E111/INDEX(E$81:E$92,MATCH(TEXT(MAX(IF($A$94:$A$105=1,$B$94:$B$105)),"mmmm"),TEXT($B$81:$B$92,"mmmm"),0))</f>
        <v>0.3258624478136673</v>
      </c>
      <c r="F112" s="52">
        <f t="array" ref="F112">F111/INDEX(F$81:F$92,MATCH(TEXT(MAX(IF($A$94:$A$105=1,$B$94:$B$105)),"mmmm"),TEXT($B$81:$B$92,"mmmm"),0))</f>
        <v>0.30841470572541485</v>
      </c>
      <c r="G112" s="54">
        <f t="array" ref="G112">G111/INDEX(G$81:G$92,MATCH(TEXT(MAX(IF($A$94:$A$105=1,$B$94:$B$105)),"mmmm"),TEXT($B$81:$B$92,"mmmm"),0))</f>
        <v>0.19555555555555557</v>
      </c>
      <c r="H112" s="28" t="e">
        <f t="array" ref="H112">H111/INDEX(H$81:H$92,MATCH(TEXT(MAX(IF($A$94:$A$105=1,$B$94:$B$105)),"mmmm"),TEXT($B$81:$B$92,"mmmm"),0))</f>
        <v>#DIV/0!</v>
      </c>
      <c r="I112" s="28">
        <f t="array" ref="I112">I111/INDEX(I$81:I$92,MATCH(TEXT(MAX(IF($A$94:$A$105=1,$B$94:$B$105)),"mmmm"),TEXT($B$81:$B$92,"mmmm"),0))</f>
        <v>-1.9417475728155338E-2</v>
      </c>
      <c r="J112" s="490">
        <f t="array" ref="J112">J111/INDEX(J$81:J$92,MATCH(TEXT(MAX(IF($A$94:$A$105=1,$B$94:$B$105)),"mmmm"),TEXT($B$81:$B$92,"mmmm"),0))</f>
        <v>4.5945945945945948E-2</v>
      </c>
      <c r="K112" s="28"/>
      <c r="L112" s="28"/>
      <c r="M112" s="28"/>
      <c r="N112" s="28"/>
      <c r="O112" s="28"/>
      <c r="P112" s="28"/>
      <c r="Q112" s="28"/>
      <c r="R112" s="28"/>
      <c r="AB112" s="430"/>
    </row>
    <row r="113" spans="1:37" x14ac:dyDescent="0.25">
      <c r="B113" s="765" t="s">
        <v>24</v>
      </c>
      <c r="C113" s="766"/>
      <c r="D113" s="766"/>
      <c r="E113" s="766"/>
      <c r="F113" s="766"/>
      <c r="G113" s="766"/>
      <c r="H113" s="766"/>
      <c r="I113" s="766"/>
      <c r="J113" s="767"/>
      <c r="K113" s="127"/>
      <c r="L113" s="128"/>
      <c r="M113" s="127"/>
      <c r="N113" s="127"/>
      <c r="O113" s="127"/>
      <c r="P113" s="127"/>
      <c r="Q113" s="127"/>
      <c r="R113" s="127"/>
      <c r="AB113" s="430"/>
    </row>
    <row r="114" spans="1:37" x14ac:dyDescent="0.25">
      <c r="B114" s="768" t="s">
        <v>38</v>
      </c>
      <c r="C114" s="727"/>
      <c r="D114" s="727"/>
      <c r="E114" s="727"/>
      <c r="F114" s="727"/>
      <c r="G114" s="727"/>
      <c r="H114" s="727"/>
      <c r="I114" s="727"/>
      <c r="J114" s="728"/>
      <c r="K114" s="129"/>
      <c r="L114" s="129"/>
      <c r="M114" s="129"/>
      <c r="N114" s="129"/>
      <c r="O114" s="129"/>
      <c r="P114" s="129"/>
      <c r="Q114" s="129"/>
      <c r="R114" s="129"/>
    </row>
    <row r="115" spans="1:37" s="122" customFormat="1" ht="27.75" hidden="1" customHeight="1" thickBot="1" x14ac:dyDescent="0.3">
      <c r="B115" s="769" t="s">
        <v>298</v>
      </c>
      <c r="C115" s="770"/>
      <c r="D115" s="770"/>
      <c r="E115" s="770"/>
      <c r="F115" s="770"/>
      <c r="G115" s="770"/>
      <c r="H115" s="770"/>
      <c r="I115" s="770"/>
      <c r="J115" s="771"/>
      <c r="K115" s="129"/>
      <c r="L115" s="129"/>
      <c r="M115" s="129"/>
      <c r="N115" s="129"/>
      <c r="O115" s="129"/>
      <c r="P115" s="129"/>
      <c r="Q115" s="129"/>
      <c r="R115" s="129"/>
      <c r="AB115" s="130"/>
    </row>
    <row r="116" spans="1:37" s="15" customFormat="1" ht="39.75" thickBot="1" x14ac:dyDescent="0.3">
      <c r="A116" s="563" t="s">
        <v>355</v>
      </c>
      <c r="B116" s="772" t="s">
        <v>350</v>
      </c>
      <c r="C116" s="773"/>
      <c r="D116" s="773"/>
      <c r="E116" s="773"/>
      <c r="F116" s="773"/>
      <c r="G116" s="773"/>
      <c r="H116" s="773"/>
      <c r="I116" s="773"/>
      <c r="J116" s="774"/>
      <c r="K116" s="129"/>
      <c r="L116" s="129"/>
      <c r="M116" s="129"/>
      <c r="N116" s="129"/>
      <c r="O116" s="129"/>
      <c r="P116" s="129"/>
      <c r="Q116" s="129"/>
      <c r="R116" s="129"/>
      <c r="AB116" s="102"/>
      <c r="AC116" s="430"/>
      <c r="AD116" s="430"/>
      <c r="AE116" s="430"/>
      <c r="AF116" s="430"/>
      <c r="AG116" s="430"/>
      <c r="AH116" s="430"/>
      <c r="AI116" s="430"/>
      <c r="AJ116" s="430"/>
      <c r="AK116" s="430"/>
    </row>
    <row r="117" spans="1:37" s="15" customFormat="1" x14ac:dyDescent="0.25">
      <c r="B117" s="360"/>
      <c r="C117" s="360"/>
      <c r="D117" s="360"/>
      <c r="E117" s="360"/>
      <c r="F117" s="360"/>
      <c r="G117" s="360"/>
      <c r="H117" s="360"/>
      <c r="I117" s="360"/>
      <c r="J117" s="360"/>
      <c r="K117" s="129"/>
      <c r="L117" s="129"/>
      <c r="M117" s="129"/>
      <c r="N117" s="129"/>
      <c r="O117" s="129"/>
      <c r="P117" s="129"/>
      <c r="Q117" s="129"/>
      <c r="R117" s="129"/>
      <c r="AB117" s="102"/>
      <c r="AC117" s="430"/>
      <c r="AD117" s="430"/>
      <c r="AE117" s="430"/>
      <c r="AF117" s="430"/>
      <c r="AG117" s="430"/>
      <c r="AH117" s="430"/>
      <c r="AI117" s="430"/>
      <c r="AJ117" s="430"/>
      <c r="AK117" s="430"/>
    </row>
    <row r="118" spans="1:37" s="15" customFormat="1" x14ac:dyDescent="0.25">
      <c r="B118" s="129"/>
      <c r="C118" s="129"/>
      <c r="D118" s="129"/>
      <c r="E118" s="131"/>
      <c r="F118" s="131"/>
      <c r="G118" s="129"/>
      <c r="H118" s="129"/>
      <c r="I118" s="129"/>
      <c r="J118" s="129"/>
      <c r="K118" s="129"/>
      <c r="L118" s="129"/>
      <c r="M118" s="129"/>
      <c r="N118" s="129"/>
      <c r="O118" s="129"/>
      <c r="P118" s="129"/>
      <c r="Q118" s="129"/>
      <c r="R118" s="129"/>
      <c r="AB118" s="102"/>
      <c r="AC118" s="430"/>
      <c r="AH118" s="430"/>
      <c r="AI118" s="430"/>
      <c r="AJ118" s="430"/>
    </row>
    <row r="119" spans="1:37" s="15" customFormat="1" x14ac:dyDescent="0.25">
      <c r="B119" s="129"/>
      <c r="C119" s="129"/>
      <c r="D119" s="129"/>
      <c r="E119" s="129"/>
      <c r="F119" s="131"/>
      <c r="G119" s="132"/>
      <c r="H119" s="129"/>
      <c r="I119" s="129"/>
      <c r="J119" s="129"/>
      <c r="K119" s="129"/>
      <c r="L119" s="129"/>
      <c r="M119" s="129"/>
      <c r="N119" s="129"/>
      <c r="O119" s="129"/>
      <c r="P119" s="129"/>
      <c r="Q119" s="129"/>
      <c r="R119" s="129"/>
      <c r="AB119" s="102"/>
      <c r="AC119" s="430"/>
      <c r="AH119" s="430"/>
      <c r="AI119" s="430"/>
      <c r="AJ119" s="430"/>
    </row>
    <row r="120" spans="1:37" x14ac:dyDescent="0.25">
      <c r="B120" s="129"/>
      <c r="C120" s="129"/>
      <c r="D120" s="129"/>
      <c r="E120" s="129"/>
      <c r="F120" s="129"/>
      <c r="G120" s="129"/>
      <c r="H120" s="129"/>
      <c r="I120" s="129"/>
      <c r="J120" s="129"/>
      <c r="K120" s="17"/>
      <c r="L120" s="17"/>
      <c r="M120" s="17"/>
      <c r="N120" s="17"/>
      <c r="O120" s="17"/>
      <c r="P120" s="17"/>
      <c r="Q120" s="17"/>
      <c r="R120" s="17"/>
      <c r="S120" s="17"/>
      <c r="T120" s="17"/>
      <c r="U120" s="17"/>
      <c r="V120" s="17"/>
      <c r="W120" s="17"/>
      <c r="X120" s="17"/>
      <c r="AD120" s="15"/>
      <c r="AE120" s="15"/>
      <c r="AF120" s="15"/>
      <c r="AG120" s="15"/>
      <c r="AK120" s="15"/>
    </row>
    <row r="121" spans="1:37" x14ac:dyDescent="0.25">
      <c r="B121" s="121"/>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37" x14ac:dyDescent="0.25">
      <c r="B122" s="121"/>
      <c r="C122" s="17"/>
      <c r="D122" s="17"/>
      <c r="E122" s="17"/>
      <c r="F122" s="17"/>
      <c r="G122" s="17"/>
      <c r="H122" s="17"/>
      <c r="I122" s="17"/>
      <c r="J122" s="17"/>
    </row>
    <row r="125" spans="1:37" x14ac:dyDescent="0.25">
      <c r="C125" s="17"/>
      <c r="D125" s="17"/>
      <c r="E125" s="17"/>
      <c r="F125" s="17"/>
      <c r="G125" s="17"/>
      <c r="H125" s="17"/>
      <c r="I125" s="17"/>
      <c r="J125" s="17"/>
    </row>
    <row r="128" spans="1:37" x14ac:dyDescent="0.25">
      <c r="K128" s="17"/>
      <c r="L128" s="17"/>
      <c r="M128" s="17"/>
      <c r="N128" s="17"/>
      <c r="O128" s="17"/>
      <c r="P128" s="17"/>
      <c r="Q128" s="17"/>
      <c r="R128" s="17"/>
      <c r="S128" s="97"/>
      <c r="T128" s="97"/>
      <c r="U128" s="97"/>
      <c r="V128" s="97"/>
      <c r="W128" s="97"/>
      <c r="X128" s="97"/>
      <c r="Z128" s="17"/>
      <c r="AA128" s="97"/>
    </row>
    <row r="129" spans="6:27" x14ac:dyDescent="0.25">
      <c r="F129" s="17"/>
      <c r="G129" s="97"/>
      <c r="J129" s="17"/>
      <c r="K129" s="17"/>
      <c r="L129" s="17"/>
      <c r="M129" s="17"/>
      <c r="N129" s="17"/>
      <c r="O129" s="17"/>
      <c r="P129" s="17"/>
      <c r="Q129" s="17"/>
      <c r="R129" s="17"/>
      <c r="S129" s="97"/>
      <c r="T129" s="97"/>
      <c r="U129" s="97"/>
      <c r="V129" s="97"/>
      <c r="W129" s="97"/>
      <c r="X129" s="97"/>
      <c r="Z129" s="17"/>
      <c r="AA129" s="97"/>
    </row>
    <row r="130" spans="6:27" x14ac:dyDescent="0.25">
      <c r="F130" s="17"/>
      <c r="G130" s="97"/>
      <c r="J130" s="17"/>
      <c r="K130" s="17"/>
      <c r="L130" s="17"/>
      <c r="M130" s="17"/>
      <c r="N130" s="17"/>
      <c r="O130" s="17"/>
      <c r="P130" s="17"/>
      <c r="Q130" s="17"/>
      <c r="R130" s="17"/>
      <c r="S130" s="97"/>
      <c r="T130" s="97"/>
      <c r="U130" s="97"/>
      <c r="V130" s="97"/>
      <c r="W130" s="97"/>
      <c r="X130" s="97"/>
      <c r="Z130" s="17"/>
      <c r="AA130" s="97"/>
    </row>
    <row r="131" spans="6:27" x14ac:dyDescent="0.25">
      <c r="F131" s="17"/>
      <c r="G131" s="97"/>
      <c r="J131" s="17"/>
      <c r="K131" s="17"/>
      <c r="L131" s="17"/>
      <c r="M131" s="17"/>
      <c r="N131" s="17"/>
      <c r="O131" s="17"/>
      <c r="P131" s="17"/>
      <c r="Q131" s="17"/>
      <c r="R131" s="17"/>
      <c r="S131" s="97"/>
      <c r="T131" s="97"/>
      <c r="U131" s="97"/>
      <c r="V131" s="97"/>
      <c r="W131" s="97"/>
      <c r="X131" s="97"/>
      <c r="Z131" s="17"/>
      <c r="AA131" s="97"/>
    </row>
    <row r="132" spans="6:27" x14ac:dyDescent="0.25">
      <c r="F132" s="17"/>
      <c r="G132" s="97"/>
      <c r="J132" s="17"/>
      <c r="K132" s="17"/>
      <c r="L132" s="17"/>
      <c r="M132" s="17"/>
      <c r="N132" s="17"/>
      <c r="O132" s="17"/>
      <c r="P132" s="17"/>
      <c r="Q132" s="17"/>
      <c r="R132" s="17"/>
      <c r="S132" s="97"/>
      <c r="T132" s="97"/>
      <c r="U132" s="97"/>
      <c r="V132" s="97"/>
      <c r="W132" s="97"/>
      <c r="X132" s="97"/>
      <c r="Z132" s="17"/>
      <c r="AA132" s="97"/>
    </row>
    <row r="133" spans="6:27" x14ac:dyDescent="0.25">
      <c r="F133" s="17"/>
      <c r="G133" s="97"/>
      <c r="J133" s="17"/>
      <c r="K133" s="17"/>
      <c r="L133" s="17"/>
      <c r="M133" s="17"/>
      <c r="N133" s="17"/>
      <c r="O133" s="17"/>
      <c r="P133" s="17"/>
      <c r="Q133" s="17"/>
      <c r="R133" s="17"/>
      <c r="S133" s="97"/>
      <c r="T133" s="97"/>
      <c r="U133" s="97"/>
      <c r="V133" s="97"/>
      <c r="W133" s="97"/>
      <c r="X133" s="97"/>
      <c r="Z133" s="17"/>
      <c r="AA133" s="97"/>
    </row>
    <row r="134" spans="6:27" x14ac:dyDescent="0.25">
      <c r="F134" s="17"/>
      <c r="G134" s="97"/>
      <c r="J134" s="17"/>
      <c r="K134" s="17"/>
      <c r="L134" s="17"/>
      <c r="M134" s="17"/>
      <c r="N134" s="17"/>
      <c r="O134" s="17"/>
      <c r="P134" s="17"/>
      <c r="Q134" s="17"/>
      <c r="R134" s="17"/>
      <c r="S134" s="97"/>
      <c r="T134" s="97"/>
      <c r="U134" s="97"/>
      <c r="V134" s="97"/>
      <c r="W134" s="97"/>
      <c r="X134" s="97"/>
      <c r="Z134" s="17"/>
      <c r="AA134" s="97"/>
    </row>
    <row r="135" spans="6:27" x14ac:dyDescent="0.25">
      <c r="F135" s="17"/>
      <c r="G135" s="97"/>
      <c r="J135" s="17"/>
      <c r="K135" s="17"/>
      <c r="L135" s="17"/>
      <c r="M135" s="17"/>
      <c r="N135" s="17"/>
      <c r="O135" s="17"/>
      <c r="P135" s="17"/>
      <c r="Q135" s="17"/>
      <c r="R135" s="17"/>
      <c r="S135" s="97"/>
      <c r="T135" s="97"/>
      <c r="U135" s="97"/>
      <c r="V135" s="97"/>
      <c r="W135" s="97"/>
      <c r="X135" s="97"/>
      <c r="Z135" s="17"/>
      <c r="AA135" s="97"/>
    </row>
    <row r="136" spans="6:27" x14ac:dyDescent="0.25">
      <c r="F136" s="17"/>
      <c r="G136" s="97"/>
      <c r="J136" s="17"/>
      <c r="K136" s="17"/>
      <c r="L136" s="17"/>
      <c r="M136" s="17"/>
      <c r="N136" s="17"/>
      <c r="O136" s="17"/>
      <c r="P136" s="17"/>
      <c r="Q136" s="17"/>
      <c r="R136" s="17"/>
      <c r="S136" s="97"/>
      <c r="T136" s="97"/>
      <c r="U136" s="97"/>
      <c r="V136" s="97"/>
      <c r="W136" s="97"/>
      <c r="X136" s="97"/>
      <c r="Z136" s="17"/>
      <c r="AA136" s="97"/>
    </row>
    <row r="137" spans="6:27" x14ac:dyDescent="0.25">
      <c r="F137" s="17"/>
      <c r="G137" s="97"/>
      <c r="J137" s="17"/>
      <c r="K137" s="17"/>
      <c r="L137" s="17"/>
      <c r="M137" s="17"/>
      <c r="N137" s="17"/>
      <c r="O137" s="17"/>
      <c r="P137" s="17"/>
      <c r="Q137" s="17"/>
      <c r="R137" s="17"/>
      <c r="S137" s="97"/>
      <c r="T137" s="97"/>
      <c r="U137" s="97"/>
      <c r="V137" s="97"/>
      <c r="W137" s="97"/>
      <c r="X137" s="97"/>
      <c r="Z137" s="17"/>
      <c r="AA137" s="97"/>
    </row>
    <row r="138" spans="6:27" x14ac:dyDescent="0.25">
      <c r="F138" s="17"/>
      <c r="G138" s="97"/>
      <c r="J138" s="17"/>
      <c r="K138" s="17"/>
      <c r="L138" s="17"/>
      <c r="M138" s="17"/>
      <c r="N138" s="17"/>
      <c r="O138" s="17"/>
      <c r="P138" s="17"/>
      <c r="Q138" s="17"/>
      <c r="R138" s="17"/>
      <c r="S138" s="97"/>
      <c r="T138" s="97"/>
      <c r="U138" s="97"/>
      <c r="V138" s="97"/>
      <c r="W138" s="97"/>
      <c r="X138" s="97"/>
      <c r="Z138" s="17"/>
      <c r="AA138" s="97"/>
    </row>
    <row r="139" spans="6:27" x14ac:dyDescent="0.25">
      <c r="F139" s="17"/>
      <c r="G139" s="97"/>
      <c r="J139" s="17"/>
      <c r="K139" s="17"/>
      <c r="L139" s="17"/>
      <c r="M139" s="17"/>
      <c r="N139" s="17"/>
      <c r="O139" s="17"/>
      <c r="P139" s="17"/>
      <c r="Q139" s="17"/>
      <c r="R139" s="17"/>
      <c r="S139" s="97"/>
      <c r="T139" s="97"/>
      <c r="U139" s="97"/>
      <c r="V139" s="97"/>
      <c r="W139" s="97"/>
      <c r="X139" s="97"/>
      <c r="Z139" s="17"/>
      <c r="AA139" s="97"/>
    </row>
    <row r="140" spans="6:27" x14ac:dyDescent="0.25">
      <c r="F140" s="17"/>
      <c r="G140" s="97"/>
      <c r="J140" s="17"/>
    </row>
  </sheetData>
  <dataConsolidate link="1"/>
  <mergeCells count="11">
    <mergeCell ref="W59:AA59"/>
    <mergeCell ref="AB59:AF59"/>
    <mergeCell ref="W60:X60"/>
    <mergeCell ref="Z60:AA60"/>
    <mergeCell ref="AB60:AC60"/>
    <mergeCell ref="AE60:AF60"/>
    <mergeCell ref="B113:J113"/>
    <mergeCell ref="B114:J114"/>
    <mergeCell ref="B115:J115"/>
    <mergeCell ref="B116:J116"/>
    <mergeCell ref="B1:J1"/>
  </mergeCells>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0"/>
  <sheetViews>
    <sheetView view="pageBreakPreview" topLeftCell="A13" zoomScale="80" zoomScaleNormal="100" zoomScaleSheetLayoutView="80" workbookViewId="0">
      <selection activeCell="K25" sqref="K25"/>
    </sheetView>
  </sheetViews>
  <sheetFormatPr defaultColWidth="9.140625" defaultRowHeight="15.75" x14ac:dyDescent="0.2"/>
  <cols>
    <col min="1" max="1" width="8.85546875" style="508" customWidth="1"/>
    <col min="2" max="2" width="46.5703125" style="167" customWidth="1"/>
    <col min="3" max="14" width="17" style="508" customWidth="1"/>
    <col min="15" max="16" width="14.42578125" style="508" bestFit="1" customWidth="1"/>
    <col min="17" max="17" width="20.28515625" style="508" bestFit="1" customWidth="1"/>
    <col min="18" max="18" width="9.140625" style="508"/>
    <col min="19" max="19" width="14.42578125" style="508" bestFit="1" customWidth="1"/>
    <col min="20" max="21" width="14.42578125" style="508" customWidth="1"/>
    <col min="22" max="22" width="14.42578125" style="508" bestFit="1" customWidth="1"/>
    <col min="23" max="23" width="14.42578125" style="508" customWidth="1"/>
    <col min="24" max="24" width="12.7109375" style="508" bestFit="1" customWidth="1"/>
    <col min="25" max="25" width="9.140625" style="508"/>
    <col min="26" max="26" width="12.85546875" style="508" bestFit="1" customWidth="1"/>
    <col min="27" max="27" width="13.28515625" style="508" bestFit="1" customWidth="1"/>
    <col min="28" max="16384" width="9.140625" style="508"/>
  </cols>
  <sheetData>
    <row r="1" spans="1:27" ht="16.5" thickBot="1" x14ac:dyDescent="0.25">
      <c r="A1" s="780" t="s">
        <v>321</v>
      </c>
      <c r="B1" s="781"/>
      <c r="C1" s="781"/>
      <c r="D1" s="781"/>
      <c r="E1" s="781"/>
      <c r="F1" s="781"/>
      <c r="G1" s="781"/>
      <c r="H1" s="781"/>
      <c r="I1" s="781"/>
      <c r="J1" s="781"/>
      <c r="K1" s="781"/>
      <c r="L1" s="781"/>
      <c r="M1" s="781"/>
      <c r="N1" s="781"/>
      <c r="O1" s="781"/>
      <c r="P1" s="781"/>
      <c r="Q1" s="782"/>
    </row>
    <row r="2" spans="1:27" ht="32.25" customHeight="1" thickBot="1" x14ac:dyDescent="0.25">
      <c r="A2" s="459"/>
      <c r="B2" s="460" t="s">
        <v>258</v>
      </c>
      <c r="C2" s="461">
        <v>42552</v>
      </c>
      <c r="D2" s="461">
        <v>42583</v>
      </c>
      <c r="E2" s="461">
        <v>42614</v>
      </c>
      <c r="F2" s="461">
        <v>42644</v>
      </c>
      <c r="G2" s="461">
        <v>42675</v>
      </c>
      <c r="H2" s="461">
        <v>42705</v>
      </c>
      <c r="I2" s="461">
        <v>42736</v>
      </c>
      <c r="J2" s="461">
        <v>42767</v>
      </c>
      <c r="K2" s="461">
        <v>42795</v>
      </c>
      <c r="L2" s="461">
        <v>42826</v>
      </c>
      <c r="M2" s="461">
        <v>42856</v>
      </c>
      <c r="N2" s="461">
        <v>42887</v>
      </c>
      <c r="O2" s="462" t="s">
        <v>322</v>
      </c>
      <c r="P2" s="795" t="s">
        <v>323</v>
      </c>
      <c r="Q2" s="796"/>
    </row>
    <row r="3" spans="1:27" ht="15.75" customHeight="1" x14ac:dyDescent="0.2">
      <c r="A3" s="789" t="s">
        <v>164</v>
      </c>
      <c r="B3" s="352" t="s">
        <v>166</v>
      </c>
      <c r="C3" s="509">
        <v>5008</v>
      </c>
      <c r="D3" s="3">
        <v>5036</v>
      </c>
      <c r="E3" s="3">
        <v>5058</v>
      </c>
      <c r="F3" s="3">
        <v>5077</v>
      </c>
      <c r="G3" s="3">
        <v>5089</v>
      </c>
      <c r="H3" s="3">
        <v>5092</v>
      </c>
      <c r="I3" s="346">
        <v>5093</v>
      </c>
      <c r="J3" s="346">
        <v>5128</v>
      </c>
      <c r="K3" s="346">
        <v>5102</v>
      </c>
      <c r="L3" s="346">
        <v>5048</v>
      </c>
      <c r="M3" s="346">
        <v>5069</v>
      </c>
      <c r="N3" s="346"/>
      <c r="O3" s="83">
        <f>AVERAGE(C3:N3)</f>
        <v>5072.727272727273</v>
      </c>
      <c r="P3" s="797">
        <v>5257</v>
      </c>
      <c r="Q3" s="798"/>
    </row>
    <row r="4" spans="1:27" ht="31.5" x14ac:dyDescent="0.2">
      <c r="A4" s="790"/>
      <c r="B4" s="170" t="s">
        <v>259</v>
      </c>
      <c r="C4" s="510">
        <v>115</v>
      </c>
      <c r="D4" s="3">
        <v>116</v>
      </c>
      <c r="E4" s="3">
        <v>113</v>
      </c>
      <c r="F4" s="3">
        <v>108</v>
      </c>
      <c r="G4" s="3">
        <v>108</v>
      </c>
      <c r="H4" s="3">
        <v>111</v>
      </c>
      <c r="I4" s="3">
        <v>110</v>
      </c>
      <c r="J4" s="3">
        <v>102</v>
      </c>
      <c r="K4" s="3">
        <v>0</v>
      </c>
      <c r="L4" s="3">
        <v>0</v>
      </c>
      <c r="M4" s="3">
        <v>0</v>
      </c>
      <c r="N4" s="3"/>
      <c r="O4" s="83">
        <f t="shared" ref="O4:O8" si="0">AVERAGE(C4:N4)</f>
        <v>80.272727272727266</v>
      </c>
      <c r="P4" s="799">
        <v>0</v>
      </c>
      <c r="Q4" s="800"/>
    </row>
    <row r="5" spans="1:27" x14ac:dyDescent="0.2">
      <c r="A5" s="790"/>
      <c r="B5" s="170" t="s">
        <v>147</v>
      </c>
      <c r="C5" s="510">
        <v>4497</v>
      </c>
      <c r="D5" s="3">
        <v>4562</v>
      </c>
      <c r="E5" s="3">
        <v>4608</v>
      </c>
      <c r="F5" s="3">
        <v>4631</v>
      </c>
      <c r="G5" s="3">
        <v>4674</v>
      </c>
      <c r="H5" s="3">
        <v>4701</v>
      </c>
      <c r="I5" s="3">
        <v>4734</v>
      </c>
      <c r="J5" s="3">
        <v>4759</v>
      </c>
      <c r="K5" s="3">
        <v>4664</v>
      </c>
      <c r="L5" s="3">
        <v>4617</v>
      </c>
      <c r="M5" s="3">
        <v>4648</v>
      </c>
      <c r="N5" s="3"/>
      <c r="O5" s="83">
        <f t="shared" si="0"/>
        <v>4645</v>
      </c>
      <c r="P5" s="799">
        <v>0</v>
      </c>
      <c r="Q5" s="800"/>
    </row>
    <row r="6" spans="1:27" ht="15.6" customHeight="1" x14ac:dyDescent="0.2">
      <c r="A6" s="790"/>
      <c r="B6" s="170" t="s">
        <v>148</v>
      </c>
      <c r="C6" s="510">
        <v>1535</v>
      </c>
      <c r="D6" s="3">
        <v>1577</v>
      </c>
      <c r="E6" s="3">
        <v>1587</v>
      </c>
      <c r="F6" s="3">
        <v>1596</v>
      </c>
      <c r="G6" s="3">
        <v>1619</v>
      </c>
      <c r="H6" s="3">
        <v>1634</v>
      </c>
      <c r="I6" s="3">
        <v>1639</v>
      </c>
      <c r="J6" s="3">
        <v>1655</v>
      </c>
      <c r="K6" s="3">
        <v>1583</v>
      </c>
      <c r="L6" s="3">
        <v>1577</v>
      </c>
      <c r="M6" s="3">
        <v>1613</v>
      </c>
      <c r="N6" s="3"/>
      <c r="O6" s="83">
        <f t="shared" si="0"/>
        <v>1601.3636363636363</v>
      </c>
      <c r="P6" s="799">
        <v>0</v>
      </c>
      <c r="Q6" s="800"/>
    </row>
    <row r="7" spans="1:27" ht="16.5" thickBot="1" x14ac:dyDescent="0.25">
      <c r="A7" s="790"/>
      <c r="B7" s="170" t="s">
        <v>149</v>
      </c>
      <c r="C7" s="348">
        <v>11155</v>
      </c>
      <c r="D7" s="3">
        <v>11291</v>
      </c>
      <c r="E7" s="3">
        <v>11366</v>
      </c>
      <c r="F7" s="3">
        <v>11412</v>
      </c>
      <c r="G7" s="3">
        <v>11490</v>
      </c>
      <c r="H7" s="3">
        <v>11538</v>
      </c>
      <c r="I7" s="349">
        <v>11576</v>
      </c>
      <c r="J7" s="349">
        <v>11644</v>
      </c>
      <c r="K7" s="349">
        <v>11349</v>
      </c>
      <c r="L7" s="349">
        <v>11242</v>
      </c>
      <c r="M7" s="349">
        <v>11330</v>
      </c>
      <c r="N7" s="349"/>
      <c r="O7" s="83">
        <f t="shared" si="0"/>
        <v>11399.363636363636</v>
      </c>
      <c r="P7" s="804">
        <v>0</v>
      </c>
      <c r="Q7" s="805"/>
    </row>
    <row r="8" spans="1:27" ht="16.5" customHeight="1" thickBot="1" x14ac:dyDescent="0.25">
      <c r="A8" s="791"/>
      <c r="B8" s="172" t="s">
        <v>165</v>
      </c>
      <c r="C8" s="84">
        <f t="shared" ref="C8:D8" si="1">SUM(C3:C6)</f>
        <v>11155</v>
      </c>
      <c r="D8" s="84">
        <f t="shared" si="1"/>
        <v>11291</v>
      </c>
      <c r="E8" s="84">
        <f t="shared" ref="E8:F8" si="2">SUM(E3:E6)</f>
        <v>11366</v>
      </c>
      <c r="F8" s="84">
        <f t="shared" si="2"/>
        <v>11412</v>
      </c>
      <c r="G8" s="84">
        <f t="shared" ref="G8:I8" si="3">SUM(G3:G6)</f>
        <v>11490</v>
      </c>
      <c r="H8" s="84">
        <f t="shared" si="3"/>
        <v>11538</v>
      </c>
      <c r="I8" s="84">
        <f t="shared" si="3"/>
        <v>11576</v>
      </c>
      <c r="J8" s="84">
        <f t="shared" ref="J8:L8" si="4">SUM(J3:J6)</f>
        <v>11644</v>
      </c>
      <c r="K8" s="84">
        <f t="shared" si="4"/>
        <v>11349</v>
      </c>
      <c r="L8" s="84">
        <f t="shared" si="4"/>
        <v>11242</v>
      </c>
      <c r="M8" s="84">
        <f t="shared" ref="M8" si="5">SUM(M3:M6)</f>
        <v>11330</v>
      </c>
      <c r="N8" s="84"/>
      <c r="O8" s="85">
        <f t="shared" si="0"/>
        <v>11399.363636363636</v>
      </c>
      <c r="P8" s="806">
        <v>0</v>
      </c>
      <c r="Q8" s="807"/>
    </row>
    <row r="9" spans="1:27" ht="16.5" hidden="1" customHeight="1" thickBot="1" x14ac:dyDescent="0.25">
      <c r="A9" s="632" t="s">
        <v>150</v>
      </c>
      <c r="B9" s="345" t="s">
        <v>151</v>
      </c>
      <c r="C9" s="511"/>
      <c r="D9" s="511"/>
      <c r="E9" s="511"/>
      <c r="F9" s="511"/>
      <c r="G9" s="511"/>
      <c r="H9" s="511"/>
      <c r="I9" s="511"/>
      <c r="J9" s="511"/>
      <c r="K9" s="511"/>
      <c r="L9" s="511"/>
      <c r="M9" s="3"/>
      <c r="N9" s="3"/>
      <c r="O9" s="83" t="e">
        <f t="shared" ref="O9:O11" si="6">ROUND(AVERAGE(C9:N9),0)</f>
        <v>#DIV/0!</v>
      </c>
      <c r="P9" s="235">
        <v>692</v>
      </c>
      <c r="Q9" s="477"/>
    </row>
    <row r="10" spans="1:27" ht="16.5" hidden="1" customHeight="1" thickBot="1" x14ac:dyDescent="0.25">
      <c r="A10" s="633"/>
      <c r="B10" s="512" t="s">
        <v>152</v>
      </c>
      <c r="C10" s="511"/>
      <c r="D10" s="511"/>
      <c r="E10" s="511"/>
      <c r="F10" s="511"/>
      <c r="G10" s="511"/>
      <c r="H10" s="511"/>
      <c r="I10" s="511"/>
      <c r="J10" s="511"/>
      <c r="K10" s="511"/>
      <c r="L10" s="511"/>
      <c r="M10" s="3"/>
      <c r="N10" s="3"/>
      <c r="O10" s="83" t="e">
        <f t="shared" si="6"/>
        <v>#DIV/0!</v>
      </c>
      <c r="P10" s="233"/>
      <c r="Q10" s="478"/>
    </row>
    <row r="11" spans="1:27" ht="16.5" hidden="1" customHeight="1" thickBot="1" x14ac:dyDescent="0.25">
      <c r="A11" s="633"/>
      <c r="B11" s="513" t="s">
        <v>153</v>
      </c>
      <c r="C11" s="3"/>
      <c r="D11" s="3"/>
      <c r="E11" s="3"/>
      <c r="F11" s="3"/>
      <c r="G11" s="3"/>
      <c r="H11" s="3"/>
      <c r="I11" s="3"/>
      <c r="J11" s="3"/>
      <c r="K11" s="3"/>
      <c r="L11" s="3"/>
      <c r="M11" s="3"/>
      <c r="N11" s="3"/>
      <c r="O11" s="83" t="e">
        <f t="shared" si="6"/>
        <v>#DIV/0!</v>
      </c>
      <c r="P11" s="236">
        <f>P9</f>
        <v>692</v>
      </c>
      <c r="Q11" s="479"/>
    </row>
    <row r="12" spans="1:27" ht="16.5" hidden="1" customHeight="1" thickBot="1" x14ac:dyDescent="0.25">
      <c r="A12" s="634"/>
      <c r="B12" s="172" t="s">
        <v>154</v>
      </c>
      <c r="C12" s="84">
        <f>SUM(C9:C10)</f>
        <v>0</v>
      </c>
      <c r="D12" s="84"/>
      <c r="E12" s="84"/>
      <c r="F12" s="84"/>
      <c r="G12" s="84"/>
      <c r="H12" s="84"/>
      <c r="I12" s="84"/>
      <c r="J12" s="84"/>
      <c r="K12" s="84"/>
      <c r="L12" s="84"/>
      <c r="M12" s="84"/>
      <c r="N12" s="84"/>
      <c r="O12" s="85">
        <f>ROUND(AVERAGE(B12:M12),0)</f>
        <v>0</v>
      </c>
      <c r="P12" s="347"/>
      <c r="Q12" s="480"/>
    </row>
    <row r="13" spans="1:27" ht="16.5" thickBot="1" x14ac:dyDescent="0.25">
      <c r="A13" s="538"/>
      <c r="B13" s="539"/>
      <c r="C13" s="537"/>
      <c r="D13" s="540"/>
      <c r="E13" s="540"/>
      <c r="F13" s="541"/>
      <c r="G13" s="537"/>
      <c r="H13" s="540"/>
      <c r="I13" s="541"/>
      <c r="J13" s="537"/>
      <c r="K13" s="537"/>
      <c r="L13" s="537"/>
      <c r="M13" s="537"/>
      <c r="N13" s="537"/>
      <c r="O13" s="537"/>
      <c r="P13" s="808"/>
      <c r="Q13" s="809"/>
    </row>
    <row r="14" spans="1:27" ht="16.5" thickBot="1" x14ac:dyDescent="0.25">
      <c r="A14" s="780" t="s">
        <v>324</v>
      </c>
      <c r="B14" s="781"/>
      <c r="C14" s="781"/>
      <c r="D14" s="781"/>
      <c r="E14" s="781"/>
      <c r="F14" s="781"/>
      <c r="G14" s="781"/>
      <c r="H14" s="781"/>
      <c r="I14" s="781"/>
      <c r="J14" s="781"/>
      <c r="K14" s="781"/>
      <c r="L14" s="781"/>
      <c r="M14" s="781"/>
      <c r="N14" s="781"/>
      <c r="O14" s="781"/>
      <c r="P14" s="781"/>
      <c r="Q14" s="782"/>
    </row>
    <row r="15" spans="1:27" ht="48" thickBot="1" x14ac:dyDescent="0.25">
      <c r="A15" s="86"/>
      <c r="B15" s="80" t="s">
        <v>258</v>
      </c>
      <c r="C15" s="81">
        <v>42552</v>
      </c>
      <c r="D15" s="81">
        <v>42583</v>
      </c>
      <c r="E15" s="81">
        <v>42614</v>
      </c>
      <c r="F15" s="81">
        <v>42644</v>
      </c>
      <c r="G15" s="81">
        <v>42675</v>
      </c>
      <c r="H15" s="81">
        <v>42705</v>
      </c>
      <c r="I15" s="81">
        <v>42736</v>
      </c>
      <c r="J15" s="81">
        <v>42767</v>
      </c>
      <c r="K15" s="81">
        <v>42795</v>
      </c>
      <c r="L15" s="81">
        <v>42826</v>
      </c>
      <c r="M15" s="81">
        <v>42856</v>
      </c>
      <c r="N15" s="81">
        <v>42887</v>
      </c>
      <c r="O15" s="82" t="s">
        <v>300</v>
      </c>
      <c r="P15" s="82" t="s">
        <v>301</v>
      </c>
      <c r="Q15" s="82" t="s">
        <v>325</v>
      </c>
      <c r="S15" s="246"/>
      <c r="T15" s="246"/>
      <c r="U15" s="246"/>
      <c r="V15" s="246"/>
      <c r="W15" s="104"/>
    </row>
    <row r="16" spans="1:27" ht="15.75" customHeight="1" x14ac:dyDescent="0.2">
      <c r="A16" s="789" t="s">
        <v>164</v>
      </c>
      <c r="B16" s="170" t="s">
        <v>166</v>
      </c>
      <c r="C16" s="88">
        <v>27001278.450000003</v>
      </c>
      <c r="D16" s="88">
        <v>31980552.449999996</v>
      </c>
      <c r="E16" s="88">
        <v>27887730.629999984</v>
      </c>
      <c r="F16" s="88">
        <v>30964305.329999961</v>
      </c>
      <c r="G16" s="88">
        <v>28407855.360000044</v>
      </c>
      <c r="H16" s="88">
        <v>27189542.759999998</v>
      </c>
      <c r="I16" s="88">
        <v>30951140.589999951</v>
      </c>
      <c r="J16" s="88">
        <v>31354861.64999998</v>
      </c>
      <c r="K16" s="588">
        <v>15346936.01</v>
      </c>
      <c r="L16" s="588">
        <v>28446078.7300005</v>
      </c>
      <c r="M16" s="588">
        <v>36622105.280002102</v>
      </c>
      <c r="N16" s="88"/>
      <c r="O16" s="89">
        <f>SUM(C16:N16)</f>
        <v>316152387.24000251</v>
      </c>
      <c r="P16" s="89">
        <v>353441824</v>
      </c>
      <c r="Q16" s="475">
        <v>0.89449625305239067</v>
      </c>
      <c r="S16" s="246"/>
      <c r="T16" s="246"/>
      <c r="U16" s="246"/>
      <c r="V16" s="246"/>
      <c r="W16" s="186"/>
      <c r="X16" s="186"/>
      <c r="Z16" s="186"/>
      <c r="AA16" s="186"/>
    </row>
    <row r="17" spans="1:28" ht="31.5" x14ac:dyDescent="0.25">
      <c r="A17" s="790"/>
      <c r="B17" s="170" t="s">
        <v>259</v>
      </c>
      <c r="C17" s="88">
        <v>0</v>
      </c>
      <c r="D17" s="88">
        <v>0</v>
      </c>
      <c r="E17" s="88">
        <v>12784304.129999999</v>
      </c>
      <c r="F17" s="88">
        <v>0</v>
      </c>
      <c r="G17" s="88">
        <v>0</v>
      </c>
      <c r="H17" s="88">
        <v>0</v>
      </c>
      <c r="I17" s="88">
        <v>6390852.8899999997</v>
      </c>
      <c r="J17" s="88">
        <v>0</v>
      </c>
      <c r="K17" s="588">
        <v>0</v>
      </c>
      <c r="L17" s="588">
        <v>0</v>
      </c>
      <c r="M17" s="588">
        <v>0</v>
      </c>
      <c r="N17" s="88"/>
      <c r="O17" s="89">
        <f t="shared" ref="O17:O21" si="7">SUM(C17:N17)</f>
        <v>19175157.02</v>
      </c>
      <c r="P17" s="528">
        <v>0</v>
      </c>
      <c r="Q17" s="83"/>
      <c r="S17" s="246"/>
      <c r="T17" s="246"/>
      <c r="U17" s="246"/>
      <c r="V17" s="246"/>
      <c r="W17" s="430"/>
      <c r="X17" s="186"/>
      <c r="Y17" s="186"/>
      <c r="AA17" s="186"/>
      <c r="AB17" s="186"/>
    </row>
    <row r="18" spans="1:28" x14ac:dyDescent="0.25">
      <c r="A18" s="790"/>
      <c r="B18" s="170" t="s">
        <v>147</v>
      </c>
      <c r="C18" s="88">
        <v>4748368.84</v>
      </c>
      <c r="D18" s="88">
        <v>5700966.4000000004</v>
      </c>
      <c r="E18" s="88">
        <v>4805518.58</v>
      </c>
      <c r="F18" s="88">
        <v>5503622.1999999993</v>
      </c>
      <c r="G18" s="88">
        <v>4683075.0600000005</v>
      </c>
      <c r="H18" s="88">
        <v>4765127.2300000004</v>
      </c>
      <c r="I18" s="88">
        <v>4841248.7099999981</v>
      </c>
      <c r="J18" s="88">
        <v>4825914.2499999972</v>
      </c>
      <c r="K18" s="588">
        <v>1600127.2</v>
      </c>
      <c r="L18" s="588">
        <v>4185115.0499999798</v>
      </c>
      <c r="M18" s="588">
        <v>7318807.7199998992</v>
      </c>
      <c r="N18" s="88"/>
      <c r="O18" s="89">
        <f t="shared" si="7"/>
        <v>52977891.239999883</v>
      </c>
      <c r="P18" s="89">
        <v>61451765</v>
      </c>
      <c r="Q18" s="475">
        <v>0.86210528273679177</v>
      </c>
      <c r="S18" s="246"/>
      <c r="T18" s="246"/>
      <c r="U18" s="246"/>
      <c r="V18" s="246"/>
      <c r="W18" s="430"/>
      <c r="X18" s="186"/>
      <c r="Y18" s="186"/>
      <c r="AA18" s="186"/>
      <c r="AB18" s="186"/>
    </row>
    <row r="19" spans="1:28" ht="15.6" customHeight="1" x14ac:dyDescent="0.2">
      <c r="A19" s="790"/>
      <c r="B19" s="170" t="s">
        <v>148</v>
      </c>
      <c r="C19" s="88">
        <v>2390110.2800000003</v>
      </c>
      <c r="D19" s="88">
        <v>2265861.06</v>
      </c>
      <c r="E19" s="88">
        <v>1822628.02</v>
      </c>
      <c r="F19" s="88">
        <v>2108207.4899999998</v>
      </c>
      <c r="G19" s="88">
        <v>2096556</v>
      </c>
      <c r="H19" s="88">
        <v>2078800.32</v>
      </c>
      <c r="I19" s="88">
        <v>1985484.7000000014</v>
      </c>
      <c r="J19" s="88">
        <v>2151655.3000000007</v>
      </c>
      <c r="K19" s="588">
        <v>533594.17000000307</v>
      </c>
      <c r="L19" s="588">
        <v>1756823.2</v>
      </c>
      <c r="M19" s="588">
        <v>3044584.1399999899</v>
      </c>
      <c r="N19" s="88"/>
      <c r="O19" s="89">
        <f t="shared" si="7"/>
        <v>22234304.679999992</v>
      </c>
      <c r="P19" s="89">
        <v>25868756</v>
      </c>
      <c r="Q19" s="475">
        <v>0.85950420963420093</v>
      </c>
      <c r="S19" s="246"/>
      <c r="T19" s="246"/>
      <c r="U19" s="246"/>
      <c r="V19" s="246"/>
      <c r="W19" s="186"/>
      <c r="X19" s="186"/>
      <c r="Z19" s="186"/>
      <c r="AA19" s="186"/>
    </row>
    <row r="20" spans="1:28" x14ac:dyDescent="0.2">
      <c r="A20" s="790"/>
      <c r="B20" s="170" t="s">
        <v>149</v>
      </c>
      <c r="C20" s="88">
        <v>2235210.87</v>
      </c>
      <c r="D20" s="88">
        <v>2500157.79</v>
      </c>
      <c r="E20" s="88">
        <v>2168492.67</v>
      </c>
      <c r="F20" s="88">
        <v>1827065.49</v>
      </c>
      <c r="G20" s="88">
        <v>2300753.25</v>
      </c>
      <c r="H20" s="88">
        <v>2025140.04</v>
      </c>
      <c r="I20" s="88">
        <v>2282423.21</v>
      </c>
      <c r="J20" s="88">
        <v>2108234.2800000003</v>
      </c>
      <c r="K20" s="588">
        <v>685266.6</v>
      </c>
      <c r="L20" s="588">
        <v>1847204.51999997</v>
      </c>
      <c r="M20" s="588">
        <v>3050150.5199999497</v>
      </c>
      <c r="N20" s="88"/>
      <c r="O20" s="89">
        <f t="shared" si="7"/>
        <v>23030099.239999924</v>
      </c>
      <c r="P20" s="89">
        <v>26146222</v>
      </c>
      <c r="Q20" s="475">
        <v>0.88081938721395103</v>
      </c>
      <c r="S20" s="246"/>
      <c r="T20" s="246"/>
      <c r="U20" s="246"/>
      <c r="V20" s="246"/>
      <c r="W20" s="186"/>
      <c r="X20" s="186"/>
      <c r="Z20" s="186"/>
      <c r="AA20" s="186"/>
    </row>
    <row r="21" spans="1:28" ht="32.25" thickBot="1" x14ac:dyDescent="0.25">
      <c r="A21" s="790"/>
      <c r="B21" s="170" t="s">
        <v>260</v>
      </c>
      <c r="C21" s="88">
        <v>0</v>
      </c>
      <c r="D21" s="88">
        <v>386506.23</v>
      </c>
      <c r="E21" s="88">
        <v>406319.56000000006</v>
      </c>
      <c r="F21" s="88">
        <v>394453.78</v>
      </c>
      <c r="G21" s="88">
        <v>391372.94</v>
      </c>
      <c r="H21" s="88">
        <v>408039.66000000003</v>
      </c>
      <c r="I21" s="88">
        <v>382900.20999999985</v>
      </c>
      <c r="J21" s="88">
        <v>411106.91999999981</v>
      </c>
      <c r="K21" s="88">
        <v>401177.76000000007</v>
      </c>
      <c r="L21" s="88">
        <v>416884.87000000011</v>
      </c>
      <c r="M21" s="88">
        <v>418745</v>
      </c>
      <c r="N21" s="88"/>
      <c r="O21" s="89">
        <f t="shared" si="7"/>
        <v>4017506.93</v>
      </c>
      <c r="P21" s="89">
        <v>4868710</v>
      </c>
      <c r="Q21" s="475">
        <v>0.82516866480032702</v>
      </c>
      <c r="S21" s="186"/>
      <c r="T21" s="186"/>
      <c r="U21" s="186"/>
      <c r="V21" s="186"/>
      <c r="W21" s="186"/>
      <c r="X21" s="186"/>
      <c r="Z21" s="186"/>
      <c r="AA21" s="186"/>
    </row>
    <row r="22" spans="1:28" ht="15.6" customHeight="1" thickBot="1" x14ac:dyDescent="0.25">
      <c r="A22" s="791"/>
      <c r="B22" s="172" t="s">
        <v>165</v>
      </c>
      <c r="C22" s="90">
        <f t="shared" ref="C22:I22" si="8">SUM(C16:C21)</f>
        <v>36374968.439999998</v>
      </c>
      <c r="D22" s="90">
        <f t="shared" si="8"/>
        <v>42834043.929999992</v>
      </c>
      <c r="E22" s="90">
        <f t="shared" si="8"/>
        <v>49874993.589999989</v>
      </c>
      <c r="F22" s="90">
        <f t="shared" si="8"/>
        <v>40797654.289999962</v>
      </c>
      <c r="G22" s="90">
        <f t="shared" si="8"/>
        <v>37879612.610000044</v>
      </c>
      <c r="H22" s="90">
        <f t="shared" si="8"/>
        <v>36466650.00999999</v>
      </c>
      <c r="I22" s="90">
        <f t="shared" si="8"/>
        <v>46834050.309999958</v>
      </c>
      <c r="J22" s="90">
        <f t="shared" ref="J22:K22" si="9">SUM(J16:J21)</f>
        <v>40851772.399999976</v>
      </c>
      <c r="K22" s="589">
        <f t="shared" si="9"/>
        <v>18567101.740000006</v>
      </c>
      <c r="L22" s="589">
        <f t="shared" ref="L22:M22" si="10">SUM(L16:L21)</f>
        <v>36652106.370000452</v>
      </c>
      <c r="M22" s="589">
        <f t="shared" si="10"/>
        <v>50454392.660001948</v>
      </c>
      <c r="N22" s="90"/>
      <c r="O22" s="91">
        <f>SUM(C22:N22)</f>
        <v>437587346.35000235</v>
      </c>
      <c r="P22" s="91">
        <v>471777277</v>
      </c>
      <c r="Q22" s="476">
        <v>0.92752950954439961</v>
      </c>
    </row>
    <row r="23" spans="1:28" ht="16.5" thickBot="1" x14ac:dyDescent="0.25">
      <c r="A23" s="622"/>
      <c r="B23" s="177" t="s">
        <v>100</v>
      </c>
      <c r="C23" s="535">
        <v>4</v>
      </c>
      <c r="D23" s="535">
        <v>5</v>
      </c>
      <c r="E23" s="535">
        <v>4</v>
      </c>
      <c r="F23" s="535">
        <v>5</v>
      </c>
      <c r="G23" s="535">
        <v>4</v>
      </c>
      <c r="H23" s="535">
        <v>4</v>
      </c>
      <c r="I23" s="535">
        <v>5</v>
      </c>
      <c r="J23" s="535">
        <v>4</v>
      </c>
      <c r="K23" s="535">
        <v>4</v>
      </c>
      <c r="L23" s="535">
        <v>4</v>
      </c>
      <c r="M23" s="535">
        <v>5</v>
      </c>
      <c r="N23" s="535">
        <v>4</v>
      </c>
      <c r="O23" s="536">
        <f t="shared" ref="O23" si="11">SUM(C23:N23)</f>
        <v>52</v>
      </c>
      <c r="P23" s="93"/>
      <c r="Q23" s="93"/>
    </row>
    <row r="24" spans="1:28" ht="16.5" thickBot="1" x14ac:dyDescent="0.25">
      <c r="A24" s="623"/>
      <c r="B24" s="172" t="s">
        <v>155</v>
      </c>
      <c r="C24" s="94">
        <f>ROUND(C22/C23,0)</f>
        <v>9093742</v>
      </c>
      <c r="D24" s="94">
        <f t="shared" ref="D24:N24" si="12">ROUND(D22/D23,0)</f>
        <v>8566809</v>
      </c>
      <c r="E24" s="94">
        <f t="shared" si="12"/>
        <v>12468748</v>
      </c>
      <c r="F24" s="94">
        <f t="shared" si="12"/>
        <v>8159531</v>
      </c>
      <c r="G24" s="94">
        <f>ROUND(G22/G23,0)</f>
        <v>9469903</v>
      </c>
      <c r="H24" s="94">
        <f t="shared" si="12"/>
        <v>9116663</v>
      </c>
      <c r="I24" s="94">
        <f t="shared" si="12"/>
        <v>9366810</v>
      </c>
      <c r="J24" s="94">
        <f t="shared" si="12"/>
        <v>10212943</v>
      </c>
      <c r="K24" s="94">
        <f t="shared" si="12"/>
        <v>4641775</v>
      </c>
      <c r="L24" s="94">
        <f t="shared" si="12"/>
        <v>9163027</v>
      </c>
      <c r="M24" s="94">
        <f t="shared" si="12"/>
        <v>10090879</v>
      </c>
      <c r="N24" s="94">
        <f t="shared" si="12"/>
        <v>0</v>
      </c>
      <c r="O24" s="95">
        <f>ROUND(O22/O23,0)</f>
        <v>8415141</v>
      </c>
      <c r="P24" s="95"/>
      <c r="Q24" s="95"/>
    </row>
    <row r="25" spans="1:28" ht="18.75" customHeight="1" x14ac:dyDescent="0.2">
      <c r="A25" s="632" t="s">
        <v>150</v>
      </c>
      <c r="B25" s="345" t="s">
        <v>151</v>
      </c>
      <c r="C25" s="514">
        <v>0</v>
      </c>
      <c r="D25" s="514">
        <v>595624.98</v>
      </c>
      <c r="E25" s="514">
        <v>0</v>
      </c>
      <c r="F25" s="514">
        <v>1191259.96</v>
      </c>
      <c r="G25" s="514">
        <v>595624.98</v>
      </c>
      <c r="H25" s="514">
        <v>595624.98</v>
      </c>
      <c r="I25" s="514">
        <v>595624.98</v>
      </c>
      <c r="J25" s="514">
        <v>595624.98</v>
      </c>
      <c r="K25" s="514">
        <v>566135.34</v>
      </c>
      <c r="L25" s="514">
        <v>566135.34</v>
      </c>
      <c r="M25" s="514">
        <v>566135</v>
      </c>
      <c r="N25" s="514"/>
      <c r="O25" s="89">
        <f>SUM(C25:N25)</f>
        <v>5867790.54</v>
      </c>
      <c r="P25" s="529">
        <v>7919723</v>
      </c>
      <c r="Q25" s="475">
        <v>0.74090855702907787</v>
      </c>
    </row>
    <row r="26" spans="1:28" ht="18.75" customHeight="1" x14ac:dyDescent="0.2">
      <c r="A26" s="633"/>
      <c r="B26" s="512" t="s">
        <v>152</v>
      </c>
      <c r="C26" s="514">
        <v>0</v>
      </c>
      <c r="D26" s="514">
        <v>574216.81999999995</v>
      </c>
      <c r="E26" s="514">
        <v>0</v>
      </c>
      <c r="F26" s="514">
        <v>1148793.6399999999</v>
      </c>
      <c r="G26" s="514">
        <v>574216.81999999995</v>
      </c>
      <c r="H26" s="514">
        <v>574216.81999999995</v>
      </c>
      <c r="I26" s="514">
        <v>574216.82000000007</v>
      </c>
      <c r="J26" s="514">
        <v>574216.81999999995</v>
      </c>
      <c r="K26" s="514">
        <v>574216.81999999995</v>
      </c>
      <c r="L26" s="514">
        <v>574216.81999999995</v>
      </c>
      <c r="M26" s="514">
        <v>574217</v>
      </c>
      <c r="N26" s="514"/>
      <c r="O26" s="89">
        <f>SUM(C26:N26)</f>
        <v>5742528.3799999999</v>
      </c>
      <c r="P26" s="530">
        <v>6960460</v>
      </c>
      <c r="Q26" s="475">
        <v>0.82502138939093106</v>
      </c>
      <c r="S26" s="154"/>
      <c r="T26" s="154"/>
      <c r="U26" s="186"/>
    </row>
    <row r="27" spans="1:28" ht="18.75" customHeight="1" thickBot="1" x14ac:dyDescent="0.25">
      <c r="A27" s="633"/>
      <c r="B27" s="513" t="s">
        <v>261</v>
      </c>
      <c r="C27" s="514">
        <v>0</v>
      </c>
      <c r="D27" s="514">
        <v>162017.41999999998</v>
      </c>
      <c r="E27" s="514">
        <v>0</v>
      </c>
      <c r="F27" s="514">
        <v>324034.83999999997</v>
      </c>
      <c r="G27" s="514">
        <v>162017.41999999998</v>
      </c>
      <c r="H27" s="514">
        <v>162017.41999999998</v>
      </c>
      <c r="I27" s="514">
        <v>162017.41999999998</v>
      </c>
      <c r="J27" s="514">
        <v>162017.42000000004</v>
      </c>
      <c r="K27" s="514">
        <v>162017.42000000001</v>
      </c>
      <c r="L27" s="514">
        <v>162017.41999999998</v>
      </c>
      <c r="M27" s="514">
        <v>162017</v>
      </c>
      <c r="N27" s="514"/>
      <c r="O27" s="89">
        <f>SUM(C27:N27)</f>
        <v>1620173.7799999998</v>
      </c>
      <c r="P27" s="531">
        <v>2192419</v>
      </c>
      <c r="Q27" s="475">
        <v>0.73898911658765942</v>
      </c>
      <c r="S27" s="154"/>
      <c r="T27" s="154"/>
      <c r="U27" s="186"/>
    </row>
    <row r="28" spans="1:28" ht="16.149999999999999" customHeight="1" thickBot="1" x14ac:dyDescent="0.25">
      <c r="A28" s="633"/>
      <c r="B28" s="172" t="s">
        <v>154</v>
      </c>
      <c r="C28" s="90">
        <f t="shared" ref="C28:H28" si="13">SUM(C25:C27)</f>
        <v>0</v>
      </c>
      <c r="D28" s="90">
        <f t="shared" si="13"/>
        <v>1331859.2199999997</v>
      </c>
      <c r="E28" s="90">
        <f t="shared" si="13"/>
        <v>0</v>
      </c>
      <c r="F28" s="90">
        <f t="shared" si="13"/>
        <v>2664088.4399999995</v>
      </c>
      <c r="G28" s="90">
        <f t="shared" si="13"/>
        <v>1331859.2199999997</v>
      </c>
      <c r="H28" s="90">
        <f t="shared" si="13"/>
        <v>1331859.2199999997</v>
      </c>
      <c r="I28" s="90">
        <f t="shared" ref="I28:J28" si="14">SUM(I25:I27)</f>
        <v>1331859.22</v>
      </c>
      <c r="J28" s="90">
        <f t="shared" si="14"/>
        <v>1331859.2199999997</v>
      </c>
      <c r="K28" s="90">
        <f t="shared" ref="K28:M28" si="15">SUM(K25:K27)</f>
        <v>1302369.5799999998</v>
      </c>
      <c r="L28" s="90">
        <f t="shared" si="15"/>
        <v>1302369.5799999998</v>
      </c>
      <c r="M28" s="90">
        <f t="shared" si="15"/>
        <v>1302369</v>
      </c>
      <c r="N28" s="90"/>
      <c r="O28" s="91">
        <f>SUM(C28:N28)</f>
        <v>13230492.699999999</v>
      </c>
      <c r="P28" s="91">
        <v>17072602</v>
      </c>
      <c r="Q28" s="476">
        <v>0.77495467299009246</v>
      </c>
      <c r="T28" s="154"/>
      <c r="U28" s="186"/>
    </row>
    <row r="29" spans="1:28" ht="16.149999999999999" customHeight="1" thickBot="1" x14ac:dyDescent="0.25">
      <c r="A29" s="634"/>
      <c r="B29" s="172" t="s">
        <v>155</v>
      </c>
      <c r="C29" s="94">
        <f t="shared" ref="C29:H29" si="16">ROUND(C28/C23,0)</f>
        <v>0</v>
      </c>
      <c r="D29" s="94">
        <f t="shared" si="16"/>
        <v>266372</v>
      </c>
      <c r="E29" s="94">
        <f t="shared" si="16"/>
        <v>0</v>
      </c>
      <c r="F29" s="94">
        <f t="shared" si="16"/>
        <v>532818</v>
      </c>
      <c r="G29" s="94">
        <f t="shared" si="16"/>
        <v>332965</v>
      </c>
      <c r="H29" s="94">
        <f t="shared" si="16"/>
        <v>332965</v>
      </c>
      <c r="I29" s="94">
        <f t="shared" ref="I29:J29" si="17">ROUND(I28/I23,0)</f>
        <v>266372</v>
      </c>
      <c r="J29" s="94">
        <f t="shared" si="17"/>
        <v>332965</v>
      </c>
      <c r="K29" s="94">
        <f t="shared" ref="K29:M29" si="18">ROUND(K28/K23,0)</f>
        <v>325592</v>
      </c>
      <c r="L29" s="94">
        <f t="shared" si="18"/>
        <v>325592</v>
      </c>
      <c r="M29" s="94">
        <f t="shared" si="18"/>
        <v>260474</v>
      </c>
      <c r="N29" s="94"/>
      <c r="O29" s="95">
        <f>ROUND(O28/(O23-SUMIF(C28:N28,0,C23:N23)),2)</f>
        <v>300693.02</v>
      </c>
      <c r="P29" s="95"/>
      <c r="Q29" s="95"/>
      <c r="S29" s="154"/>
      <c r="T29" s="154"/>
      <c r="U29" s="186"/>
    </row>
    <row r="30" spans="1:28" x14ac:dyDescent="0.2">
      <c r="A30" s="515" t="s">
        <v>156</v>
      </c>
      <c r="B30" s="516"/>
      <c r="C30" s="517"/>
      <c r="D30" s="518"/>
      <c r="E30" s="519"/>
      <c r="F30" s="518"/>
      <c r="G30" s="519"/>
      <c r="H30" s="518"/>
      <c r="I30" s="519"/>
      <c r="J30" s="518"/>
      <c r="K30" s="518"/>
      <c r="L30" s="518"/>
      <c r="M30" s="518"/>
      <c r="N30" s="517"/>
      <c r="O30" s="517"/>
      <c r="P30" s="517"/>
      <c r="Q30" s="520"/>
      <c r="S30" s="154"/>
      <c r="T30" s="154"/>
      <c r="U30" s="521"/>
    </row>
    <row r="31" spans="1:28" ht="16.5" customHeight="1" x14ac:dyDescent="0.2">
      <c r="A31" s="783" t="s">
        <v>329</v>
      </c>
      <c r="B31" s="784"/>
      <c r="C31" s="784"/>
      <c r="D31" s="784"/>
      <c r="E31" s="784"/>
      <c r="F31" s="784"/>
      <c r="G31" s="784"/>
      <c r="H31" s="784"/>
      <c r="I31" s="784"/>
      <c r="J31" s="784"/>
      <c r="K31" s="784"/>
      <c r="L31" s="784"/>
      <c r="M31" s="784"/>
      <c r="N31" s="784"/>
      <c r="O31" s="784"/>
      <c r="P31" s="784"/>
      <c r="Q31" s="785"/>
      <c r="S31" s="154"/>
      <c r="T31" s="154"/>
      <c r="U31" s="521"/>
    </row>
    <row r="32" spans="1:28" ht="16.5" customHeight="1" x14ac:dyDescent="0.2">
      <c r="A32" s="786" t="s">
        <v>179</v>
      </c>
      <c r="B32" s="787"/>
      <c r="C32" s="787"/>
      <c r="D32" s="787"/>
      <c r="E32" s="787"/>
      <c r="F32" s="787"/>
      <c r="G32" s="787"/>
      <c r="H32" s="787"/>
      <c r="I32" s="787"/>
      <c r="J32" s="787"/>
      <c r="K32" s="787"/>
      <c r="L32" s="787"/>
      <c r="M32" s="787"/>
      <c r="N32" s="787"/>
      <c r="O32" s="787"/>
      <c r="P32" s="787"/>
      <c r="Q32" s="788"/>
      <c r="S32" s="154"/>
      <c r="T32" s="154"/>
      <c r="U32" s="521"/>
    </row>
    <row r="33" spans="1:18" ht="16.5" customHeight="1" x14ac:dyDescent="0.2">
      <c r="A33" s="786" t="s">
        <v>330</v>
      </c>
      <c r="B33" s="787"/>
      <c r="C33" s="787"/>
      <c r="D33" s="787"/>
      <c r="E33" s="787"/>
      <c r="F33" s="787"/>
      <c r="G33" s="787"/>
      <c r="H33" s="787"/>
      <c r="I33" s="787"/>
      <c r="J33" s="787"/>
      <c r="K33" s="787"/>
      <c r="L33" s="787"/>
      <c r="M33" s="787"/>
      <c r="N33" s="787"/>
      <c r="O33" s="787"/>
      <c r="P33" s="787"/>
      <c r="Q33" s="788"/>
    </row>
    <row r="34" spans="1:18" ht="16.5" customHeight="1" x14ac:dyDescent="0.2">
      <c r="A34" s="810" t="s">
        <v>262</v>
      </c>
      <c r="B34" s="811"/>
      <c r="C34" s="811"/>
      <c r="D34" s="811"/>
      <c r="E34" s="811"/>
      <c r="F34" s="811"/>
      <c r="G34" s="811"/>
      <c r="H34" s="811"/>
      <c r="I34" s="811"/>
      <c r="J34" s="811"/>
      <c r="K34" s="811"/>
      <c r="L34" s="811"/>
      <c r="M34" s="811"/>
      <c r="N34" s="811"/>
      <c r="O34" s="811"/>
      <c r="P34" s="811"/>
      <c r="Q34" s="812"/>
    </row>
    <row r="35" spans="1:18" ht="16.5" customHeight="1" x14ac:dyDescent="0.2">
      <c r="A35" s="813" t="s">
        <v>331</v>
      </c>
      <c r="B35" s="814"/>
      <c r="C35" s="814"/>
      <c r="D35" s="814"/>
      <c r="E35" s="814"/>
      <c r="F35" s="814"/>
      <c r="G35" s="814"/>
      <c r="H35" s="814"/>
      <c r="I35" s="814"/>
      <c r="J35" s="814"/>
      <c r="K35" s="814"/>
      <c r="L35" s="814"/>
      <c r="M35" s="814"/>
      <c r="N35" s="814"/>
      <c r="O35" s="814"/>
      <c r="P35" s="814"/>
      <c r="Q35" s="815"/>
    </row>
    <row r="36" spans="1:18" ht="16.5" customHeight="1" x14ac:dyDescent="0.2">
      <c r="A36" s="801" t="s">
        <v>340</v>
      </c>
      <c r="B36" s="802"/>
      <c r="C36" s="802"/>
      <c r="D36" s="802"/>
      <c r="E36" s="802"/>
      <c r="F36" s="802"/>
      <c r="G36" s="802"/>
      <c r="H36" s="802"/>
      <c r="I36" s="802"/>
      <c r="J36" s="802"/>
      <c r="K36" s="802"/>
      <c r="L36" s="802"/>
      <c r="M36" s="802"/>
      <c r="N36" s="802"/>
      <c r="O36" s="802"/>
      <c r="P36" s="802"/>
      <c r="Q36" s="803"/>
    </row>
    <row r="37" spans="1:18" ht="26.25" thickBot="1" x14ac:dyDescent="0.25">
      <c r="A37" s="792" t="s">
        <v>358</v>
      </c>
      <c r="B37" s="793"/>
      <c r="C37" s="793"/>
      <c r="D37" s="793"/>
      <c r="E37" s="793"/>
      <c r="F37" s="793"/>
      <c r="G37" s="793"/>
      <c r="H37" s="793"/>
      <c r="I37" s="793"/>
      <c r="J37" s="793"/>
      <c r="K37" s="793"/>
      <c r="L37" s="793"/>
      <c r="M37" s="793"/>
      <c r="N37" s="793"/>
      <c r="O37" s="793"/>
      <c r="P37" s="793"/>
      <c r="Q37" s="794"/>
      <c r="R37" s="570" t="s">
        <v>345</v>
      </c>
    </row>
    <row r="60" ht="37.5" customHeight="1" x14ac:dyDescent="0.2"/>
  </sheetData>
  <mergeCells count="22">
    <mergeCell ref="A33:Q33"/>
    <mergeCell ref="A37:Q37"/>
    <mergeCell ref="A1:Q1"/>
    <mergeCell ref="P2:Q2"/>
    <mergeCell ref="P3:Q3"/>
    <mergeCell ref="P4:Q4"/>
    <mergeCell ref="P5:Q5"/>
    <mergeCell ref="A3:A8"/>
    <mergeCell ref="A36:Q36"/>
    <mergeCell ref="P6:Q6"/>
    <mergeCell ref="P7:Q7"/>
    <mergeCell ref="P8:Q8"/>
    <mergeCell ref="P13:Q13"/>
    <mergeCell ref="A34:Q34"/>
    <mergeCell ref="A35:Q35"/>
    <mergeCell ref="A9:A12"/>
    <mergeCell ref="A14:Q14"/>
    <mergeCell ref="A23:A24"/>
    <mergeCell ref="A25:A29"/>
    <mergeCell ref="A31:Q31"/>
    <mergeCell ref="A32:Q32"/>
    <mergeCell ref="A16:A22"/>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0"/>
  <sheetViews>
    <sheetView view="pageBreakPreview" zoomScaleNormal="100" zoomScaleSheetLayoutView="100" workbookViewId="0">
      <selection activeCell="K25" sqref="K25"/>
    </sheetView>
  </sheetViews>
  <sheetFormatPr defaultColWidth="9.140625" defaultRowHeight="15.75" x14ac:dyDescent="0.25"/>
  <cols>
    <col min="1" max="1" width="32.85546875" style="16" customWidth="1"/>
    <col min="2" max="2" width="40.28515625" style="16" customWidth="1"/>
    <col min="3" max="3" width="34.42578125" style="16" customWidth="1"/>
    <col min="4" max="4" width="12.140625" style="16" bestFit="1" customWidth="1"/>
    <col min="5" max="5" width="13.7109375" style="16" bestFit="1" customWidth="1"/>
    <col min="6" max="10" width="9.140625" style="16"/>
    <col min="11" max="11" width="13.7109375" style="16" bestFit="1" customWidth="1"/>
    <col min="12" max="12" width="9.140625" style="16"/>
    <col min="13" max="13" width="9.28515625" style="16" bestFit="1" customWidth="1"/>
    <col min="14" max="16384" width="9.140625" style="16"/>
  </cols>
  <sheetData>
    <row r="1" spans="1:5" x14ac:dyDescent="0.25">
      <c r="A1" s="713" t="s">
        <v>326</v>
      </c>
      <c r="B1" s="828"/>
      <c r="C1" s="829"/>
    </row>
    <row r="2" spans="1:5" ht="31.5" x14ac:dyDescent="0.25">
      <c r="A2" s="224"/>
      <c r="B2" s="9" t="s">
        <v>79</v>
      </c>
      <c r="C2" s="225" t="s">
        <v>45</v>
      </c>
    </row>
    <row r="3" spans="1:5" hidden="1" x14ac:dyDescent="0.25">
      <c r="A3" s="466">
        <v>39995</v>
      </c>
      <c r="B3" s="19">
        <v>1202915.42</v>
      </c>
      <c r="C3" s="467">
        <v>4155</v>
      </c>
      <c r="D3" s="15"/>
      <c r="E3" s="15"/>
    </row>
    <row r="4" spans="1:5" hidden="1" x14ac:dyDescent="0.25">
      <c r="A4" s="466">
        <v>40026</v>
      </c>
      <c r="B4" s="19">
        <v>857647.38</v>
      </c>
      <c r="C4" s="467">
        <v>3150</v>
      </c>
      <c r="D4" s="15"/>
      <c r="E4" s="15"/>
    </row>
    <row r="5" spans="1:5" hidden="1" x14ac:dyDescent="0.25">
      <c r="A5" s="466">
        <v>40057</v>
      </c>
      <c r="B5" s="19">
        <v>567423.17000000004</v>
      </c>
      <c r="C5" s="468">
        <v>3172</v>
      </c>
    </row>
    <row r="6" spans="1:5" hidden="1" x14ac:dyDescent="0.25">
      <c r="A6" s="466">
        <v>40087</v>
      </c>
      <c r="B6" s="19">
        <v>586124.01</v>
      </c>
      <c r="C6" s="468">
        <v>3172</v>
      </c>
    </row>
    <row r="7" spans="1:5" hidden="1" x14ac:dyDescent="0.25">
      <c r="A7" s="466">
        <v>40118</v>
      </c>
      <c r="B7" s="19">
        <v>675163.58</v>
      </c>
      <c r="C7" s="468">
        <v>3160</v>
      </c>
    </row>
    <row r="8" spans="1:5" hidden="1" x14ac:dyDescent="0.25">
      <c r="A8" s="466">
        <v>40148</v>
      </c>
      <c r="B8" s="19">
        <v>514901.26</v>
      </c>
      <c r="C8" s="468">
        <v>3175</v>
      </c>
    </row>
    <row r="9" spans="1:5" hidden="1" x14ac:dyDescent="0.25">
      <c r="A9" s="466">
        <v>40179</v>
      </c>
      <c r="B9" s="19">
        <v>617187.38</v>
      </c>
      <c r="C9" s="468">
        <v>3186</v>
      </c>
    </row>
    <row r="10" spans="1:5" hidden="1" x14ac:dyDescent="0.25">
      <c r="A10" s="466">
        <v>40210</v>
      </c>
      <c r="B10" s="19">
        <v>608261.57999999996</v>
      </c>
      <c r="C10" s="468">
        <v>3257</v>
      </c>
    </row>
    <row r="11" spans="1:5" hidden="1" x14ac:dyDescent="0.25">
      <c r="A11" s="466">
        <v>40238</v>
      </c>
      <c r="B11" s="19">
        <v>613887.02</v>
      </c>
      <c r="C11" s="468">
        <v>3349</v>
      </c>
    </row>
    <row r="12" spans="1:5" hidden="1" x14ac:dyDescent="0.25">
      <c r="A12" s="466">
        <v>40269</v>
      </c>
      <c r="B12" s="19">
        <v>590396.07999999996</v>
      </c>
      <c r="C12" s="468">
        <v>3390</v>
      </c>
    </row>
    <row r="13" spans="1:5" hidden="1" x14ac:dyDescent="0.25">
      <c r="A13" s="466">
        <v>40299</v>
      </c>
      <c r="B13" s="19">
        <v>739317.21</v>
      </c>
      <c r="C13" s="468">
        <v>3438</v>
      </c>
    </row>
    <row r="14" spans="1:5" hidden="1" x14ac:dyDescent="0.25">
      <c r="A14" s="466">
        <v>40330</v>
      </c>
      <c r="B14" s="19">
        <v>633411.6</v>
      </c>
      <c r="C14" s="468">
        <v>3479</v>
      </c>
    </row>
    <row r="15" spans="1:5" x14ac:dyDescent="0.25">
      <c r="A15" s="220" t="s">
        <v>3</v>
      </c>
      <c r="B15" s="19">
        <f>ROUND(52086.28,0)</f>
        <v>52086</v>
      </c>
      <c r="C15" s="469">
        <v>123</v>
      </c>
      <c r="D15" s="15"/>
    </row>
    <row r="16" spans="1:5" x14ac:dyDescent="0.25">
      <c r="A16" s="220" t="s">
        <v>4</v>
      </c>
      <c r="B16" s="19">
        <f>ROUND(66508.54,0)</f>
        <v>66509</v>
      </c>
      <c r="C16" s="470">
        <v>120</v>
      </c>
      <c r="D16" s="100"/>
      <c r="E16" s="97"/>
    </row>
    <row r="17" spans="1:5" x14ac:dyDescent="0.25">
      <c r="A17" s="220" t="s">
        <v>5</v>
      </c>
      <c r="B17" s="19">
        <f>ROUND(34620.38,0)</f>
        <v>34620</v>
      </c>
      <c r="C17" s="470">
        <v>115</v>
      </c>
      <c r="D17" s="100"/>
      <c r="E17" s="97"/>
    </row>
    <row r="18" spans="1:5" x14ac:dyDescent="0.25">
      <c r="A18" s="220" t="s">
        <v>6</v>
      </c>
      <c r="B18" s="19">
        <v>30212</v>
      </c>
      <c r="C18" s="470">
        <v>109</v>
      </c>
      <c r="D18" s="100"/>
      <c r="E18" s="97"/>
    </row>
    <row r="19" spans="1:5" x14ac:dyDescent="0.25">
      <c r="A19" s="220" t="s">
        <v>7</v>
      </c>
      <c r="B19" s="19">
        <v>42825</v>
      </c>
      <c r="C19" s="470">
        <v>107</v>
      </c>
      <c r="D19" s="100"/>
      <c r="E19" s="97"/>
    </row>
    <row r="20" spans="1:5" x14ac:dyDescent="0.25">
      <c r="A20" s="220" t="s">
        <v>8</v>
      </c>
      <c r="B20" s="19">
        <f>ROUND(37701.36,0)</f>
        <v>37701</v>
      </c>
      <c r="C20" s="470">
        <v>91</v>
      </c>
      <c r="D20" s="100"/>
      <c r="E20" s="97"/>
    </row>
    <row r="21" spans="1:5" x14ac:dyDescent="0.25">
      <c r="A21" s="220" t="s">
        <v>9</v>
      </c>
      <c r="B21" s="19">
        <f>ROUND(39135.44,0)</f>
        <v>39135</v>
      </c>
      <c r="C21" s="468">
        <v>82</v>
      </c>
      <c r="D21" s="100"/>
      <c r="E21" s="97"/>
    </row>
    <row r="22" spans="1:5" x14ac:dyDescent="0.25">
      <c r="A22" s="220" t="s">
        <v>10</v>
      </c>
      <c r="B22" s="19">
        <v>16036.770000000006</v>
      </c>
      <c r="C22" s="468">
        <v>69</v>
      </c>
      <c r="D22" s="100"/>
    </row>
    <row r="23" spans="1:5" x14ac:dyDescent="0.25">
      <c r="A23" s="220" t="s">
        <v>11</v>
      </c>
      <c r="B23" s="578">
        <v>15551.14</v>
      </c>
      <c r="C23" s="590">
        <v>78</v>
      </c>
      <c r="D23" s="100"/>
    </row>
    <row r="24" spans="1:5" x14ac:dyDescent="0.25">
      <c r="A24" s="220" t="s">
        <v>12</v>
      </c>
      <c r="B24" s="578">
        <v>24987.62</v>
      </c>
      <c r="C24" s="590">
        <v>72</v>
      </c>
      <c r="D24" s="100"/>
    </row>
    <row r="25" spans="1:5" x14ac:dyDescent="0.25">
      <c r="A25" s="220" t="s">
        <v>13</v>
      </c>
      <c r="B25" s="578">
        <v>16396.11</v>
      </c>
      <c r="C25" s="590">
        <v>79</v>
      </c>
      <c r="D25" s="100"/>
    </row>
    <row r="26" spans="1:5" x14ac:dyDescent="0.25">
      <c r="A26" s="222" t="s">
        <v>25</v>
      </c>
      <c r="B26" s="65"/>
      <c r="C26" s="471"/>
      <c r="D26" s="100"/>
    </row>
    <row r="27" spans="1:5" x14ac:dyDescent="0.25">
      <c r="A27" s="227" t="s">
        <v>47</v>
      </c>
      <c r="B27" s="24">
        <f>SUM(B15:B26)</f>
        <v>376059.64</v>
      </c>
      <c r="C27" s="472">
        <f>IFERROR(ROUND(AVERAGE(C15:C26),0),0)</f>
        <v>95</v>
      </c>
      <c r="D27" s="101"/>
      <c r="E27" s="99"/>
    </row>
    <row r="28" spans="1:5" x14ac:dyDescent="0.25">
      <c r="A28" s="209" t="s">
        <v>35</v>
      </c>
      <c r="B28" s="19">
        <v>10000000</v>
      </c>
      <c r="C28" s="473"/>
    </row>
    <row r="29" spans="1:5" ht="16.5" thickBot="1" x14ac:dyDescent="0.3">
      <c r="A29" s="534" t="s">
        <v>23</v>
      </c>
      <c r="B29" s="24">
        <f>B28-B27</f>
        <v>9623940.3599999994</v>
      </c>
      <c r="C29" s="474"/>
    </row>
    <row r="30" spans="1:5" x14ac:dyDescent="0.25">
      <c r="A30" s="716" t="s">
        <v>24</v>
      </c>
      <c r="B30" s="717"/>
      <c r="C30" s="718"/>
    </row>
    <row r="31" spans="1:5" ht="27" customHeight="1" x14ac:dyDescent="0.25">
      <c r="A31" s="830" t="s">
        <v>46</v>
      </c>
      <c r="B31" s="831"/>
      <c r="C31" s="832"/>
    </row>
    <row r="32" spans="1:5" ht="15" customHeight="1" thickBot="1" x14ac:dyDescent="0.3">
      <c r="A32" s="825" t="s">
        <v>134</v>
      </c>
      <c r="B32" s="826"/>
      <c r="C32" s="827"/>
    </row>
    <row r="33" spans="1:9" s="430" customFormat="1" ht="27" customHeight="1" thickBot="1" x14ac:dyDescent="0.3">
      <c r="A33" s="822" t="s">
        <v>333</v>
      </c>
      <c r="B33" s="823"/>
      <c r="C33" s="824"/>
    </row>
    <row r="34" spans="1:9" s="430" customFormat="1" ht="16.5" thickBot="1" x14ac:dyDescent="0.3">
      <c r="A34" s="822" t="s">
        <v>338</v>
      </c>
      <c r="B34" s="823"/>
      <c r="C34" s="824"/>
    </row>
    <row r="35" spans="1:9" ht="27" customHeight="1" x14ac:dyDescent="0.25">
      <c r="A35" s="819" t="s">
        <v>359</v>
      </c>
      <c r="B35" s="820"/>
      <c r="C35" s="821"/>
      <c r="D35" s="621"/>
      <c r="E35" s="621"/>
      <c r="F35" s="621"/>
      <c r="G35" s="621"/>
      <c r="H35" s="621"/>
      <c r="I35" s="621"/>
    </row>
    <row r="36" spans="1:9" ht="52.5" thickBot="1" x14ac:dyDescent="0.3">
      <c r="A36" s="816" t="s">
        <v>351</v>
      </c>
      <c r="B36" s="817"/>
      <c r="C36" s="818"/>
      <c r="D36" s="568" t="s">
        <v>360</v>
      </c>
    </row>
    <row r="40" spans="1:9" x14ac:dyDescent="0.25">
      <c r="B40" s="147"/>
    </row>
    <row r="41" spans="1:9" x14ac:dyDescent="0.25">
      <c r="B41" s="147"/>
    </row>
    <row r="42" spans="1:9" x14ac:dyDescent="0.25">
      <c r="B42" s="147"/>
    </row>
    <row r="43" spans="1:9" x14ac:dyDescent="0.25">
      <c r="B43" s="147"/>
    </row>
    <row r="44" spans="1:9" x14ac:dyDescent="0.25">
      <c r="B44" s="147"/>
    </row>
    <row r="60" ht="37.5" customHeight="1" x14ac:dyDescent="0.25"/>
  </sheetData>
  <mergeCells count="8">
    <mergeCell ref="A36:C36"/>
    <mergeCell ref="A35:C35"/>
    <mergeCell ref="A33:C33"/>
    <mergeCell ref="A32:C32"/>
    <mergeCell ref="A1:C1"/>
    <mergeCell ref="A30:C30"/>
    <mergeCell ref="A31:C31"/>
    <mergeCell ref="A34:C34"/>
  </mergeCells>
  <phoneticPr fontId="1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60"/>
  <sheetViews>
    <sheetView view="pageBreakPreview" zoomScaleNormal="100" zoomScaleSheetLayoutView="100" workbookViewId="0">
      <selection activeCell="K25" sqref="K25"/>
    </sheetView>
  </sheetViews>
  <sheetFormatPr defaultColWidth="9.140625" defaultRowHeight="15.75" x14ac:dyDescent="0.25"/>
  <cols>
    <col min="1" max="1" width="31.5703125" style="16" customWidth="1"/>
    <col min="2" max="2" width="42" style="16" customWidth="1"/>
    <col min="3" max="3" width="45" style="16" customWidth="1"/>
    <col min="4" max="4" width="15.140625" style="16" bestFit="1" customWidth="1"/>
    <col min="5" max="5" width="12.7109375" style="97" customWidth="1"/>
    <col min="6" max="6" width="9.140625" style="16"/>
    <col min="7" max="7" width="41.42578125" style="16" customWidth="1"/>
    <col min="8" max="10" width="9.140625" style="16"/>
    <col min="11" max="11" width="13.7109375" style="16" bestFit="1" customWidth="1"/>
    <col min="12" max="12" width="9.140625" style="16"/>
    <col min="13" max="13" width="9.28515625" style="16" bestFit="1" customWidth="1"/>
    <col min="14" max="16384" width="9.140625" style="16"/>
  </cols>
  <sheetData>
    <row r="1" spans="1:7" x14ac:dyDescent="0.25">
      <c r="A1" s="713" t="s">
        <v>327</v>
      </c>
      <c r="B1" s="828"/>
      <c r="C1" s="829"/>
    </row>
    <row r="2" spans="1:7" ht="31.5" x14ac:dyDescent="0.25">
      <c r="A2" s="224"/>
      <c r="B2" s="9" t="s">
        <v>79</v>
      </c>
      <c r="C2" s="225" t="s">
        <v>48</v>
      </c>
    </row>
    <row r="3" spans="1:7" x14ac:dyDescent="0.25">
      <c r="A3" s="220" t="s">
        <v>3</v>
      </c>
      <c r="B3" s="19">
        <f>ROUND(10410261.38,0)</f>
        <v>10410261</v>
      </c>
      <c r="C3" s="467">
        <f>74445-1105</f>
        <v>73340</v>
      </c>
      <c r="D3" s="15"/>
      <c r="E3" s="15"/>
    </row>
    <row r="4" spans="1:7" x14ac:dyDescent="0.25">
      <c r="A4" s="220" t="s">
        <v>4</v>
      </c>
      <c r="B4" s="19">
        <f>ROUND(10257066.83,0)</f>
        <v>10257067</v>
      </c>
      <c r="C4" s="467">
        <f>75288-1171</f>
        <v>74117</v>
      </c>
      <c r="D4" s="15"/>
      <c r="E4" s="33"/>
    </row>
    <row r="5" spans="1:7" x14ac:dyDescent="0.25">
      <c r="A5" s="220" t="s">
        <v>5</v>
      </c>
      <c r="B5" s="19">
        <v>10267131.23</v>
      </c>
      <c r="C5" s="468">
        <v>73665</v>
      </c>
      <c r="E5" s="33"/>
    </row>
    <row r="6" spans="1:7" x14ac:dyDescent="0.25">
      <c r="A6" s="220" t="s">
        <v>6</v>
      </c>
      <c r="B6" s="19">
        <v>10375240.460000001</v>
      </c>
      <c r="C6" s="468">
        <f>75081-1195</f>
        <v>73886</v>
      </c>
      <c r="E6" s="33"/>
    </row>
    <row r="7" spans="1:7" x14ac:dyDescent="0.25">
      <c r="A7" s="220" t="s">
        <v>7</v>
      </c>
      <c r="B7" s="19">
        <v>10312482.32</v>
      </c>
      <c r="C7" s="468">
        <f>76023-2258</f>
        <v>73765</v>
      </c>
      <c r="E7" s="33"/>
    </row>
    <row r="8" spans="1:7" x14ac:dyDescent="0.25">
      <c r="A8" s="220" t="s">
        <v>8</v>
      </c>
      <c r="B8" s="19">
        <v>10486832.48</v>
      </c>
      <c r="C8" s="468">
        <v>58528</v>
      </c>
      <c r="E8" s="33"/>
    </row>
    <row r="9" spans="1:7" x14ac:dyDescent="0.25">
      <c r="A9" s="220" t="s">
        <v>9</v>
      </c>
      <c r="B9" s="19">
        <v>10487574.449999999</v>
      </c>
      <c r="C9" s="468">
        <v>78782</v>
      </c>
      <c r="E9" s="33"/>
      <c r="G9" s="96"/>
    </row>
    <row r="10" spans="1:7" x14ac:dyDescent="0.25">
      <c r="A10" s="220" t="s">
        <v>10</v>
      </c>
      <c r="B10" s="19">
        <v>8467094.3499999996</v>
      </c>
      <c r="C10" s="468">
        <v>77326</v>
      </c>
      <c r="E10" s="33"/>
    </row>
    <row r="11" spans="1:7" x14ac:dyDescent="0.25">
      <c r="A11" s="220" t="s">
        <v>11</v>
      </c>
      <c r="B11" s="19">
        <v>12443747.48</v>
      </c>
      <c r="C11" s="468">
        <f>77007-1544</f>
        <v>75463</v>
      </c>
      <c r="E11" s="33"/>
      <c r="F11" s="17"/>
    </row>
    <row r="12" spans="1:7" x14ac:dyDescent="0.25">
      <c r="A12" s="220" t="s">
        <v>12</v>
      </c>
      <c r="B12" s="19">
        <v>12244009.609999999</v>
      </c>
      <c r="C12" s="468">
        <f>77424-1299</f>
        <v>76125</v>
      </c>
      <c r="E12" s="33"/>
      <c r="F12" s="17"/>
    </row>
    <row r="13" spans="1:7" x14ac:dyDescent="0.25">
      <c r="A13" s="220" t="s">
        <v>13</v>
      </c>
      <c r="B13" s="19">
        <f>ROUND(11971339.79,0)</f>
        <v>11971340</v>
      </c>
      <c r="C13" s="467"/>
      <c r="E13" s="33"/>
    </row>
    <row r="14" spans="1:7" x14ac:dyDescent="0.25">
      <c r="A14" s="222" t="s">
        <v>25</v>
      </c>
      <c r="B14" s="65"/>
      <c r="C14" s="471"/>
      <c r="E14" s="33"/>
    </row>
    <row r="15" spans="1:7" x14ac:dyDescent="0.25">
      <c r="A15" s="227" t="s">
        <v>47</v>
      </c>
      <c r="B15" s="24">
        <f>SUM(B3:B14)</f>
        <v>117722780.38</v>
      </c>
      <c r="C15" s="472">
        <f>IFERROR(ROUND(AVERAGE(C3:C14),0),0)</f>
        <v>73500</v>
      </c>
      <c r="D15" s="98"/>
    </row>
    <row r="16" spans="1:7" x14ac:dyDescent="0.25">
      <c r="A16" s="209" t="s">
        <v>35</v>
      </c>
      <c r="B16" s="353">
        <v>130953722</v>
      </c>
      <c r="C16" s="473">
        <v>74368</v>
      </c>
      <c r="D16" s="99"/>
      <c r="E16" s="137"/>
    </row>
    <row r="17" spans="1:4" ht="16.5" thickBot="1" x14ac:dyDescent="0.3">
      <c r="A17" s="534" t="s">
        <v>23</v>
      </c>
      <c r="B17" s="24">
        <f>B16-B15</f>
        <v>13230941.620000005</v>
      </c>
      <c r="C17" s="474"/>
    </row>
    <row r="18" spans="1:4" ht="16.5" thickBot="1" x14ac:dyDescent="0.3">
      <c r="A18" s="716" t="s">
        <v>24</v>
      </c>
      <c r="B18" s="717"/>
      <c r="C18" s="718"/>
    </row>
    <row r="19" spans="1:4" ht="39" customHeight="1" x14ac:dyDescent="0.25">
      <c r="A19" s="836" t="s">
        <v>160</v>
      </c>
      <c r="B19" s="837"/>
      <c r="C19" s="838"/>
    </row>
    <row r="20" spans="1:4" ht="24.75" customHeight="1" x14ac:dyDescent="0.25">
      <c r="A20" s="833" t="s">
        <v>161</v>
      </c>
      <c r="B20" s="834"/>
      <c r="C20" s="835"/>
    </row>
    <row r="21" spans="1:4" x14ac:dyDescent="0.25">
      <c r="A21" s="833" t="s">
        <v>126</v>
      </c>
      <c r="B21" s="834"/>
      <c r="C21" s="835"/>
    </row>
    <row r="22" spans="1:4" ht="27" thickBot="1" x14ac:dyDescent="0.3">
      <c r="A22" s="839" t="s">
        <v>354</v>
      </c>
      <c r="B22" s="840"/>
      <c r="C22" s="841"/>
      <c r="D22" s="568" t="s">
        <v>345</v>
      </c>
    </row>
    <row r="23" spans="1:4" x14ac:dyDescent="0.25">
      <c r="A23" s="842"/>
      <c r="B23" s="842"/>
      <c r="C23" s="842"/>
    </row>
    <row r="25" spans="1:4" x14ac:dyDescent="0.25">
      <c r="A25" s="730"/>
      <c r="B25" s="730"/>
      <c r="C25" s="730"/>
    </row>
    <row r="29" spans="1:4" x14ac:dyDescent="0.25">
      <c r="A29" s="316"/>
      <c r="B29" s="146"/>
    </row>
    <row r="30" spans="1:4" x14ac:dyDescent="0.25">
      <c r="A30" s="316"/>
      <c r="B30" s="146"/>
    </row>
    <row r="31" spans="1:4" x14ac:dyDescent="0.25">
      <c r="B31" s="146"/>
    </row>
    <row r="32" spans="1:4" x14ac:dyDescent="0.25">
      <c r="B32" s="146"/>
    </row>
    <row r="33" spans="2:2" x14ac:dyDescent="0.25">
      <c r="B33" s="146"/>
    </row>
    <row r="35" spans="2:2" x14ac:dyDescent="0.25">
      <c r="B35" s="523"/>
    </row>
    <row r="36" spans="2:2" x14ac:dyDescent="0.25">
      <c r="B36" s="523"/>
    </row>
    <row r="60" ht="37.5" customHeight="1" x14ac:dyDescent="0.25"/>
  </sheetData>
  <mergeCells count="8">
    <mergeCell ref="A21:C21"/>
    <mergeCell ref="A1:C1"/>
    <mergeCell ref="A18:C18"/>
    <mergeCell ref="A19:C19"/>
    <mergeCell ref="A25:C25"/>
    <mergeCell ref="A20:C20"/>
    <mergeCell ref="A22:C22"/>
    <mergeCell ref="A23:C23"/>
  </mergeCells>
  <phoneticPr fontId="1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workbookViewId="0"/>
  </sheetViews>
  <sheetFormatPr defaultColWidth="36.7109375" defaultRowHeight="15.75" x14ac:dyDescent="0.2"/>
  <cols>
    <col min="1" max="1" width="16.5703125" style="363" customWidth="1"/>
    <col min="2" max="2" width="19.140625" style="363" customWidth="1"/>
    <col min="3" max="3" width="13" style="363" customWidth="1"/>
    <col min="4" max="4" width="36.7109375" style="363"/>
    <col min="5" max="5" width="14.42578125" style="397" bestFit="1" customWidth="1"/>
    <col min="6" max="8" width="15.7109375" style="397" bestFit="1" customWidth="1"/>
    <col min="9" max="9" width="14.28515625" style="397" bestFit="1" customWidth="1"/>
    <col min="10" max="10" width="15.7109375" style="397" bestFit="1" customWidth="1"/>
    <col min="11" max="11" width="14.28515625" style="397" bestFit="1" customWidth="1"/>
    <col min="12" max="16" width="15.7109375" style="397" bestFit="1" customWidth="1"/>
    <col min="17" max="17" width="18.7109375" style="397" customWidth="1"/>
    <col min="18" max="16384" width="36.7109375" style="363"/>
  </cols>
  <sheetData>
    <row r="2" spans="2:18" ht="16.5" thickBot="1" x14ac:dyDescent="0.25">
      <c r="B2" s="843" t="s">
        <v>275</v>
      </c>
      <c r="C2" s="843"/>
      <c r="D2" s="843"/>
      <c r="E2" s="843"/>
      <c r="F2" s="843"/>
      <c r="G2" s="843"/>
      <c r="H2" s="843"/>
      <c r="I2" s="843"/>
      <c r="J2" s="843"/>
      <c r="K2" s="843"/>
      <c r="L2" s="843"/>
      <c r="M2" s="843"/>
      <c r="N2" s="843"/>
      <c r="O2" s="843"/>
      <c r="P2" s="843"/>
      <c r="Q2" s="843"/>
    </row>
    <row r="3" spans="2:18" ht="16.5" thickBot="1" x14ac:dyDescent="0.25">
      <c r="B3" s="364" t="s">
        <v>276</v>
      </c>
      <c r="C3" s="844" t="s">
        <v>49</v>
      </c>
      <c r="D3" s="845"/>
      <c r="E3" s="365">
        <v>41456</v>
      </c>
      <c r="F3" s="366">
        <v>41487</v>
      </c>
      <c r="G3" s="366">
        <v>41518</v>
      </c>
      <c r="H3" s="366">
        <v>41548</v>
      </c>
      <c r="I3" s="366">
        <v>41579</v>
      </c>
      <c r="J3" s="366">
        <v>41609</v>
      </c>
      <c r="K3" s="366">
        <v>41640</v>
      </c>
      <c r="L3" s="366">
        <v>41671</v>
      </c>
      <c r="M3" s="366">
        <v>41699</v>
      </c>
      <c r="N3" s="366">
        <v>41730</v>
      </c>
      <c r="O3" s="366">
        <v>41760</v>
      </c>
      <c r="P3" s="407">
        <v>41791</v>
      </c>
      <c r="Q3" s="398" t="s">
        <v>277</v>
      </c>
      <c r="R3" s="368"/>
    </row>
    <row r="4" spans="2:18" x14ac:dyDescent="0.2">
      <c r="B4" s="846" t="s">
        <v>278</v>
      </c>
      <c r="C4" s="849" t="s">
        <v>279</v>
      </c>
      <c r="D4" s="369" t="s">
        <v>50</v>
      </c>
      <c r="E4" s="370"/>
      <c r="F4" s="370"/>
      <c r="G4" s="370"/>
      <c r="H4" s="370"/>
      <c r="I4" s="370"/>
      <c r="J4" s="370"/>
      <c r="K4" s="370">
        <v>4608875.58</v>
      </c>
      <c r="L4" s="370">
        <v>8275700.4000000004</v>
      </c>
      <c r="M4" s="370">
        <v>9576439.0700000022</v>
      </c>
      <c r="N4" s="370">
        <v>12204044.729999999</v>
      </c>
      <c r="O4" s="370">
        <v>9470911.6600000001</v>
      </c>
      <c r="P4" s="408">
        <v>13799106.719999999</v>
      </c>
      <c r="Q4" s="399">
        <f>SUM(E4:P4)</f>
        <v>57935078.159999996</v>
      </c>
      <c r="R4" s="368" t="b">
        <v>1</v>
      </c>
    </row>
    <row r="5" spans="2:18" x14ac:dyDescent="0.2">
      <c r="B5" s="847"/>
      <c r="C5" s="850"/>
      <c r="D5" s="372" t="s">
        <v>280</v>
      </c>
      <c r="E5" s="373"/>
      <c r="F5" s="373"/>
      <c r="G5" s="373"/>
      <c r="H5" s="373"/>
      <c r="I5" s="373"/>
      <c r="J5" s="373"/>
      <c r="K5" s="373">
        <v>1270.6199999999999</v>
      </c>
      <c r="L5" s="373">
        <v>4689.99</v>
      </c>
      <c r="M5" s="373">
        <v>11120.67</v>
      </c>
      <c r="N5" s="373">
        <v>12772.1</v>
      </c>
      <c r="O5" s="373">
        <v>7778.6</v>
      </c>
      <c r="P5" s="409">
        <v>9347.32</v>
      </c>
      <c r="Q5" s="400">
        <f t="shared" ref="Q5:Q12" si="0">SUM(E5:P5)</f>
        <v>46979.299999999996</v>
      </c>
      <c r="R5" s="368" t="b">
        <v>1</v>
      </c>
    </row>
    <row r="6" spans="2:18" x14ac:dyDescent="0.2">
      <c r="B6" s="847"/>
      <c r="C6" s="850"/>
      <c r="D6" s="372" t="s">
        <v>70</v>
      </c>
      <c r="E6" s="373"/>
      <c r="F6" s="373"/>
      <c r="G6" s="373"/>
      <c r="H6" s="373"/>
      <c r="I6" s="373"/>
      <c r="J6" s="373"/>
      <c r="K6" s="373">
        <v>0</v>
      </c>
      <c r="L6" s="373">
        <v>0</v>
      </c>
      <c r="M6" s="373">
        <v>0</v>
      </c>
      <c r="N6" s="373">
        <v>0</v>
      </c>
      <c r="O6" s="373">
        <v>0</v>
      </c>
      <c r="P6" s="409">
        <v>0</v>
      </c>
      <c r="Q6" s="400">
        <f t="shared" si="0"/>
        <v>0</v>
      </c>
      <c r="R6" s="368" t="b">
        <v>1</v>
      </c>
    </row>
    <row r="7" spans="2:18" ht="16.5" thickBot="1" x14ac:dyDescent="0.25">
      <c r="B7" s="847"/>
      <c r="C7" s="850"/>
      <c r="D7" s="375" t="s">
        <v>281</v>
      </c>
      <c r="E7" s="376"/>
      <c r="F7" s="376"/>
      <c r="G7" s="376"/>
      <c r="H7" s="376"/>
      <c r="I7" s="376"/>
      <c r="J7" s="376"/>
      <c r="K7" s="376">
        <v>323992.44</v>
      </c>
      <c r="L7" s="376">
        <v>310333.81</v>
      </c>
      <c r="M7" s="376">
        <v>334712.8</v>
      </c>
      <c r="N7" s="376">
        <v>361267.98</v>
      </c>
      <c r="O7" s="376">
        <v>361084.46</v>
      </c>
      <c r="P7" s="410">
        <v>409296.9</v>
      </c>
      <c r="Q7" s="401">
        <f t="shared" si="0"/>
        <v>2100688.39</v>
      </c>
      <c r="R7" s="368" t="b">
        <v>1</v>
      </c>
    </row>
    <row r="8" spans="2:18" ht="17.25" hidden="1" thickTop="1" thickBot="1" x14ac:dyDescent="0.25">
      <c r="B8" s="847"/>
      <c r="C8" s="850"/>
      <c r="D8" s="378" t="s">
        <v>75</v>
      </c>
      <c r="E8" s="379"/>
      <c r="F8" s="379"/>
      <c r="G8" s="379"/>
      <c r="H8" s="379"/>
      <c r="I8" s="379"/>
      <c r="J8" s="379"/>
      <c r="K8" s="379">
        <v>0</v>
      </c>
      <c r="L8" s="379">
        <v>0</v>
      </c>
      <c r="M8" s="379">
        <v>0</v>
      </c>
      <c r="N8" s="379">
        <v>0</v>
      </c>
      <c r="O8" s="379">
        <v>0</v>
      </c>
      <c r="P8" s="411">
        <v>0</v>
      </c>
      <c r="Q8" s="402">
        <f t="shared" si="0"/>
        <v>0</v>
      </c>
      <c r="R8" s="368" t="b">
        <v>1</v>
      </c>
    </row>
    <row r="9" spans="2:18" ht="17.25" thickTop="1" thickBot="1" x14ac:dyDescent="0.25">
      <c r="B9" s="847"/>
      <c r="C9" s="851"/>
      <c r="D9" s="380" t="s">
        <v>282</v>
      </c>
      <c r="E9" s="381"/>
      <c r="F9" s="381"/>
      <c r="G9" s="381"/>
      <c r="H9" s="381"/>
      <c r="I9" s="381"/>
      <c r="J9" s="381"/>
      <c r="K9" s="381">
        <f t="shared" ref="K9:P9" si="1">SUM(K4:K8)</f>
        <v>4934138.6400000006</v>
      </c>
      <c r="L9" s="381">
        <f t="shared" si="1"/>
        <v>8590724.2000000011</v>
      </c>
      <c r="M9" s="381">
        <f t="shared" si="1"/>
        <v>9922272.5400000028</v>
      </c>
      <c r="N9" s="381">
        <f t="shared" si="1"/>
        <v>12578084.809999999</v>
      </c>
      <c r="O9" s="381">
        <f t="shared" si="1"/>
        <v>9839774.7200000007</v>
      </c>
      <c r="P9" s="412">
        <f t="shared" si="1"/>
        <v>14217750.939999999</v>
      </c>
      <c r="Q9" s="403">
        <f t="shared" si="0"/>
        <v>60082745.849999994</v>
      </c>
      <c r="R9" s="368" t="b">
        <v>1</v>
      </c>
    </row>
    <row r="10" spans="2:18" x14ac:dyDescent="0.2">
      <c r="B10" s="847"/>
      <c r="C10" s="852" t="s">
        <v>283</v>
      </c>
      <c r="D10" s="853"/>
      <c r="E10" s="382"/>
      <c r="F10" s="382"/>
      <c r="G10" s="382"/>
      <c r="H10" s="382"/>
      <c r="I10" s="382"/>
      <c r="J10" s="382"/>
      <c r="K10" s="373">
        <v>0</v>
      </c>
      <c r="L10" s="382">
        <v>0</v>
      </c>
      <c r="M10" s="382">
        <v>0</v>
      </c>
      <c r="N10" s="382">
        <v>0</v>
      </c>
      <c r="O10" s="382">
        <v>0</v>
      </c>
      <c r="P10" s="413">
        <v>0</v>
      </c>
      <c r="Q10" s="404">
        <f t="shared" si="0"/>
        <v>0</v>
      </c>
      <c r="R10" s="368" t="b">
        <v>1</v>
      </c>
    </row>
    <row r="11" spans="2:18" ht="16.5" thickBot="1" x14ac:dyDescent="0.25">
      <c r="B11" s="847"/>
      <c r="C11" s="854" t="s">
        <v>284</v>
      </c>
      <c r="D11" s="855"/>
      <c r="E11" s="376"/>
      <c r="F11" s="376"/>
      <c r="G11" s="376"/>
      <c r="H11" s="376"/>
      <c r="I11" s="376"/>
      <c r="J11" s="376"/>
      <c r="K11" s="376">
        <v>0</v>
      </c>
      <c r="L11" s="376">
        <v>0</v>
      </c>
      <c r="M11" s="376">
        <v>394.5</v>
      </c>
      <c r="N11" s="376">
        <v>0</v>
      </c>
      <c r="O11" s="376">
        <v>0</v>
      </c>
      <c r="P11" s="410">
        <v>52.28</v>
      </c>
      <c r="Q11" s="401">
        <f t="shared" si="0"/>
        <v>446.78</v>
      </c>
      <c r="R11" s="368" t="b">
        <v>1</v>
      </c>
    </row>
    <row r="12" spans="2:18" ht="16.5" thickTop="1" x14ac:dyDescent="0.2">
      <c r="B12" s="847"/>
      <c r="C12" s="852" t="s">
        <v>130</v>
      </c>
      <c r="D12" s="853"/>
      <c r="E12" s="384"/>
      <c r="F12" s="384"/>
      <c r="G12" s="384"/>
      <c r="H12" s="384"/>
      <c r="I12" s="384"/>
      <c r="J12" s="384"/>
      <c r="K12" s="384">
        <f t="shared" ref="K12:P12" si="2">K9+K10+K11</f>
        <v>4934138.6400000006</v>
      </c>
      <c r="L12" s="384">
        <f t="shared" si="2"/>
        <v>8590724.2000000011</v>
      </c>
      <c r="M12" s="384">
        <f t="shared" si="2"/>
        <v>9922667.0400000028</v>
      </c>
      <c r="N12" s="384">
        <f t="shared" si="2"/>
        <v>12578084.809999999</v>
      </c>
      <c r="O12" s="384">
        <f t="shared" si="2"/>
        <v>9839774.7200000007</v>
      </c>
      <c r="P12" s="414">
        <f t="shared" si="2"/>
        <v>14217803.219999999</v>
      </c>
      <c r="Q12" s="404">
        <f t="shared" si="0"/>
        <v>60083192.629999995</v>
      </c>
      <c r="R12" s="368" t="b">
        <v>1</v>
      </c>
    </row>
    <row r="13" spans="2:18" x14ac:dyDescent="0.2">
      <c r="B13" s="847"/>
      <c r="C13" s="856" t="s">
        <v>118</v>
      </c>
      <c r="D13" s="857"/>
      <c r="E13" s="385"/>
      <c r="F13" s="385"/>
      <c r="G13" s="385"/>
      <c r="H13" s="385"/>
      <c r="I13" s="385"/>
      <c r="J13" s="385"/>
      <c r="K13" s="385">
        <v>38413</v>
      </c>
      <c r="L13" s="385">
        <v>40465</v>
      </c>
      <c r="M13" s="385">
        <v>44348</v>
      </c>
      <c r="N13" s="385">
        <v>47215</v>
      </c>
      <c r="O13" s="385">
        <v>48526</v>
      </c>
      <c r="P13" s="415">
        <v>51279</v>
      </c>
      <c r="Q13" s="405">
        <f>AVERAGE(E13:P13)</f>
        <v>45041</v>
      </c>
      <c r="R13" s="368" t="b">
        <v>1</v>
      </c>
    </row>
    <row r="14" spans="2:18" ht="16.5" thickBot="1" x14ac:dyDescent="0.25">
      <c r="B14" s="848"/>
      <c r="C14" s="858" t="s">
        <v>285</v>
      </c>
      <c r="D14" s="859"/>
      <c r="E14" s="387"/>
      <c r="F14" s="388"/>
      <c r="G14" s="388"/>
      <c r="H14" s="388"/>
      <c r="I14" s="388"/>
      <c r="J14" s="388"/>
      <c r="K14" s="389">
        <v>128.44970817171273</v>
      </c>
      <c r="L14" s="389">
        <v>212.30011614975908</v>
      </c>
      <c r="M14" s="389">
        <v>223.74553621358353</v>
      </c>
      <c r="N14" s="389">
        <v>266.40018659324363</v>
      </c>
      <c r="O14" s="389">
        <v>202.77324980422867</v>
      </c>
      <c r="P14" s="416">
        <v>277.26365997776867</v>
      </c>
      <c r="Q14" s="418">
        <f t="shared" ref="Q14" si="3">Q12/Q13</f>
        <v>1333.96666659266</v>
      </c>
      <c r="R14" s="368" t="b">
        <v>1</v>
      </c>
    </row>
    <row r="15" spans="2:18" ht="15.75" customHeight="1" x14ac:dyDescent="0.2">
      <c r="B15" s="846" t="s">
        <v>140</v>
      </c>
      <c r="C15" s="849" t="s">
        <v>279</v>
      </c>
      <c r="D15" s="369" t="s">
        <v>50</v>
      </c>
      <c r="E15" s="370"/>
      <c r="F15" s="370"/>
      <c r="G15" s="370"/>
      <c r="H15" s="370"/>
      <c r="I15" s="370"/>
      <c r="J15" s="370"/>
      <c r="K15" s="370">
        <v>11457167.18</v>
      </c>
      <c r="L15" s="370">
        <v>31284953.710000005</v>
      </c>
      <c r="M15" s="370">
        <v>42431585.569999993</v>
      </c>
      <c r="N15" s="370">
        <v>61804746.140000001</v>
      </c>
      <c r="O15" s="370">
        <v>50688450.969999999</v>
      </c>
      <c r="P15" s="408">
        <v>72888903.719999984</v>
      </c>
      <c r="Q15" s="399">
        <f>SUM(E15:P15)</f>
        <v>270555807.28999996</v>
      </c>
      <c r="R15" s="368" t="b">
        <v>1</v>
      </c>
    </row>
    <row r="16" spans="2:18" x14ac:dyDescent="0.2">
      <c r="B16" s="847"/>
      <c r="C16" s="850"/>
      <c r="D16" s="372" t="s">
        <v>280</v>
      </c>
      <c r="E16" s="373"/>
      <c r="F16" s="373"/>
      <c r="G16" s="373"/>
      <c r="H16" s="373"/>
      <c r="I16" s="373"/>
      <c r="J16" s="373"/>
      <c r="K16" s="373">
        <v>2922.01</v>
      </c>
      <c r="L16" s="373">
        <v>117029.5</v>
      </c>
      <c r="M16" s="373">
        <v>106569.28</v>
      </c>
      <c r="N16" s="373">
        <v>244856.18000000002</v>
      </c>
      <c r="O16" s="373">
        <v>185379.5</v>
      </c>
      <c r="P16" s="409">
        <v>190215.86000000002</v>
      </c>
      <c r="Q16" s="400">
        <f t="shared" ref="Q16:Q23" si="4">SUM(E16:P16)</f>
        <v>846972.33</v>
      </c>
      <c r="R16" s="368" t="b">
        <v>1</v>
      </c>
    </row>
    <row r="17" spans="2:18" x14ac:dyDescent="0.2">
      <c r="B17" s="847"/>
      <c r="C17" s="850"/>
      <c r="D17" s="372" t="s">
        <v>70</v>
      </c>
      <c r="E17" s="373"/>
      <c r="F17" s="373"/>
      <c r="G17" s="373"/>
      <c r="H17" s="373"/>
      <c r="I17" s="373"/>
      <c r="J17" s="373"/>
      <c r="K17" s="373">
        <v>19586.48</v>
      </c>
      <c r="L17" s="373">
        <v>37637.730000000003</v>
      </c>
      <c r="M17" s="373">
        <v>67601.39</v>
      </c>
      <c r="N17" s="373">
        <v>107855.37</v>
      </c>
      <c r="O17" s="373">
        <v>66138.33</v>
      </c>
      <c r="P17" s="409">
        <v>109977.88</v>
      </c>
      <c r="Q17" s="400">
        <f t="shared" si="4"/>
        <v>408797.18</v>
      </c>
      <c r="R17" s="368" t="b">
        <v>1</v>
      </c>
    </row>
    <row r="18" spans="2:18" ht="16.5" thickBot="1" x14ac:dyDescent="0.25">
      <c r="B18" s="847"/>
      <c r="C18" s="850"/>
      <c r="D18" s="375" t="s">
        <v>281</v>
      </c>
      <c r="E18" s="376"/>
      <c r="F18" s="376"/>
      <c r="G18" s="376"/>
      <c r="H18" s="376"/>
      <c r="I18" s="376"/>
      <c r="J18" s="376"/>
      <c r="K18" s="376">
        <v>662801.59</v>
      </c>
      <c r="L18" s="376">
        <v>642036.63</v>
      </c>
      <c r="M18" s="376">
        <v>616427.04</v>
      </c>
      <c r="N18" s="376">
        <v>763576.75</v>
      </c>
      <c r="O18" s="376">
        <v>925348.75</v>
      </c>
      <c r="P18" s="410">
        <v>1137891.22</v>
      </c>
      <c r="Q18" s="401">
        <f t="shared" si="4"/>
        <v>4748081.9799999995</v>
      </c>
      <c r="R18" s="368" t="b">
        <v>1</v>
      </c>
    </row>
    <row r="19" spans="2:18" ht="17.25" hidden="1" thickTop="1" thickBot="1" x14ac:dyDescent="0.25">
      <c r="B19" s="847"/>
      <c r="C19" s="850"/>
      <c r="D19" s="378" t="s">
        <v>75</v>
      </c>
      <c r="E19" s="379"/>
      <c r="F19" s="379"/>
      <c r="G19" s="379"/>
      <c r="H19" s="379"/>
      <c r="I19" s="379"/>
      <c r="J19" s="379"/>
      <c r="K19" s="379">
        <v>0</v>
      </c>
      <c r="L19" s="379">
        <v>0</v>
      </c>
      <c r="M19" s="379">
        <v>0</v>
      </c>
      <c r="N19" s="379">
        <v>0</v>
      </c>
      <c r="O19" s="379">
        <v>0</v>
      </c>
      <c r="P19" s="411">
        <v>0</v>
      </c>
      <c r="Q19" s="402">
        <f t="shared" si="4"/>
        <v>0</v>
      </c>
      <c r="R19" s="368" t="b">
        <v>1</v>
      </c>
    </row>
    <row r="20" spans="2:18" ht="17.25" thickTop="1" thickBot="1" x14ac:dyDescent="0.25">
      <c r="B20" s="847"/>
      <c r="C20" s="851"/>
      <c r="D20" s="391" t="s">
        <v>282</v>
      </c>
      <c r="E20" s="392"/>
      <c r="F20" s="392"/>
      <c r="G20" s="392"/>
      <c r="H20" s="392"/>
      <c r="I20" s="392"/>
      <c r="J20" s="392"/>
      <c r="K20" s="381">
        <f t="shared" ref="K20:P20" si="5">SUM(K15:K19)</f>
        <v>12142477.26</v>
      </c>
      <c r="L20" s="381">
        <f t="shared" si="5"/>
        <v>32081657.570000004</v>
      </c>
      <c r="M20" s="381">
        <f t="shared" si="5"/>
        <v>43222183.279999994</v>
      </c>
      <c r="N20" s="381">
        <f t="shared" si="5"/>
        <v>62921034.439999998</v>
      </c>
      <c r="O20" s="381">
        <f t="shared" si="5"/>
        <v>51865317.549999997</v>
      </c>
      <c r="P20" s="412">
        <f t="shared" si="5"/>
        <v>74326988.679999977</v>
      </c>
      <c r="Q20" s="406">
        <f t="shared" si="4"/>
        <v>276559658.77999997</v>
      </c>
      <c r="R20" s="368" t="b">
        <v>1</v>
      </c>
    </row>
    <row r="21" spans="2:18" x14ac:dyDescent="0.2">
      <c r="B21" s="847"/>
      <c r="C21" s="852" t="s">
        <v>283</v>
      </c>
      <c r="D21" s="853"/>
      <c r="E21" s="382"/>
      <c r="F21" s="382"/>
      <c r="G21" s="382"/>
      <c r="H21" s="382"/>
      <c r="I21" s="382"/>
      <c r="J21" s="382"/>
      <c r="K21" s="373">
        <v>0</v>
      </c>
      <c r="L21" s="382">
        <v>0</v>
      </c>
      <c r="M21" s="382">
        <v>0</v>
      </c>
      <c r="N21" s="382">
        <v>0</v>
      </c>
      <c r="O21" s="382">
        <v>0</v>
      </c>
      <c r="P21" s="413">
        <v>0</v>
      </c>
      <c r="Q21" s="404">
        <f t="shared" si="4"/>
        <v>0</v>
      </c>
      <c r="R21" s="368" t="b">
        <v>1</v>
      </c>
    </row>
    <row r="22" spans="2:18" ht="16.5" thickBot="1" x14ac:dyDescent="0.25">
      <c r="B22" s="847"/>
      <c r="C22" s="854" t="s">
        <v>284</v>
      </c>
      <c r="D22" s="855"/>
      <c r="E22" s="376"/>
      <c r="F22" s="376"/>
      <c r="G22" s="376"/>
      <c r="H22" s="376"/>
      <c r="I22" s="376"/>
      <c r="J22" s="376"/>
      <c r="K22" s="376">
        <v>4944.5200000000004</v>
      </c>
      <c r="L22" s="376">
        <v>15261.19</v>
      </c>
      <c r="M22" s="376">
        <v>29370.18</v>
      </c>
      <c r="N22" s="376">
        <v>39866.51</v>
      </c>
      <c r="O22" s="376">
        <v>72776.710000000006</v>
      </c>
      <c r="P22" s="410">
        <v>97462.63</v>
      </c>
      <c r="Q22" s="401">
        <f t="shared" si="4"/>
        <v>259681.74</v>
      </c>
      <c r="R22" s="368" t="b">
        <v>1</v>
      </c>
    </row>
    <row r="23" spans="2:18" ht="16.5" thickTop="1" x14ac:dyDescent="0.2">
      <c r="B23" s="847"/>
      <c r="C23" s="852" t="s">
        <v>130</v>
      </c>
      <c r="D23" s="853"/>
      <c r="E23" s="384"/>
      <c r="F23" s="384"/>
      <c r="G23" s="384"/>
      <c r="H23" s="384"/>
      <c r="I23" s="384"/>
      <c r="J23" s="384"/>
      <c r="K23" s="384">
        <f t="shared" ref="K23:P23" si="6">K20+K21+K22</f>
        <v>12147421.779999999</v>
      </c>
      <c r="L23" s="384">
        <f t="shared" si="6"/>
        <v>32096918.760000005</v>
      </c>
      <c r="M23" s="384">
        <f t="shared" si="6"/>
        <v>43251553.459999993</v>
      </c>
      <c r="N23" s="384">
        <f t="shared" si="6"/>
        <v>62960900.949999996</v>
      </c>
      <c r="O23" s="384">
        <f t="shared" si="6"/>
        <v>51938094.259999998</v>
      </c>
      <c r="P23" s="414">
        <f t="shared" si="6"/>
        <v>74424451.309999973</v>
      </c>
      <c r="Q23" s="404">
        <f t="shared" si="4"/>
        <v>276819340.51999998</v>
      </c>
      <c r="R23" s="368" t="b">
        <v>1</v>
      </c>
    </row>
    <row r="24" spans="2:18" x14ac:dyDescent="0.2">
      <c r="B24" s="847"/>
      <c r="C24" s="856" t="s">
        <v>118</v>
      </c>
      <c r="D24" s="857"/>
      <c r="E24" s="385"/>
      <c r="F24" s="385"/>
      <c r="G24" s="385"/>
      <c r="H24" s="385"/>
      <c r="I24" s="385"/>
      <c r="J24" s="385"/>
      <c r="K24" s="385">
        <v>75174</v>
      </c>
      <c r="L24" s="385">
        <v>82124</v>
      </c>
      <c r="M24" s="385">
        <v>91371</v>
      </c>
      <c r="N24" s="385">
        <v>114290</v>
      </c>
      <c r="O24" s="385">
        <v>126063</v>
      </c>
      <c r="P24" s="415">
        <v>144174</v>
      </c>
      <c r="Q24" s="405">
        <f>AVERAGE(E24:P24)</f>
        <v>105532.66666666667</v>
      </c>
      <c r="R24" s="368" t="b">
        <v>1</v>
      </c>
    </row>
    <row r="25" spans="2:18" ht="16.5" thickBot="1" x14ac:dyDescent="0.25">
      <c r="B25" s="848"/>
      <c r="C25" s="858" t="s">
        <v>285</v>
      </c>
      <c r="D25" s="859"/>
      <c r="E25" s="387"/>
      <c r="F25" s="388"/>
      <c r="G25" s="388"/>
      <c r="H25" s="388"/>
      <c r="I25" s="388"/>
      <c r="J25" s="388"/>
      <c r="K25" s="389">
        <v>161.59073323223453</v>
      </c>
      <c r="L25" s="389">
        <v>390.83482002825002</v>
      </c>
      <c r="M25" s="389">
        <v>473.36193606286452</v>
      </c>
      <c r="N25" s="389">
        <v>550.8872250415609</v>
      </c>
      <c r="O25" s="389">
        <v>412.00109675321067</v>
      </c>
      <c r="P25" s="416">
        <v>516.21271040548208</v>
      </c>
      <c r="Q25" s="418">
        <f t="shared" ref="Q25" si="7">Q23/Q24</f>
        <v>2623.0678069981486</v>
      </c>
      <c r="R25" s="368" t="b">
        <v>1</v>
      </c>
    </row>
    <row r="26" spans="2:18" ht="15.75" customHeight="1" x14ac:dyDescent="0.2">
      <c r="B26" s="847" t="s">
        <v>286</v>
      </c>
      <c r="C26" s="849" t="s">
        <v>279</v>
      </c>
      <c r="D26" s="369" t="s">
        <v>50</v>
      </c>
      <c r="E26" s="370"/>
      <c r="F26" s="370"/>
      <c r="G26" s="370"/>
      <c r="H26" s="370"/>
      <c r="I26" s="370"/>
      <c r="J26" s="370"/>
      <c r="K26" s="370">
        <v>16066042.76</v>
      </c>
      <c r="L26" s="370">
        <v>39560654.110000007</v>
      </c>
      <c r="M26" s="370">
        <v>52008024.639999993</v>
      </c>
      <c r="N26" s="370">
        <v>74008790.870000005</v>
      </c>
      <c r="O26" s="370">
        <v>60159362.629999995</v>
      </c>
      <c r="P26" s="408">
        <v>86688010.439999983</v>
      </c>
      <c r="Q26" s="399">
        <f>SUM(E26:P26)</f>
        <v>328490885.44999999</v>
      </c>
      <c r="R26" s="368" t="b">
        <v>1</v>
      </c>
    </row>
    <row r="27" spans="2:18" x14ac:dyDescent="0.2">
      <c r="B27" s="847"/>
      <c r="C27" s="850"/>
      <c r="D27" s="372" t="s">
        <v>280</v>
      </c>
      <c r="E27" s="373"/>
      <c r="F27" s="373"/>
      <c r="G27" s="373"/>
      <c r="H27" s="373"/>
      <c r="I27" s="373"/>
      <c r="J27" s="373"/>
      <c r="K27" s="373">
        <v>4192.63</v>
      </c>
      <c r="L27" s="373">
        <v>121719.49</v>
      </c>
      <c r="M27" s="373">
        <v>117689.95</v>
      </c>
      <c r="N27" s="373">
        <v>257628.28000000003</v>
      </c>
      <c r="O27" s="373">
        <v>193158.1</v>
      </c>
      <c r="P27" s="409">
        <v>199563.18000000002</v>
      </c>
      <c r="Q27" s="400">
        <f t="shared" ref="Q27:Q34" si="8">SUM(E27:P27)</f>
        <v>893951.63000000012</v>
      </c>
      <c r="R27" s="368" t="b">
        <v>1</v>
      </c>
    </row>
    <row r="28" spans="2:18" x14ac:dyDescent="0.2">
      <c r="B28" s="847"/>
      <c r="C28" s="850"/>
      <c r="D28" s="372" t="s">
        <v>70</v>
      </c>
      <c r="E28" s="373"/>
      <c r="F28" s="373"/>
      <c r="G28" s="373"/>
      <c r="H28" s="373"/>
      <c r="I28" s="373"/>
      <c r="J28" s="373"/>
      <c r="K28" s="373">
        <v>19586.48</v>
      </c>
      <c r="L28" s="373">
        <v>37637.730000000003</v>
      </c>
      <c r="M28" s="373">
        <v>67601.39</v>
      </c>
      <c r="N28" s="373">
        <v>107855.37</v>
      </c>
      <c r="O28" s="373">
        <v>66138.33</v>
      </c>
      <c r="P28" s="409">
        <v>109977.88</v>
      </c>
      <c r="Q28" s="400">
        <f t="shared" si="8"/>
        <v>408797.18</v>
      </c>
      <c r="R28" s="368" t="b">
        <v>1</v>
      </c>
    </row>
    <row r="29" spans="2:18" ht="16.5" thickBot="1" x14ac:dyDescent="0.25">
      <c r="B29" s="847"/>
      <c r="C29" s="850"/>
      <c r="D29" s="375" t="s">
        <v>281</v>
      </c>
      <c r="E29" s="376"/>
      <c r="F29" s="376"/>
      <c r="G29" s="376"/>
      <c r="H29" s="376"/>
      <c r="I29" s="376"/>
      <c r="J29" s="376"/>
      <c r="K29" s="376">
        <v>986794.03</v>
      </c>
      <c r="L29" s="376">
        <v>952370.44</v>
      </c>
      <c r="M29" s="376">
        <v>951139.84000000008</v>
      </c>
      <c r="N29" s="376">
        <v>1124844.73</v>
      </c>
      <c r="O29" s="376">
        <v>1286433.21</v>
      </c>
      <c r="P29" s="410">
        <v>1547188.12</v>
      </c>
      <c r="Q29" s="401">
        <f t="shared" si="8"/>
        <v>6848770.3700000001</v>
      </c>
      <c r="R29" s="368" t="b">
        <v>1</v>
      </c>
    </row>
    <row r="30" spans="2:18" ht="17.25" hidden="1" thickTop="1" thickBot="1" x14ac:dyDescent="0.25">
      <c r="B30" s="847"/>
      <c r="C30" s="850"/>
      <c r="D30" s="378" t="s">
        <v>75</v>
      </c>
      <c r="E30" s="379"/>
      <c r="F30" s="379"/>
      <c r="G30" s="379"/>
      <c r="H30" s="379"/>
      <c r="I30" s="379"/>
      <c r="J30" s="379"/>
      <c r="K30" s="379">
        <v>0</v>
      </c>
      <c r="L30" s="379">
        <v>0</v>
      </c>
      <c r="M30" s="379">
        <v>0</v>
      </c>
      <c r="N30" s="379">
        <v>0</v>
      </c>
      <c r="O30" s="379">
        <v>0</v>
      </c>
      <c r="P30" s="411">
        <v>0</v>
      </c>
      <c r="Q30" s="402">
        <f t="shared" si="8"/>
        <v>0</v>
      </c>
      <c r="R30" s="368" t="b">
        <v>1</v>
      </c>
    </row>
    <row r="31" spans="2:18" ht="17.25" thickTop="1" thickBot="1" x14ac:dyDescent="0.25">
      <c r="B31" s="847"/>
      <c r="C31" s="851"/>
      <c r="D31" s="391" t="s">
        <v>282</v>
      </c>
      <c r="E31" s="392"/>
      <c r="F31" s="392"/>
      <c r="G31" s="392"/>
      <c r="H31" s="392"/>
      <c r="I31" s="392"/>
      <c r="J31" s="392"/>
      <c r="K31" s="381">
        <f t="shared" ref="K31:P31" si="9">SUM(K26:K30)</f>
        <v>17076615.900000002</v>
      </c>
      <c r="L31" s="381">
        <f t="shared" si="9"/>
        <v>40672381.770000003</v>
      </c>
      <c r="M31" s="381">
        <f t="shared" si="9"/>
        <v>53144455.82</v>
      </c>
      <c r="N31" s="381">
        <f t="shared" si="9"/>
        <v>75499119.250000015</v>
      </c>
      <c r="O31" s="381">
        <f t="shared" si="9"/>
        <v>61705092.269999996</v>
      </c>
      <c r="P31" s="412">
        <f t="shared" si="9"/>
        <v>88544739.61999999</v>
      </c>
      <c r="Q31" s="406">
        <f t="shared" si="8"/>
        <v>336642404.63</v>
      </c>
      <c r="R31" s="368" t="b">
        <v>1</v>
      </c>
    </row>
    <row r="32" spans="2:18" x14ac:dyDescent="0.2">
      <c r="B32" s="847"/>
      <c r="C32" s="852" t="s">
        <v>283</v>
      </c>
      <c r="D32" s="853"/>
      <c r="E32" s="382"/>
      <c r="F32" s="382"/>
      <c r="G32" s="382"/>
      <c r="H32" s="382"/>
      <c r="I32" s="382"/>
      <c r="J32" s="382"/>
      <c r="K32" s="373">
        <v>0</v>
      </c>
      <c r="L32" s="382">
        <v>0</v>
      </c>
      <c r="M32" s="382">
        <v>0</v>
      </c>
      <c r="N32" s="382">
        <v>0</v>
      </c>
      <c r="O32" s="382">
        <v>0</v>
      </c>
      <c r="P32" s="413">
        <v>0</v>
      </c>
      <c r="Q32" s="404">
        <f t="shared" si="8"/>
        <v>0</v>
      </c>
      <c r="R32" s="368" t="b">
        <v>1</v>
      </c>
    </row>
    <row r="33" spans="2:18" ht="16.5" thickBot="1" x14ac:dyDescent="0.25">
      <c r="B33" s="847"/>
      <c r="C33" s="854" t="s">
        <v>284</v>
      </c>
      <c r="D33" s="855"/>
      <c r="E33" s="376"/>
      <c r="F33" s="376"/>
      <c r="G33" s="376"/>
      <c r="H33" s="376"/>
      <c r="I33" s="376"/>
      <c r="J33" s="376"/>
      <c r="K33" s="376">
        <v>4944.5200000000004</v>
      </c>
      <c r="L33" s="376">
        <v>15261.19</v>
      </c>
      <c r="M33" s="376">
        <v>29764.68</v>
      </c>
      <c r="N33" s="376">
        <v>39866.51</v>
      </c>
      <c r="O33" s="376">
        <v>72776.710000000006</v>
      </c>
      <c r="P33" s="410">
        <v>97514.91</v>
      </c>
      <c r="Q33" s="401">
        <f t="shared" si="8"/>
        <v>260128.52</v>
      </c>
      <c r="R33" s="368" t="b">
        <v>1</v>
      </c>
    </row>
    <row r="34" spans="2:18" ht="16.5" thickTop="1" x14ac:dyDescent="0.2">
      <c r="B34" s="847"/>
      <c r="C34" s="852" t="s">
        <v>130</v>
      </c>
      <c r="D34" s="853"/>
      <c r="E34" s="384"/>
      <c r="F34" s="384"/>
      <c r="G34" s="384"/>
      <c r="H34" s="384"/>
      <c r="I34" s="384"/>
      <c r="J34" s="384"/>
      <c r="K34" s="384">
        <f t="shared" ref="K34:P34" si="10">K31+K32+K33</f>
        <v>17081560.420000002</v>
      </c>
      <c r="L34" s="384">
        <f t="shared" si="10"/>
        <v>40687642.960000001</v>
      </c>
      <c r="M34" s="384">
        <f t="shared" si="10"/>
        <v>53174220.5</v>
      </c>
      <c r="N34" s="384">
        <f t="shared" si="10"/>
        <v>75538985.76000002</v>
      </c>
      <c r="O34" s="384">
        <f t="shared" si="10"/>
        <v>61777868.979999997</v>
      </c>
      <c r="P34" s="414">
        <f t="shared" si="10"/>
        <v>88642254.529999986</v>
      </c>
      <c r="Q34" s="404">
        <f t="shared" si="8"/>
        <v>336902533.14999998</v>
      </c>
      <c r="R34" s="368" t="b">
        <v>1</v>
      </c>
    </row>
    <row r="35" spans="2:18" x14ac:dyDescent="0.2">
      <c r="B35" s="847"/>
      <c r="C35" s="856" t="s">
        <v>118</v>
      </c>
      <c r="D35" s="857"/>
      <c r="E35" s="385"/>
      <c r="F35" s="385"/>
      <c r="G35" s="385"/>
      <c r="H35" s="385"/>
      <c r="I35" s="385"/>
      <c r="J35" s="385"/>
      <c r="K35" s="385">
        <v>113587</v>
      </c>
      <c r="L35" s="385">
        <v>122589</v>
      </c>
      <c r="M35" s="385">
        <v>135719</v>
      </c>
      <c r="N35" s="385">
        <v>161505</v>
      </c>
      <c r="O35" s="385">
        <v>174589</v>
      </c>
      <c r="P35" s="415">
        <v>195453</v>
      </c>
      <c r="Q35" s="405">
        <f>AVERAGE(E35:P35)</f>
        <v>150573.66666666666</v>
      </c>
      <c r="R35" s="368" t="b">
        <v>1</v>
      </c>
    </row>
    <row r="36" spans="2:18" ht="16.5" thickBot="1" x14ac:dyDescent="0.25">
      <c r="B36" s="848"/>
      <c r="C36" s="858" t="s">
        <v>285</v>
      </c>
      <c r="D36" s="859"/>
      <c r="E36" s="387"/>
      <c r="F36" s="388"/>
      <c r="G36" s="388"/>
      <c r="H36" s="388"/>
      <c r="I36" s="388"/>
      <c r="J36" s="388"/>
      <c r="K36" s="389">
        <v>150.38305809643711</v>
      </c>
      <c r="L36" s="389">
        <v>331.90288655589001</v>
      </c>
      <c r="M36" s="389">
        <v>391.79643601853832</v>
      </c>
      <c r="N36" s="389">
        <v>467.71917748676526</v>
      </c>
      <c r="O36" s="389">
        <v>353.84743013591918</v>
      </c>
      <c r="P36" s="416">
        <v>453.52209753751532</v>
      </c>
      <c r="Q36" s="418">
        <f t="shared" ref="Q36" si="11">Q34/Q35</f>
        <v>2237.4598467859587</v>
      </c>
      <c r="R36" s="368" t="b">
        <v>1</v>
      </c>
    </row>
    <row r="37" spans="2:18" x14ac:dyDescent="0.2">
      <c r="B37" s="860" t="s">
        <v>24</v>
      </c>
      <c r="C37" s="860"/>
      <c r="D37" s="860"/>
      <c r="E37" s="860"/>
      <c r="F37" s="860"/>
      <c r="G37" s="860"/>
      <c r="H37" s="860"/>
      <c r="I37" s="860"/>
      <c r="J37" s="860"/>
      <c r="K37" s="860"/>
      <c r="L37" s="860"/>
      <c r="M37" s="860"/>
      <c r="N37" s="860"/>
      <c r="O37" s="860"/>
      <c r="P37" s="860"/>
      <c r="Q37" s="860"/>
    </row>
    <row r="38" spans="2:18" x14ac:dyDescent="0.2">
      <c r="B38" s="861" t="s">
        <v>287</v>
      </c>
      <c r="C38" s="861"/>
      <c r="D38" s="861"/>
      <c r="E38" s="861"/>
      <c r="F38" s="861"/>
      <c r="G38" s="861"/>
      <c r="H38" s="861"/>
      <c r="I38" s="861"/>
      <c r="J38" s="861"/>
      <c r="K38" s="861"/>
      <c r="L38" s="861"/>
      <c r="M38" s="861"/>
      <c r="N38" s="861"/>
      <c r="O38" s="861"/>
      <c r="P38" s="861"/>
      <c r="Q38" s="861"/>
    </row>
    <row r="39" spans="2:18" x14ac:dyDescent="0.2">
      <c r="B39" s="862" t="s">
        <v>292</v>
      </c>
      <c r="C39" s="862"/>
      <c r="D39" s="862"/>
      <c r="E39" s="862"/>
      <c r="F39" s="862"/>
      <c r="G39" s="862"/>
      <c r="H39" s="862"/>
      <c r="I39" s="862"/>
      <c r="J39" s="862"/>
      <c r="K39" s="862"/>
      <c r="L39" s="862"/>
      <c r="M39" s="862"/>
      <c r="N39" s="862"/>
      <c r="O39" s="862"/>
      <c r="P39" s="862"/>
      <c r="Q39" s="862"/>
    </row>
    <row r="41" spans="2:18" ht="16.5" thickBot="1" x14ac:dyDescent="0.25">
      <c r="B41" s="843" t="s">
        <v>289</v>
      </c>
      <c r="C41" s="843"/>
      <c r="D41" s="843"/>
      <c r="E41" s="843"/>
      <c r="F41" s="843"/>
      <c r="G41" s="843"/>
      <c r="H41" s="843"/>
      <c r="I41" s="843"/>
      <c r="J41" s="843"/>
      <c r="K41" s="843"/>
      <c r="L41" s="843"/>
      <c r="M41" s="843"/>
      <c r="N41" s="843"/>
      <c r="O41" s="843"/>
      <c r="P41" s="843"/>
      <c r="Q41" s="843"/>
    </row>
    <row r="42" spans="2:18" ht="16.5" thickBot="1" x14ac:dyDescent="0.25">
      <c r="B42" s="364" t="s">
        <v>276</v>
      </c>
      <c r="C42" s="844" t="s">
        <v>49</v>
      </c>
      <c r="D42" s="845"/>
      <c r="E42" s="365">
        <v>41821</v>
      </c>
      <c r="F42" s="366">
        <v>41852</v>
      </c>
      <c r="G42" s="366">
        <v>41883</v>
      </c>
      <c r="H42" s="366">
        <v>41913</v>
      </c>
      <c r="I42" s="366">
        <v>41944</v>
      </c>
      <c r="J42" s="366">
        <v>41974</v>
      </c>
      <c r="K42" s="366">
        <v>42005</v>
      </c>
      <c r="L42" s="366">
        <v>42036</v>
      </c>
      <c r="M42" s="366">
        <v>42064</v>
      </c>
      <c r="N42" s="366">
        <v>42095</v>
      </c>
      <c r="O42" s="366">
        <v>42125</v>
      </c>
      <c r="P42" s="407">
        <v>42156</v>
      </c>
      <c r="Q42" s="398" t="s">
        <v>290</v>
      </c>
    </row>
    <row r="43" spans="2:18" x14ac:dyDescent="0.2">
      <c r="B43" s="846" t="s">
        <v>278</v>
      </c>
      <c r="C43" s="849" t="s">
        <v>279</v>
      </c>
      <c r="D43" s="369" t="s">
        <v>50</v>
      </c>
      <c r="E43" s="370">
        <v>10521204.800000001</v>
      </c>
      <c r="F43" s="370">
        <v>11585142.010000002</v>
      </c>
      <c r="G43" s="370">
        <v>15624406.999999998</v>
      </c>
      <c r="H43" s="370">
        <v>12583815.389999999</v>
      </c>
      <c r="I43" s="370">
        <v>14215137.32</v>
      </c>
      <c r="J43" s="370">
        <v>16876867.440000001</v>
      </c>
      <c r="K43" s="370">
        <v>14920688.179999998</v>
      </c>
      <c r="L43" s="370">
        <v>16324691.770000001</v>
      </c>
      <c r="M43" s="370">
        <v>19481027.319999997</v>
      </c>
      <c r="N43" s="370">
        <v>14121506.749999998</v>
      </c>
      <c r="O43" s="370">
        <v>10832232</v>
      </c>
      <c r="P43" s="408">
        <v>8338166.6699999981</v>
      </c>
      <c r="Q43" s="399">
        <f>SUM(E43:P43)</f>
        <v>165424886.64999998</v>
      </c>
      <c r="R43" s="368" t="b">
        <v>1</v>
      </c>
    </row>
    <row r="44" spans="2:18" x14ac:dyDescent="0.2">
      <c r="B44" s="847"/>
      <c r="C44" s="850"/>
      <c r="D44" s="372" t="s">
        <v>280</v>
      </c>
      <c r="E44" s="373">
        <v>23031.040000000001</v>
      </c>
      <c r="F44" s="373">
        <v>17529.3</v>
      </c>
      <c r="G44" s="373">
        <v>10896.75</v>
      </c>
      <c r="H44" s="373">
        <v>8885.0499999999993</v>
      </c>
      <c r="I44" s="373">
        <v>11632.64</v>
      </c>
      <c r="J44" s="373">
        <v>39414.019999999997</v>
      </c>
      <c r="K44" s="373">
        <v>18382.77</v>
      </c>
      <c r="L44" s="373">
        <v>18988.990000000002</v>
      </c>
      <c r="M44" s="373">
        <v>26793.01</v>
      </c>
      <c r="N44" s="373">
        <v>13480.17</v>
      </c>
      <c r="O44" s="373">
        <v>5047.38</v>
      </c>
      <c r="P44" s="409">
        <v>3560.06</v>
      </c>
      <c r="Q44" s="400">
        <f t="shared" ref="Q44:Q51" si="12">SUM(E44:P44)</f>
        <v>197641.18000000002</v>
      </c>
      <c r="R44" s="368" t="b">
        <v>1</v>
      </c>
    </row>
    <row r="45" spans="2:18" x14ac:dyDescent="0.2">
      <c r="B45" s="847"/>
      <c r="C45" s="850"/>
      <c r="D45" s="372" t="s">
        <v>70</v>
      </c>
      <c r="E45" s="373">
        <v>0</v>
      </c>
      <c r="F45" s="373">
        <v>0</v>
      </c>
      <c r="G45" s="373">
        <v>0</v>
      </c>
      <c r="H45" s="373">
        <v>0</v>
      </c>
      <c r="I45" s="373">
        <v>3208.66</v>
      </c>
      <c r="J45" s="373">
        <v>3419.68</v>
      </c>
      <c r="K45" s="373">
        <v>3208.66</v>
      </c>
      <c r="L45" s="373">
        <v>1377.34</v>
      </c>
      <c r="M45" s="373">
        <v>17303.490000000002</v>
      </c>
      <c r="N45" s="373">
        <v>5343.75</v>
      </c>
      <c r="O45" s="373">
        <v>6648.57</v>
      </c>
      <c r="P45" s="409">
        <v>0</v>
      </c>
      <c r="Q45" s="400">
        <f t="shared" si="12"/>
        <v>40510.15</v>
      </c>
      <c r="R45" s="368" t="b">
        <v>1</v>
      </c>
    </row>
    <row r="46" spans="2:18" ht="16.5" thickBot="1" x14ac:dyDescent="0.25">
      <c r="B46" s="847"/>
      <c r="C46" s="850"/>
      <c r="D46" s="375" t="s">
        <v>281</v>
      </c>
      <c r="E46" s="376">
        <v>446344.44</v>
      </c>
      <c r="F46" s="376">
        <v>450337.01</v>
      </c>
      <c r="G46" s="376">
        <v>524404.22</v>
      </c>
      <c r="H46" s="376">
        <v>488971.95</v>
      </c>
      <c r="I46" s="376">
        <v>500374.87</v>
      </c>
      <c r="J46" s="376">
        <v>493332.96</v>
      </c>
      <c r="K46" s="376">
        <v>482464.63</v>
      </c>
      <c r="L46" s="376">
        <v>502387.01</v>
      </c>
      <c r="M46" s="376">
        <v>519291.09</v>
      </c>
      <c r="N46" s="376">
        <v>489246.82</v>
      </c>
      <c r="O46" s="376">
        <v>380141.69</v>
      </c>
      <c r="P46" s="410">
        <v>311797.59000000003</v>
      </c>
      <c r="Q46" s="401">
        <f t="shared" si="12"/>
        <v>5589094.2800000003</v>
      </c>
      <c r="R46" s="368" t="b">
        <v>1</v>
      </c>
    </row>
    <row r="47" spans="2:18" ht="17.25" hidden="1" customHeight="1" thickTop="1" thickBot="1" x14ac:dyDescent="0.25">
      <c r="B47" s="847"/>
      <c r="C47" s="850"/>
      <c r="D47" s="378" t="s">
        <v>75</v>
      </c>
      <c r="E47" s="379">
        <v>0</v>
      </c>
      <c r="F47" s="379">
        <v>0</v>
      </c>
      <c r="G47" s="379">
        <v>0</v>
      </c>
      <c r="H47" s="379">
        <v>0</v>
      </c>
      <c r="I47" s="379">
        <v>0</v>
      </c>
      <c r="J47" s="379">
        <v>0</v>
      </c>
      <c r="K47" s="379">
        <v>0</v>
      </c>
      <c r="L47" s="379">
        <v>0</v>
      </c>
      <c r="M47" s="379">
        <v>0</v>
      </c>
      <c r="N47" s="379">
        <v>0</v>
      </c>
      <c r="O47" s="379">
        <v>0</v>
      </c>
      <c r="P47" s="411">
        <v>0</v>
      </c>
      <c r="Q47" s="402">
        <f t="shared" si="12"/>
        <v>0</v>
      </c>
      <c r="R47" s="368" t="b">
        <v>1</v>
      </c>
    </row>
    <row r="48" spans="2:18" ht="17.25" thickTop="1" thickBot="1" x14ac:dyDescent="0.25">
      <c r="B48" s="847"/>
      <c r="C48" s="851"/>
      <c r="D48" s="391" t="s">
        <v>282</v>
      </c>
      <c r="E48" s="381">
        <f t="shared" ref="E48:P48" si="13">SUM(E43:E47)</f>
        <v>10990580.279999999</v>
      </c>
      <c r="F48" s="392">
        <f t="shared" si="13"/>
        <v>12053008.320000002</v>
      </c>
      <c r="G48" s="392">
        <f t="shared" si="13"/>
        <v>16159707.969999999</v>
      </c>
      <c r="H48" s="392">
        <f t="shared" si="13"/>
        <v>13081672.389999999</v>
      </c>
      <c r="I48" s="392">
        <f t="shared" si="13"/>
        <v>14730353.49</v>
      </c>
      <c r="J48" s="392">
        <f t="shared" si="13"/>
        <v>17413034.100000001</v>
      </c>
      <c r="K48" s="392">
        <f t="shared" si="13"/>
        <v>15424744.239999998</v>
      </c>
      <c r="L48" s="392">
        <f t="shared" si="13"/>
        <v>16847445.110000003</v>
      </c>
      <c r="M48" s="392">
        <f t="shared" si="13"/>
        <v>20044414.909999996</v>
      </c>
      <c r="N48" s="392">
        <f t="shared" si="13"/>
        <v>14629577.489999998</v>
      </c>
      <c r="O48" s="392">
        <f t="shared" si="13"/>
        <v>11224069.640000001</v>
      </c>
      <c r="P48" s="417">
        <f t="shared" si="13"/>
        <v>8653524.3199999984</v>
      </c>
      <c r="Q48" s="406">
        <f>SUM(E48:P48)</f>
        <v>171252132.25999999</v>
      </c>
      <c r="R48" s="368" t="b">
        <v>1</v>
      </c>
    </row>
    <row r="49" spans="2:18" x14ac:dyDescent="0.2">
      <c r="B49" s="847"/>
      <c r="C49" s="852" t="s">
        <v>283</v>
      </c>
      <c r="D49" s="853"/>
      <c r="E49" s="373">
        <v>232727.94</v>
      </c>
      <c r="F49" s="382">
        <v>132988.91</v>
      </c>
      <c r="G49" s="382">
        <v>47831.03</v>
      </c>
      <c r="H49" s="382">
        <v>0</v>
      </c>
      <c r="I49" s="382">
        <v>0</v>
      </c>
      <c r="J49" s="382">
        <v>0</v>
      </c>
      <c r="K49" s="382">
        <v>0</v>
      </c>
      <c r="L49" s="382">
        <v>0</v>
      </c>
      <c r="M49" s="382">
        <v>-4241.03</v>
      </c>
      <c r="N49" s="382">
        <v>0</v>
      </c>
      <c r="O49" s="382">
        <v>0</v>
      </c>
      <c r="P49" s="413">
        <v>-120.42</v>
      </c>
      <c r="Q49" s="404">
        <f t="shared" si="12"/>
        <v>409186.43</v>
      </c>
      <c r="R49" s="368" t="b">
        <v>1</v>
      </c>
    </row>
    <row r="50" spans="2:18" ht="16.5" thickBot="1" x14ac:dyDescent="0.25">
      <c r="B50" s="847"/>
      <c r="C50" s="854" t="s">
        <v>284</v>
      </c>
      <c r="D50" s="855"/>
      <c r="E50" s="376">
        <v>360</v>
      </c>
      <c r="F50" s="376">
        <v>0</v>
      </c>
      <c r="G50" s="376">
        <v>4636.32</v>
      </c>
      <c r="H50" s="376">
        <v>400</v>
      </c>
      <c r="I50" s="376">
        <v>2434.16</v>
      </c>
      <c r="J50" s="376">
        <v>4737.3599999999997</v>
      </c>
      <c r="K50" s="376">
        <v>3463.2</v>
      </c>
      <c r="L50" s="376">
        <v>2866.95</v>
      </c>
      <c r="M50" s="376">
        <v>3411.72</v>
      </c>
      <c r="N50" s="376">
        <v>3676.01</v>
      </c>
      <c r="O50" s="376">
        <v>18270.759999999998</v>
      </c>
      <c r="P50" s="410">
        <v>3199.88</v>
      </c>
      <c r="Q50" s="401">
        <f t="shared" si="12"/>
        <v>47456.359999999993</v>
      </c>
      <c r="R50" s="368" t="b">
        <v>1</v>
      </c>
    </row>
    <row r="51" spans="2:18" ht="16.5" thickTop="1" x14ac:dyDescent="0.2">
      <c r="B51" s="847"/>
      <c r="C51" s="852" t="s">
        <v>130</v>
      </c>
      <c r="D51" s="853"/>
      <c r="E51" s="384">
        <f t="shared" ref="E51" si="14">E48+E49+E50</f>
        <v>11223668.219999999</v>
      </c>
      <c r="F51" s="384">
        <f t="shared" ref="F51:P51" si="15">F48+F49+F50</f>
        <v>12185997.230000002</v>
      </c>
      <c r="G51" s="384">
        <f t="shared" si="15"/>
        <v>16212175.319999998</v>
      </c>
      <c r="H51" s="384">
        <f t="shared" si="15"/>
        <v>13082072.389999999</v>
      </c>
      <c r="I51" s="384">
        <f t="shared" si="15"/>
        <v>14732787.65</v>
      </c>
      <c r="J51" s="384">
        <f t="shared" si="15"/>
        <v>17417771.460000001</v>
      </c>
      <c r="K51" s="384">
        <f t="shared" si="15"/>
        <v>15428207.439999998</v>
      </c>
      <c r="L51" s="384">
        <f t="shared" si="15"/>
        <v>16850312.060000002</v>
      </c>
      <c r="M51" s="384">
        <f t="shared" si="15"/>
        <v>20043585.599999994</v>
      </c>
      <c r="N51" s="384">
        <f t="shared" si="15"/>
        <v>14633253.499999998</v>
      </c>
      <c r="O51" s="384">
        <f t="shared" si="15"/>
        <v>11242340.4</v>
      </c>
      <c r="P51" s="414">
        <f t="shared" si="15"/>
        <v>8656603.7799999993</v>
      </c>
      <c r="Q51" s="404">
        <f t="shared" si="12"/>
        <v>171708775.05000001</v>
      </c>
      <c r="R51" s="368" t="b">
        <v>1</v>
      </c>
    </row>
    <row r="52" spans="2:18" x14ac:dyDescent="0.2">
      <c r="B52" s="847"/>
      <c r="C52" s="856" t="s">
        <v>118</v>
      </c>
      <c r="D52" s="857"/>
      <c r="E52" s="385">
        <v>57057</v>
      </c>
      <c r="F52" s="385">
        <v>57086</v>
      </c>
      <c r="G52" s="385">
        <v>60380</v>
      </c>
      <c r="H52" s="385">
        <v>60321</v>
      </c>
      <c r="I52" s="385">
        <v>65052</v>
      </c>
      <c r="J52" s="385">
        <v>68416</v>
      </c>
      <c r="K52" s="385">
        <v>65196</v>
      </c>
      <c r="L52" s="385">
        <v>73234</v>
      </c>
      <c r="M52" s="385">
        <v>72226</v>
      </c>
      <c r="N52" s="385">
        <v>63800</v>
      </c>
      <c r="O52" s="385">
        <v>50488</v>
      </c>
      <c r="P52" s="415">
        <v>63482</v>
      </c>
      <c r="Q52" s="405">
        <f>AVERAGE(E52:P52)</f>
        <v>63061.5</v>
      </c>
      <c r="R52" s="368" t="b">
        <v>1</v>
      </c>
    </row>
    <row r="53" spans="2:18" ht="16.5" thickBot="1" x14ac:dyDescent="0.25">
      <c r="B53" s="848"/>
      <c r="C53" s="858" t="s">
        <v>285</v>
      </c>
      <c r="D53" s="859"/>
      <c r="E53" s="389">
        <v>196.70975024975021</v>
      </c>
      <c r="F53" s="388">
        <v>213.46735153978213</v>
      </c>
      <c r="G53" s="388">
        <v>268.50240675720437</v>
      </c>
      <c r="H53" s="388">
        <v>216.87426252880422</v>
      </c>
      <c r="I53" s="388">
        <v>226.47708986656829</v>
      </c>
      <c r="J53" s="388">
        <v>254.58622924462117</v>
      </c>
      <c r="K53" s="389">
        <v>236.64346647033557</v>
      </c>
      <c r="L53" s="389">
        <v>230.08864816888334</v>
      </c>
      <c r="M53" s="389">
        <v>277.5120538310303</v>
      </c>
      <c r="N53" s="389">
        <v>229.36134012539182</v>
      </c>
      <c r="O53" s="389">
        <v>222.67351449849471</v>
      </c>
      <c r="P53" s="416">
        <v>136.36312309000976</v>
      </c>
      <c r="Q53" s="418">
        <f t="shared" ref="Q53" si="16">Q51/Q52</f>
        <v>2722.8780642705933</v>
      </c>
      <c r="R53" s="368" t="b">
        <v>1</v>
      </c>
    </row>
    <row r="54" spans="2:18" x14ac:dyDescent="0.2">
      <c r="B54" s="846" t="s">
        <v>140</v>
      </c>
      <c r="C54" s="849" t="s">
        <v>279</v>
      </c>
      <c r="D54" s="369" t="s">
        <v>50</v>
      </c>
      <c r="E54" s="370">
        <v>56430010.25</v>
      </c>
      <c r="F54" s="370">
        <v>62761944.829999991</v>
      </c>
      <c r="G54" s="370">
        <v>81075480.409999996</v>
      </c>
      <c r="H54" s="370">
        <v>62411649.480000012</v>
      </c>
      <c r="I54" s="370">
        <v>71194220.799999997</v>
      </c>
      <c r="J54" s="370">
        <v>83632427.960000008</v>
      </c>
      <c r="K54" s="370">
        <v>73653258.140000001</v>
      </c>
      <c r="L54" s="370">
        <v>82350182.660000026</v>
      </c>
      <c r="M54" s="370">
        <v>99473678.299999997</v>
      </c>
      <c r="N54" s="370">
        <v>84240550.25999999</v>
      </c>
      <c r="O54" s="370">
        <v>93655776.040000007</v>
      </c>
      <c r="P54" s="408">
        <v>120756203.25999999</v>
      </c>
      <c r="Q54" s="399">
        <f>SUM(E54:P54)</f>
        <v>971635382.38999987</v>
      </c>
      <c r="R54" s="368" t="b">
        <v>1</v>
      </c>
    </row>
    <row r="55" spans="2:18" x14ac:dyDescent="0.2">
      <c r="B55" s="847"/>
      <c r="C55" s="850"/>
      <c r="D55" s="372" t="s">
        <v>280</v>
      </c>
      <c r="E55" s="373">
        <v>189936.38</v>
      </c>
      <c r="F55" s="373">
        <v>150435.92000000001</v>
      </c>
      <c r="G55" s="373">
        <v>246471.26</v>
      </c>
      <c r="H55" s="373">
        <v>229524.43999999997</v>
      </c>
      <c r="I55" s="373">
        <v>188685.4</v>
      </c>
      <c r="J55" s="373">
        <v>215599.18</v>
      </c>
      <c r="K55" s="373">
        <v>234261.79</v>
      </c>
      <c r="L55" s="373">
        <v>197098.47</v>
      </c>
      <c r="M55" s="373">
        <v>264124.79999999999</v>
      </c>
      <c r="N55" s="373">
        <v>284300.26</v>
      </c>
      <c r="O55" s="373">
        <v>250403.5</v>
      </c>
      <c r="P55" s="409">
        <v>294829.24</v>
      </c>
      <c r="Q55" s="400">
        <f t="shared" ref="Q55:Q62" si="17">SUM(E55:P55)</f>
        <v>2745670.6400000006</v>
      </c>
      <c r="R55" s="368" t="b">
        <v>1</v>
      </c>
    </row>
    <row r="56" spans="2:18" x14ac:dyDescent="0.2">
      <c r="B56" s="847"/>
      <c r="C56" s="850"/>
      <c r="D56" s="372" t="s">
        <v>70</v>
      </c>
      <c r="E56" s="373">
        <v>101087.55</v>
      </c>
      <c r="F56" s="373">
        <v>79024.789999999994</v>
      </c>
      <c r="G56" s="373">
        <v>117758.34</v>
      </c>
      <c r="H56" s="373">
        <v>162896.26999999999</v>
      </c>
      <c r="I56" s="373">
        <v>141408.59</v>
      </c>
      <c r="J56" s="373">
        <v>119792.31</v>
      </c>
      <c r="K56" s="373">
        <v>185185.92000000001</v>
      </c>
      <c r="L56" s="373">
        <v>147677.29</v>
      </c>
      <c r="M56" s="373">
        <v>120704.03</v>
      </c>
      <c r="N56" s="373">
        <v>99615.2</v>
      </c>
      <c r="O56" s="373">
        <v>76993.06</v>
      </c>
      <c r="P56" s="409">
        <v>214626.49</v>
      </c>
      <c r="Q56" s="400">
        <f t="shared" si="17"/>
        <v>1566769.8399999999</v>
      </c>
      <c r="R56" s="368" t="b">
        <v>1</v>
      </c>
    </row>
    <row r="57" spans="2:18" ht="16.5" thickBot="1" x14ac:dyDescent="0.25">
      <c r="B57" s="847"/>
      <c r="C57" s="850"/>
      <c r="D57" s="375" t="s">
        <v>281</v>
      </c>
      <c r="E57" s="376">
        <v>1321931.1399999999</v>
      </c>
      <c r="F57" s="376">
        <v>1389322.21</v>
      </c>
      <c r="G57" s="376">
        <v>1538203.32</v>
      </c>
      <c r="H57" s="376">
        <v>1491058.01</v>
      </c>
      <c r="I57" s="376">
        <v>1501150.15</v>
      </c>
      <c r="J57" s="376">
        <v>1488698.58</v>
      </c>
      <c r="K57" s="376">
        <v>1527792.79</v>
      </c>
      <c r="L57" s="376">
        <v>1569509.75</v>
      </c>
      <c r="M57" s="376">
        <v>1663201.68</v>
      </c>
      <c r="N57" s="376">
        <v>1816328.24</v>
      </c>
      <c r="O57" s="376">
        <v>2055374.69</v>
      </c>
      <c r="P57" s="410">
        <v>2172677.2799999998</v>
      </c>
      <c r="Q57" s="401">
        <f t="shared" si="17"/>
        <v>19535247.84</v>
      </c>
      <c r="R57" s="368" t="b">
        <v>1</v>
      </c>
    </row>
    <row r="58" spans="2:18" ht="17.25" hidden="1" thickTop="1" thickBot="1" x14ac:dyDescent="0.25">
      <c r="B58" s="847"/>
      <c r="C58" s="850"/>
      <c r="D58" s="378" t="s">
        <v>75</v>
      </c>
      <c r="E58" s="379">
        <v>0</v>
      </c>
      <c r="F58" s="379">
        <v>0</v>
      </c>
      <c r="G58" s="379">
        <v>0</v>
      </c>
      <c r="H58" s="379">
        <v>0</v>
      </c>
      <c r="I58" s="379">
        <v>0</v>
      </c>
      <c r="J58" s="379">
        <v>0</v>
      </c>
      <c r="K58" s="379">
        <v>0</v>
      </c>
      <c r="L58" s="379">
        <v>0</v>
      </c>
      <c r="M58" s="379">
        <v>0</v>
      </c>
      <c r="N58" s="379">
        <v>0</v>
      </c>
      <c r="O58" s="379">
        <v>0</v>
      </c>
      <c r="P58" s="411">
        <v>0</v>
      </c>
      <c r="Q58" s="402">
        <f t="shared" si="17"/>
        <v>0</v>
      </c>
      <c r="R58" s="368" t="b">
        <v>1</v>
      </c>
    </row>
    <row r="59" spans="2:18" ht="17.25" thickTop="1" thickBot="1" x14ac:dyDescent="0.25">
      <c r="B59" s="847"/>
      <c r="C59" s="851"/>
      <c r="D59" s="391" t="s">
        <v>282</v>
      </c>
      <c r="E59" s="381">
        <f t="shared" ref="E59" si="18">SUM(E54:E58)</f>
        <v>58042965.32</v>
      </c>
      <c r="F59" s="392">
        <f t="shared" ref="F59:P59" si="19">SUM(F54:F58)</f>
        <v>64380727.749999993</v>
      </c>
      <c r="G59" s="392">
        <f t="shared" si="19"/>
        <v>82977913.329999998</v>
      </c>
      <c r="H59" s="392">
        <f t="shared" si="19"/>
        <v>64295128.20000001</v>
      </c>
      <c r="I59" s="392">
        <f t="shared" si="19"/>
        <v>73025464.940000013</v>
      </c>
      <c r="J59" s="392">
        <f t="shared" si="19"/>
        <v>85456518.030000016</v>
      </c>
      <c r="K59" s="392">
        <f t="shared" si="19"/>
        <v>75600498.640000015</v>
      </c>
      <c r="L59" s="392">
        <f t="shared" si="19"/>
        <v>84264468.170000032</v>
      </c>
      <c r="M59" s="392">
        <f t="shared" si="19"/>
        <v>101521708.81</v>
      </c>
      <c r="N59" s="392">
        <f t="shared" si="19"/>
        <v>86440793.959999993</v>
      </c>
      <c r="O59" s="392">
        <f t="shared" si="19"/>
        <v>96038547.290000007</v>
      </c>
      <c r="P59" s="417">
        <f t="shared" si="19"/>
        <v>123438336.26999998</v>
      </c>
      <c r="Q59" s="406">
        <f t="shared" si="17"/>
        <v>995483070.71000004</v>
      </c>
      <c r="R59" s="368" t="b">
        <v>1</v>
      </c>
    </row>
    <row r="60" spans="2:18" x14ac:dyDescent="0.2">
      <c r="B60" s="847"/>
      <c r="C60" s="852" t="s">
        <v>283</v>
      </c>
      <c r="D60" s="853"/>
      <c r="E60" s="373">
        <v>1347917.34</v>
      </c>
      <c r="F60" s="382">
        <v>300323.59999999998</v>
      </c>
      <c r="G60" s="382">
        <v>88468.1</v>
      </c>
      <c r="H60" s="382">
        <v>0</v>
      </c>
      <c r="I60" s="382">
        <v>0</v>
      </c>
      <c r="J60" s="382">
        <v>0</v>
      </c>
      <c r="K60" s="382">
        <v>0</v>
      </c>
      <c r="L60" s="382">
        <v>0</v>
      </c>
      <c r="M60" s="382">
        <v>-114734.05</v>
      </c>
      <c r="N60" s="382">
        <v>0</v>
      </c>
      <c r="O60" s="382">
        <v>0</v>
      </c>
      <c r="P60" s="413">
        <v>-8389.17</v>
      </c>
      <c r="Q60" s="404">
        <f t="shared" si="17"/>
        <v>1613585.82</v>
      </c>
      <c r="R60" s="368" t="b">
        <v>1</v>
      </c>
    </row>
    <row r="61" spans="2:18" ht="16.5" thickBot="1" x14ac:dyDescent="0.25">
      <c r="B61" s="847"/>
      <c r="C61" s="854" t="s">
        <v>284</v>
      </c>
      <c r="D61" s="855"/>
      <c r="E61" s="376">
        <v>67618.789999999994</v>
      </c>
      <c r="F61" s="376">
        <v>75719.360000000001</v>
      </c>
      <c r="G61" s="376">
        <v>94344.12</v>
      </c>
      <c r="H61" s="376">
        <v>50475.35</v>
      </c>
      <c r="I61" s="376">
        <v>100653.75999999999</v>
      </c>
      <c r="J61" s="376">
        <v>127096.27</v>
      </c>
      <c r="K61" s="376">
        <v>70911.37</v>
      </c>
      <c r="L61" s="376">
        <v>110351.64</v>
      </c>
      <c r="M61" s="376">
        <v>117585.95</v>
      </c>
      <c r="N61" s="376">
        <v>122940.18</v>
      </c>
      <c r="O61" s="376">
        <v>154102.35</v>
      </c>
      <c r="P61" s="410">
        <v>118754.35</v>
      </c>
      <c r="Q61" s="401">
        <f t="shared" si="17"/>
        <v>1210553.4900000002</v>
      </c>
      <c r="R61" s="368" t="b">
        <v>1</v>
      </c>
    </row>
    <row r="62" spans="2:18" ht="16.5" thickTop="1" x14ac:dyDescent="0.2">
      <c r="B62" s="847"/>
      <c r="C62" s="852" t="s">
        <v>130</v>
      </c>
      <c r="D62" s="853"/>
      <c r="E62" s="384">
        <f t="shared" ref="E62" si="20">E59+E60+E61</f>
        <v>59458501.450000003</v>
      </c>
      <c r="F62" s="384">
        <f t="shared" ref="F62:P62" si="21">F59+F60+F61</f>
        <v>64756770.709999993</v>
      </c>
      <c r="G62" s="384">
        <f t="shared" si="21"/>
        <v>83160725.549999997</v>
      </c>
      <c r="H62" s="384">
        <f t="shared" si="21"/>
        <v>64345603.550000012</v>
      </c>
      <c r="I62" s="384">
        <f t="shared" si="21"/>
        <v>73126118.700000018</v>
      </c>
      <c r="J62" s="384">
        <f t="shared" si="21"/>
        <v>85583614.300000012</v>
      </c>
      <c r="K62" s="384">
        <f t="shared" si="21"/>
        <v>75671410.01000002</v>
      </c>
      <c r="L62" s="384">
        <f t="shared" si="21"/>
        <v>84374819.810000032</v>
      </c>
      <c r="M62" s="384">
        <f t="shared" si="21"/>
        <v>101524560.71000001</v>
      </c>
      <c r="N62" s="384">
        <f t="shared" si="21"/>
        <v>86563734.140000001</v>
      </c>
      <c r="O62" s="384">
        <f t="shared" si="21"/>
        <v>96192649.640000001</v>
      </c>
      <c r="P62" s="414">
        <f t="shared" si="21"/>
        <v>123548701.44999997</v>
      </c>
      <c r="Q62" s="404">
        <f t="shared" si="17"/>
        <v>998307210.0200001</v>
      </c>
      <c r="R62" s="368" t="b">
        <v>1</v>
      </c>
    </row>
    <row r="63" spans="2:18" x14ac:dyDescent="0.2">
      <c r="B63" s="847"/>
      <c r="C63" s="856" t="s">
        <v>118</v>
      </c>
      <c r="D63" s="857"/>
      <c r="E63" s="385">
        <v>166313</v>
      </c>
      <c r="F63" s="385">
        <v>164589</v>
      </c>
      <c r="G63" s="385">
        <v>175924</v>
      </c>
      <c r="H63" s="385">
        <v>180706</v>
      </c>
      <c r="I63" s="385">
        <v>186477</v>
      </c>
      <c r="J63" s="385">
        <v>195625</v>
      </c>
      <c r="K63" s="385">
        <v>199866</v>
      </c>
      <c r="L63" s="385">
        <v>217664</v>
      </c>
      <c r="M63" s="385">
        <v>224449</v>
      </c>
      <c r="N63" s="385">
        <v>235118</v>
      </c>
      <c r="O63" s="385">
        <v>261360</v>
      </c>
      <c r="P63" s="415">
        <v>292363</v>
      </c>
      <c r="Q63" s="405">
        <f>AVERAGE(E63:P63)</f>
        <v>208371.16666666666</v>
      </c>
      <c r="R63" s="368" t="b">
        <v>1</v>
      </c>
    </row>
    <row r="64" spans="2:18" ht="16.5" thickBot="1" x14ac:dyDescent="0.25">
      <c r="B64" s="848"/>
      <c r="C64" s="858" t="s">
        <v>285</v>
      </c>
      <c r="D64" s="859"/>
      <c r="E64" s="389">
        <v>357.50964416491797</v>
      </c>
      <c r="F64" s="388">
        <v>393.44531353857178</v>
      </c>
      <c r="G64" s="388">
        <v>472.70824645869806</v>
      </c>
      <c r="H64" s="388">
        <v>356.07895448961301</v>
      </c>
      <c r="I64" s="388">
        <v>392.14551231519181</v>
      </c>
      <c r="J64" s="388">
        <v>437.48812421725245</v>
      </c>
      <c r="K64" s="389">
        <v>378.61071923188547</v>
      </c>
      <c r="L64" s="389">
        <v>387.63791812150851</v>
      </c>
      <c r="M64" s="389">
        <v>452.3279707639598</v>
      </c>
      <c r="N64" s="389">
        <v>368.17144642264736</v>
      </c>
      <c r="O64" s="389">
        <v>368.0465627486991</v>
      </c>
      <c r="P64" s="416">
        <v>422.5866523807731</v>
      </c>
      <c r="Q64" s="418">
        <f t="shared" ref="Q64" si="22">Q62/Q63</f>
        <v>4791.0045616676016</v>
      </c>
      <c r="R64" s="368" t="b">
        <v>1</v>
      </c>
    </row>
    <row r="65" spans="2:18" x14ac:dyDescent="0.2">
      <c r="B65" s="847" t="s">
        <v>286</v>
      </c>
      <c r="C65" s="849" t="s">
        <v>279</v>
      </c>
      <c r="D65" s="369" t="s">
        <v>50</v>
      </c>
      <c r="E65" s="370">
        <v>66951215.049999997</v>
      </c>
      <c r="F65" s="370">
        <v>74347086.839999989</v>
      </c>
      <c r="G65" s="370">
        <v>96699887.409999996</v>
      </c>
      <c r="H65" s="370">
        <v>74995464.870000005</v>
      </c>
      <c r="I65" s="370">
        <v>85409358.120000005</v>
      </c>
      <c r="J65" s="370">
        <v>100509295.40000001</v>
      </c>
      <c r="K65" s="370">
        <v>88573946.319999993</v>
      </c>
      <c r="L65" s="370">
        <v>98674874.430000022</v>
      </c>
      <c r="M65" s="370">
        <v>118954705.61999999</v>
      </c>
      <c r="N65" s="370">
        <v>98362057.00999999</v>
      </c>
      <c r="O65" s="370">
        <v>104488008.04000001</v>
      </c>
      <c r="P65" s="408">
        <v>129094369.92999999</v>
      </c>
      <c r="Q65" s="399">
        <f>SUM(E65:P65)</f>
        <v>1137060269.04</v>
      </c>
      <c r="R65" s="368" t="b">
        <v>1</v>
      </c>
    </row>
    <row r="66" spans="2:18" x14ac:dyDescent="0.2">
      <c r="B66" s="847"/>
      <c r="C66" s="850"/>
      <c r="D66" s="372" t="s">
        <v>280</v>
      </c>
      <c r="E66" s="373">
        <v>212967.42</v>
      </c>
      <c r="F66" s="373">
        <v>167965.22</v>
      </c>
      <c r="G66" s="373">
        <v>257368.01</v>
      </c>
      <c r="H66" s="373">
        <v>238409.48999999996</v>
      </c>
      <c r="I66" s="373">
        <v>200318.03999999998</v>
      </c>
      <c r="J66" s="373">
        <v>255013.19999999998</v>
      </c>
      <c r="K66" s="373">
        <v>252644.56</v>
      </c>
      <c r="L66" s="373">
        <v>216087.46</v>
      </c>
      <c r="M66" s="373">
        <v>290917.81</v>
      </c>
      <c r="N66" s="373">
        <v>297780.43</v>
      </c>
      <c r="O66" s="373">
        <v>255450.88</v>
      </c>
      <c r="P66" s="409">
        <v>298389.3</v>
      </c>
      <c r="Q66" s="400">
        <f t="shared" ref="Q66:Q73" si="23">SUM(E66:P66)</f>
        <v>2943311.82</v>
      </c>
      <c r="R66" s="368" t="b">
        <v>1</v>
      </c>
    </row>
    <row r="67" spans="2:18" x14ac:dyDescent="0.2">
      <c r="B67" s="847"/>
      <c r="C67" s="850"/>
      <c r="D67" s="372" t="s">
        <v>70</v>
      </c>
      <c r="E67" s="373">
        <v>101087.55</v>
      </c>
      <c r="F67" s="373">
        <v>79024.789999999994</v>
      </c>
      <c r="G67" s="373">
        <v>117758.34</v>
      </c>
      <c r="H67" s="373">
        <v>162896.26999999999</v>
      </c>
      <c r="I67" s="373">
        <v>144617.25</v>
      </c>
      <c r="J67" s="373">
        <v>123211.98999999999</v>
      </c>
      <c r="K67" s="373">
        <v>188394.58000000002</v>
      </c>
      <c r="L67" s="373">
        <v>149054.63</v>
      </c>
      <c r="M67" s="373">
        <v>138007.51999999999</v>
      </c>
      <c r="N67" s="373">
        <v>104958.95</v>
      </c>
      <c r="O67" s="373">
        <v>83641.63</v>
      </c>
      <c r="P67" s="409">
        <v>214626.49</v>
      </c>
      <c r="Q67" s="400">
        <f t="shared" si="23"/>
        <v>1607279.99</v>
      </c>
      <c r="R67" s="368" t="b">
        <v>1</v>
      </c>
    </row>
    <row r="68" spans="2:18" ht="16.5" thickBot="1" x14ac:dyDescent="0.25">
      <c r="B68" s="847"/>
      <c r="C68" s="850"/>
      <c r="D68" s="375" t="s">
        <v>281</v>
      </c>
      <c r="E68" s="376">
        <v>1768275.5799999998</v>
      </c>
      <c r="F68" s="376">
        <v>1839659.22</v>
      </c>
      <c r="G68" s="376">
        <v>2062607.54</v>
      </c>
      <c r="H68" s="376">
        <v>1980029.96</v>
      </c>
      <c r="I68" s="376">
        <v>2001525.02</v>
      </c>
      <c r="J68" s="376">
        <v>1982031.54</v>
      </c>
      <c r="K68" s="376">
        <v>2010257.42</v>
      </c>
      <c r="L68" s="376">
        <v>2071896.76</v>
      </c>
      <c r="M68" s="376">
        <v>2182492.77</v>
      </c>
      <c r="N68" s="376">
        <v>2305575.06</v>
      </c>
      <c r="O68" s="376">
        <v>2435516.38</v>
      </c>
      <c r="P68" s="410">
        <v>2484474.8699999996</v>
      </c>
      <c r="Q68" s="401">
        <f t="shared" si="23"/>
        <v>25124342.119999997</v>
      </c>
      <c r="R68" s="368" t="b">
        <v>1</v>
      </c>
    </row>
    <row r="69" spans="2:18" ht="17.25" hidden="1" thickTop="1" thickBot="1" x14ac:dyDescent="0.25">
      <c r="B69" s="847"/>
      <c r="C69" s="850"/>
      <c r="D69" s="378" t="s">
        <v>75</v>
      </c>
      <c r="E69" s="379">
        <v>0</v>
      </c>
      <c r="F69" s="379">
        <v>0</v>
      </c>
      <c r="G69" s="379">
        <v>0</v>
      </c>
      <c r="H69" s="379">
        <v>0</v>
      </c>
      <c r="I69" s="379">
        <v>0</v>
      </c>
      <c r="J69" s="379">
        <v>0</v>
      </c>
      <c r="K69" s="379">
        <v>0</v>
      </c>
      <c r="L69" s="379">
        <v>0</v>
      </c>
      <c r="M69" s="379">
        <v>0</v>
      </c>
      <c r="N69" s="379">
        <v>0</v>
      </c>
      <c r="O69" s="379">
        <v>0</v>
      </c>
      <c r="P69" s="411">
        <v>0</v>
      </c>
      <c r="Q69" s="402">
        <f t="shared" si="23"/>
        <v>0</v>
      </c>
      <c r="R69" s="368" t="b">
        <v>1</v>
      </c>
    </row>
    <row r="70" spans="2:18" ht="17.25" thickTop="1" thickBot="1" x14ac:dyDescent="0.25">
      <c r="B70" s="847"/>
      <c r="C70" s="851"/>
      <c r="D70" s="391" t="s">
        <v>282</v>
      </c>
      <c r="E70" s="381">
        <f t="shared" ref="E70" si="24">SUM(E65:E69)</f>
        <v>69033545.599999994</v>
      </c>
      <c r="F70" s="392">
        <f t="shared" ref="F70:P70" si="25">SUM(F65:F69)</f>
        <v>76433736.069999993</v>
      </c>
      <c r="G70" s="392">
        <f t="shared" si="25"/>
        <v>99137621.300000012</v>
      </c>
      <c r="H70" s="392">
        <f t="shared" si="25"/>
        <v>77376800.589999989</v>
      </c>
      <c r="I70" s="392">
        <f t="shared" si="25"/>
        <v>87755818.430000007</v>
      </c>
      <c r="J70" s="392">
        <f t="shared" si="25"/>
        <v>102869552.13000001</v>
      </c>
      <c r="K70" s="392">
        <f t="shared" si="25"/>
        <v>91025242.879999995</v>
      </c>
      <c r="L70" s="392">
        <f t="shared" si="25"/>
        <v>101111913.28000002</v>
      </c>
      <c r="M70" s="392">
        <f t="shared" si="25"/>
        <v>121566123.71999998</v>
      </c>
      <c r="N70" s="392">
        <f t="shared" si="25"/>
        <v>101070371.45</v>
      </c>
      <c r="O70" s="392">
        <f t="shared" si="25"/>
        <v>107262616.92999999</v>
      </c>
      <c r="P70" s="417">
        <f t="shared" si="25"/>
        <v>132091860.58999999</v>
      </c>
      <c r="Q70" s="406">
        <f t="shared" si="23"/>
        <v>1166735202.97</v>
      </c>
      <c r="R70" s="368" t="b">
        <v>1</v>
      </c>
    </row>
    <row r="71" spans="2:18" x14ac:dyDescent="0.2">
      <c r="B71" s="847"/>
      <c r="C71" s="852" t="s">
        <v>283</v>
      </c>
      <c r="D71" s="853"/>
      <c r="E71" s="373">
        <v>1580645.28</v>
      </c>
      <c r="F71" s="382">
        <v>433312.51</v>
      </c>
      <c r="G71" s="382">
        <v>136299.13</v>
      </c>
      <c r="H71" s="382">
        <v>0</v>
      </c>
      <c r="I71" s="382">
        <v>0</v>
      </c>
      <c r="J71" s="382">
        <v>0</v>
      </c>
      <c r="K71" s="382">
        <v>0</v>
      </c>
      <c r="L71" s="382">
        <v>0</v>
      </c>
      <c r="M71" s="382">
        <v>-118975.08</v>
      </c>
      <c r="N71" s="382">
        <v>0</v>
      </c>
      <c r="O71" s="382">
        <v>0</v>
      </c>
      <c r="P71" s="413">
        <v>-8509.59</v>
      </c>
      <c r="Q71" s="404">
        <f t="shared" si="23"/>
        <v>2022772.2499999998</v>
      </c>
      <c r="R71" s="368" t="b">
        <v>1</v>
      </c>
    </row>
    <row r="72" spans="2:18" ht="16.5" thickBot="1" x14ac:dyDescent="0.25">
      <c r="B72" s="847"/>
      <c r="C72" s="854" t="s">
        <v>284</v>
      </c>
      <c r="D72" s="855"/>
      <c r="E72" s="376">
        <v>67978.789999999994</v>
      </c>
      <c r="F72" s="376">
        <v>75719.360000000001</v>
      </c>
      <c r="G72" s="376">
        <v>98980.44</v>
      </c>
      <c r="H72" s="376">
        <v>50875.35</v>
      </c>
      <c r="I72" s="376">
        <v>103087.92</v>
      </c>
      <c r="J72" s="376">
        <v>131833.63</v>
      </c>
      <c r="K72" s="376">
        <v>74374.569999999992</v>
      </c>
      <c r="L72" s="376">
        <v>113218.59</v>
      </c>
      <c r="M72" s="376">
        <v>120997.67</v>
      </c>
      <c r="N72" s="376">
        <v>126616.18999999999</v>
      </c>
      <c r="O72" s="376">
        <v>172373.11000000002</v>
      </c>
      <c r="P72" s="410">
        <v>121954.23000000001</v>
      </c>
      <c r="Q72" s="401">
        <f t="shared" si="23"/>
        <v>1258009.8499999999</v>
      </c>
      <c r="R72" s="368" t="b">
        <v>1</v>
      </c>
    </row>
    <row r="73" spans="2:18" ht="16.5" thickTop="1" x14ac:dyDescent="0.2">
      <c r="B73" s="847"/>
      <c r="C73" s="852" t="s">
        <v>130</v>
      </c>
      <c r="D73" s="853"/>
      <c r="E73" s="384">
        <f t="shared" ref="E73" si="26">E70+E71+E72</f>
        <v>70682169.670000002</v>
      </c>
      <c r="F73" s="384">
        <f t="shared" ref="F73:P73" si="27">F70+F71+F72</f>
        <v>76942767.939999998</v>
      </c>
      <c r="G73" s="384">
        <f t="shared" si="27"/>
        <v>99372900.870000005</v>
      </c>
      <c r="H73" s="384">
        <f t="shared" si="27"/>
        <v>77427675.939999983</v>
      </c>
      <c r="I73" s="384">
        <f t="shared" si="27"/>
        <v>87858906.350000009</v>
      </c>
      <c r="J73" s="384">
        <f t="shared" si="27"/>
        <v>103001385.76000001</v>
      </c>
      <c r="K73" s="384">
        <f t="shared" si="27"/>
        <v>91099617.449999988</v>
      </c>
      <c r="L73" s="384">
        <f t="shared" si="27"/>
        <v>101225131.87000002</v>
      </c>
      <c r="M73" s="384">
        <f t="shared" si="27"/>
        <v>121568146.30999999</v>
      </c>
      <c r="N73" s="384">
        <f t="shared" si="27"/>
        <v>101196987.64</v>
      </c>
      <c r="O73" s="384">
        <f t="shared" si="27"/>
        <v>107434990.03999999</v>
      </c>
      <c r="P73" s="414">
        <f t="shared" si="27"/>
        <v>132205305.22999999</v>
      </c>
      <c r="Q73" s="404">
        <f t="shared" si="23"/>
        <v>1170015985.0699999</v>
      </c>
      <c r="R73" s="368" t="b">
        <v>1</v>
      </c>
    </row>
    <row r="74" spans="2:18" x14ac:dyDescent="0.2">
      <c r="B74" s="847"/>
      <c r="C74" s="856" t="s">
        <v>118</v>
      </c>
      <c r="D74" s="857"/>
      <c r="E74" s="385">
        <v>223370</v>
      </c>
      <c r="F74" s="385">
        <v>221675</v>
      </c>
      <c r="G74" s="385">
        <v>236304</v>
      </c>
      <c r="H74" s="385">
        <v>241027</v>
      </c>
      <c r="I74" s="385">
        <v>251529</v>
      </c>
      <c r="J74" s="385">
        <v>264041</v>
      </c>
      <c r="K74" s="385">
        <v>265062</v>
      </c>
      <c r="L74" s="385">
        <v>290898</v>
      </c>
      <c r="M74" s="385">
        <v>296675</v>
      </c>
      <c r="N74" s="385">
        <v>298918</v>
      </c>
      <c r="O74" s="385">
        <v>311848</v>
      </c>
      <c r="P74" s="415">
        <v>355845</v>
      </c>
      <c r="Q74" s="405">
        <f>AVERAGE(E74:P74)</f>
        <v>271432.66666666669</v>
      </c>
      <c r="R74" s="368" t="b">
        <v>1</v>
      </c>
    </row>
    <row r="75" spans="2:18" ht="16.5" thickBot="1" x14ac:dyDescent="0.25">
      <c r="B75" s="848"/>
      <c r="C75" s="858" t="s">
        <v>285</v>
      </c>
      <c r="D75" s="859"/>
      <c r="E75" s="389">
        <v>316.43537480413664</v>
      </c>
      <c r="F75" s="388">
        <v>347.0971825420097</v>
      </c>
      <c r="G75" s="388">
        <v>420.52991430530165</v>
      </c>
      <c r="H75" s="388">
        <v>321.24067403236972</v>
      </c>
      <c r="I75" s="388">
        <v>349.29931081505515</v>
      </c>
      <c r="J75" s="388">
        <v>390.09618112338615</v>
      </c>
      <c r="K75" s="389">
        <v>343.69173042533441</v>
      </c>
      <c r="L75" s="389">
        <v>347.97465733693605</v>
      </c>
      <c r="M75" s="389">
        <v>409.76875810230047</v>
      </c>
      <c r="N75" s="389">
        <v>338.54430860637365</v>
      </c>
      <c r="O75" s="389">
        <v>344.51075536799976</v>
      </c>
      <c r="P75" s="416">
        <v>371.52497640826761</v>
      </c>
      <c r="Q75" s="418">
        <f t="shared" ref="Q75" si="28">Q73/Q74</f>
        <v>4310.5201722342426</v>
      </c>
      <c r="R75" s="368" t="b">
        <v>1</v>
      </c>
    </row>
    <row r="76" spans="2:18" x14ac:dyDescent="0.2">
      <c r="B76" s="860" t="s">
        <v>24</v>
      </c>
      <c r="C76" s="860"/>
      <c r="D76" s="860"/>
      <c r="E76" s="860"/>
      <c r="F76" s="860"/>
      <c r="G76" s="860"/>
      <c r="H76" s="860"/>
      <c r="I76" s="860"/>
      <c r="J76" s="860"/>
      <c r="K76" s="860"/>
      <c r="L76" s="860"/>
      <c r="M76" s="860"/>
      <c r="N76" s="860"/>
      <c r="O76" s="860"/>
      <c r="P76" s="860"/>
      <c r="Q76" s="860"/>
    </row>
    <row r="77" spans="2:18" ht="15.75" customHeight="1" x14ac:dyDescent="0.2">
      <c r="B77" s="861" t="s">
        <v>287</v>
      </c>
      <c r="C77" s="861"/>
      <c r="D77" s="861"/>
      <c r="E77" s="861"/>
      <c r="F77" s="861"/>
      <c r="G77" s="861"/>
      <c r="H77" s="861"/>
      <c r="I77" s="861"/>
      <c r="J77" s="861"/>
      <c r="K77" s="861"/>
      <c r="L77" s="861"/>
      <c r="M77" s="861"/>
      <c r="N77" s="861"/>
      <c r="O77" s="861"/>
      <c r="P77" s="861"/>
      <c r="Q77" s="861"/>
    </row>
    <row r="78" spans="2:18" ht="15.75" customHeight="1" x14ac:dyDescent="0.2">
      <c r="B78" s="862" t="s">
        <v>292</v>
      </c>
      <c r="C78" s="862"/>
      <c r="D78" s="862"/>
      <c r="E78" s="862"/>
      <c r="F78" s="862"/>
      <c r="G78" s="862"/>
      <c r="H78" s="862"/>
      <c r="I78" s="862"/>
      <c r="J78" s="862"/>
      <c r="K78" s="862"/>
      <c r="L78" s="862"/>
      <c r="M78" s="862"/>
      <c r="N78" s="862"/>
      <c r="O78" s="862"/>
      <c r="P78" s="862"/>
      <c r="Q78" s="862"/>
    </row>
    <row r="80" spans="2:18" ht="16.5" thickBot="1" x14ac:dyDescent="0.25">
      <c r="B80" s="843" t="s">
        <v>291</v>
      </c>
      <c r="C80" s="843"/>
      <c r="D80" s="843"/>
      <c r="E80" s="843"/>
      <c r="F80" s="843"/>
      <c r="G80" s="843"/>
      <c r="H80" s="843"/>
      <c r="I80" s="843"/>
      <c r="J80" s="843"/>
      <c r="K80" s="843"/>
      <c r="L80" s="843"/>
      <c r="M80" s="843"/>
      <c r="N80" s="843"/>
      <c r="O80" s="843"/>
      <c r="P80" s="843"/>
      <c r="Q80" s="843"/>
    </row>
    <row r="81" spans="2:17" ht="16.5" thickBot="1" x14ac:dyDescent="0.25">
      <c r="B81" s="364" t="s">
        <v>276</v>
      </c>
      <c r="C81" s="844" t="s">
        <v>49</v>
      </c>
      <c r="D81" s="845"/>
      <c r="E81" s="365">
        <v>42186</v>
      </c>
      <c r="F81" s="366">
        <v>42217</v>
      </c>
      <c r="G81" s="366">
        <v>42248</v>
      </c>
      <c r="H81" s="366">
        <v>42278</v>
      </c>
      <c r="I81" s="366">
        <v>42309</v>
      </c>
      <c r="J81" s="366">
        <v>42339</v>
      </c>
      <c r="K81" s="366">
        <v>42370</v>
      </c>
      <c r="L81" s="366">
        <v>42401</v>
      </c>
      <c r="M81" s="366">
        <v>42430</v>
      </c>
      <c r="N81" s="366">
        <v>42461</v>
      </c>
      <c r="O81" s="366">
        <v>42491</v>
      </c>
      <c r="P81" s="366">
        <v>42522</v>
      </c>
      <c r="Q81" s="367" t="s">
        <v>255</v>
      </c>
    </row>
    <row r="82" spans="2:17" x14ac:dyDescent="0.2">
      <c r="B82" s="846" t="s">
        <v>278</v>
      </c>
      <c r="C82" s="849" t="s">
        <v>279</v>
      </c>
      <c r="D82" s="393" t="s">
        <v>50</v>
      </c>
      <c r="E82" s="370"/>
      <c r="F82" s="370">
        <v>8566874.1500000004</v>
      </c>
      <c r="G82" s="370">
        <v>6861785.040000001</v>
      </c>
      <c r="H82" s="370">
        <v>7141601.4100000001</v>
      </c>
      <c r="I82" s="370"/>
      <c r="J82" s="370"/>
      <c r="K82" s="370"/>
      <c r="L82" s="370"/>
      <c r="M82" s="370"/>
      <c r="N82" s="370"/>
      <c r="O82" s="370"/>
      <c r="P82" s="370"/>
      <c r="Q82" s="371">
        <f>SUM(E82:P82)</f>
        <v>22570260.600000001</v>
      </c>
    </row>
    <row r="83" spans="2:17" x14ac:dyDescent="0.2">
      <c r="B83" s="847"/>
      <c r="C83" s="850"/>
      <c r="D83" s="394" t="s">
        <v>280</v>
      </c>
      <c r="E83" s="373"/>
      <c r="F83" s="373">
        <v>359.25</v>
      </c>
      <c r="G83" s="373">
        <v>491.29</v>
      </c>
      <c r="H83" s="373">
        <v>2271</v>
      </c>
      <c r="I83" s="373"/>
      <c r="J83" s="373"/>
      <c r="K83" s="373"/>
      <c r="L83" s="373"/>
      <c r="M83" s="373"/>
      <c r="N83" s="373"/>
      <c r="O83" s="373"/>
      <c r="P83" s="373"/>
      <c r="Q83" s="374">
        <f t="shared" ref="Q83:Q90" si="29">SUM(E83:P83)</f>
        <v>3121.54</v>
      </c>
    </row>
    <row r="84" spans="2:17" x14ac:dyDescent="0.2">
      <c r="B84" s="847"/>
      <c r="C84" s="850"/>
      <c r="D84" s="394" t="s">
        <v>70</v>
      </c>
      <c r="E84" s="373"/>
      <c r="F84" s="373">
        <v>0</v>
      </c>
      <c r="G84" s="373">
        <v>0</v>
      </c>
      <c r="H84" s="373">
        <v>0</v>
      </c>
      <c r="I84" s="373"/>
      <c r="J84" s="373"/>
      <c r="K84" s="373"/>
      <c r="L84" s="373"/>
      <c r="M84" s="373"/>
      <c r="N84" s="373"/>
      <c r="O84" s="373"/>
      <c r="P84" s="373"/>
      <c r="Q84" s="374">
        <f t="shared" si="29"/>
        <v>0</v>
      </c>
    </row>
    <row r="85" spans="2:17" x14ac:dyDescent="0.2">
      <c r="B85" s="847"/>
      <c r="C85" s="850"/>
      <c r="D85" s="394" t="s">
        <v>281</v>
      </c>
      <c r="E85" s="373"/>
      <c r="F85" s="373">
        <v>247224.83</v>
      </c>
      <c r="G85" s="373">
        <v>265894.2</v>
      </c>
      <c r="H85" s="373">
        <v>277106.90999999997</v>
      </c>
      <c r="I85" s="373"/>
      <c r="J85" s="373"/>
      <c r="K85" s="373"/>
      <c r="L85" s="373"/>
      <c r="M85" s="373"/>
      <c r="N85" s="373"/>
      <c r="O85" s="373"/>
      <c r="P85" s="373"/>
      <c r="Q85" s="374">
        <f t="shared" si="29"/>
        <v>790225.94</v>
      </c>
    </row>
    <row r="86" spans="2:17" ht="16.5" thickBot="1" x14ac:dyDescent="0.25">
      <c r="B86" s="847"/>
      <c r="C86" s="850"/>
      <c r="D86" s="395" t="s">
        <v>75</v>
      </c>
      <c r="E86" s="376"/>
      <c r="F86" s="376">
        <v>0</v>
      </c>
      <c r="G86" s="376">
        <v>0</v>
      </c>
      <c r="H86" s="376">
        <v>0</v>
      </c>
      <c r="I86" s="376"/>
      <c r="J86" s="376"/>
      <c r="K86" s="376"/>
      <c r="L86" s="376"/>
      <c r="M86" s="376"/>
      <c r="N86" s="376"/>
      <c r="O86" s="376"/>
      <c r="P86" s="376"/>
      <c r="Q86" s="377">
        <f t="shared" si="29"/>
        <v>0</v>
      </c>
    </row>
    <row r="87" spans="2:17" ht="16.5" thickTop="1" x14ac:dyDescent="0.2">
      <c r="B87" s="847"/>
      <c r="C87" s="865"/>
      <c r="D87" s="396" t="s">
        <v>282</v>
      </c>
      <c r="E87" s="384">
        <f>SUM(E82:E86)</f>
        <v>0</v>
      </c>
      <c r="F87" s="384">
        <f t="shared" ref="F87:P87" si="30">SUM(F82:F86)</f>
        <v>8814458.2300000004</v>
      </c>
      <c r="G87" s="384">
        <f t="shared" si="30"/>
        <v>7128170.5300000012</v>
      </c>
      <c r="H87" s="384">
        <f t="shared" si="30"/>
        <v>7420979.3200000003</v>
      </c>
      <c r="I87" s="384">
        <f t="shared" si="30"/>
        <v>0</v>
      </c>
      <c r="J87" s="384">
        <f t="shared" si="30"/>
        <v>0</v>
      </c>
      <c r="K87" s="384">
        <f t="shared" si="30"/>
        <v>0</v>
      </c>
      <c r="L87" s="384">
        <f t="shared" si="30"/>
        <v>0</v>
      </c>
      <c r="M87" s="384">
        <f t="shared" si="30"/>
        <v>0</v>
      </c>
      <c r="N87" s="384">
        <f t="shared" si="30"/>
        <v>0</v>
      </c>
      <c r="O87" s="384">
        <f t="shared" si="30"/>
        <v>0</v>
      </c>
      <c r="P87" s="384">
        <f t="shared" si="30"/>
        <v>0</v>
      </c>
      <c r="Q87" s="383">
        <f t="shared" si="29"/>
        <v>23363608.080000002</v>
      </c>
    </row>
    <row r="88" spans="2:17" x14ac:dyDescent="0.2">
      <c r="B88" s="847"/>
      <c r="C88" s="863" t="s">
        <v>283</v>
      </c>
      <c r="D88" s="864"/>
      <c r="E88" s="373"/>
      <c r="F88" s="373">
        <v>2054738.57</v>
      </c>
      <c r="G88" s="373">
        <v>2097869.7599999998</v>
      </c>
      <c r="H88" s="373">
        <v>2139782.15</v>
      </c>
      <c r="I88" s="373"/>
      <c r="J88" s="373"/>
      <c r="K88" s="373"/>
      <c r="L88" s="373"/>
      <c r="M88" s="373"/>
      <c r="N88" s="373"/>
      <c r="O88" s="373"/>
      <c r="P88" s="373"/>
      <c r="Q88" s="374">
        <f t="shared" si="29"/>
        <v>6292390.4800000004</v>
      </c>
    </row>
    <row r="89" spans="2:17" ht="16.5" thickBot="1" x14ac:dyDescent="0.25">
      <c r="B89" s="847"/>
      <c r="C89" s="854" t="s">
        <v>284</v>
      </c>
      <c r="D89" s="855"/>
      <c r="E89" s="376"/>
      <c r="F89" s="376">
        <v>8299.52</v>
      </c>
      <c r="G89" s="376">
        <v>2138.1</v>
      </c>
      <c r="H89" s="376">
        <v>6520.7</v>
      </c>
      <c r="I89" s="376"/>
      <c r="J89" s="376"/>
      <c r="K89" s="376"/>
      <c r="L89" s="376"/>
      <c r="M89" s="376"/>
      <c r="N89" s="376"/>
      <c r="O89" s="376"/>
      <c r="P89" s="376"/>
      <c r="Q89" s="377">
        <f t="shared" si="29"/>
        <v>16958.32</v>
      </c>
    </row>
    <row r="90" spans="2:17" ht="16.5" thickTop="1" x14ac:dyDescent="0.2">
      <c r="B90" s="847"/>
      <c r="C90" s="852" t="s">
        <v>130</v>
      </c>
      <c r="D90" s="853"/>
      <c r="E90" s="384">
        <f>E87+E88+E89</f>
        <v>0</v>
      </c>
      <c r="F90" s="384">
        <f t="shared" ref="F90:P90" si="31">F87+F88+F89</f>
        <v>10877496.32</v>
      </c>
      <c r="G90" s="384">
        <f t="shared" si="31"/>
        <v>9228178.3900000006</v>
      </c>
      <c r="H90" s="384">
        <f t="shared" si="31"/>
        <v>9567282.1699999999</v>
      </c>
      <c r="I90" s="384">
        <f t="shared" si="31"/>
        <v>0</v>
      </c>
      <c r="J90" s="384">
        <f t="shared" si="31"/>
        <v>0</v>
      </c>
      <c r="K90" s="384">
        <f t="shared" si="31"/>
        <v>0</v>
      </c>
      <c r="L90" s="384">
        <f t="shared" si="31"/>
        <v>0</v>
      </c>
      <c r="M90" s="384">
        <f t="shared" si="31"/>
        <v>0</v>
      </c>
      <c r="N90" s="384">
        <f t="shared" si="31"/>
        <v>0</v>
      </c>
      <c r="O90" s="384">
        <f t="shared" si="31"/>
        <v>0</v>
      </c>
      <c r="P90" s="384">
        <f t="shared" si="31"/>
        <v>0</v>
      </c>
      <c r="Q90" s="383">
        <f t="shared" si="29"/>
        <v>29672956.880000003</v>
      </c>
    </row>
    <row r="91" spans="2:17" x14ac:dyDescent="0.2">
      <c r="B91" s="847"/>
      <c r="C91" s="863" t="s">
        <v>118</v>
      </c>
      <c r="D91" s="864"/>
      <c r="E91" s="385"/>
      <c r="F91" s="385"/>
      <c r="G91" s="385"/>
      <c r="H91" s="385"/>
      <c r="I91" s="385"/>
      <c r="J91" s="385"/>
      <c r="K91" s="385"/>
      <c r="L91" s="385"/>
      <c r="M91" s="385"/>
      <c r="N91" s="385"/>
      <c r="O91" s="385"/>
      <c r="P91" s="385"/>
      <c r="Q91" s="386" t="e">
        <f>AVERAGE(E91:P91)</f>
        <v>#DIV/0!</v>
      </c>
    </row>
    <row r="92" spans="2:17" ht="16.5" thickBot="1" x14ac:dyDescent="0.25">
      <c r="B92" s="848"/>
      <c r="C92" s="858" t="s">
        <v>285</v>
      </c>
      <c r="D92" s="859"/>
      <c r="E92" s="387" t="e">
        <f>E90/E91</f>
        <v>#DIV/0!</v>
      </c>
      <c r="F92" s="388" t="e">
        <f t="shared" ref="F92:Q92" si="32">F90/F91</f>
        <v>#DIV/0!</v>
      </c>
      <c r="G92" s="388" t="e">
        <f t="shared" si="32"/>
        <v>#DIV/0!</v>
      </c>
      <c r="H92" s="388" t="e">
        <f t="shared" si="32"/>
        <v>#DIV/0!</v>
      </c>
      <c r="I92" s="388" t="e">
        <f t="shared" si="32"/>
        <v>#DIV/0!</v>
      </c>
      <c r="J92" s="388" t="e">
        <f t="shared" si="32"/>
        <v>#DIV/0!</v>
      </c>
      <c r="K92" s="389" t="e">
        <f t="shared" si="32"/>
        <v>#DIV/0!</v>
      </c>
      <c r="L92" s="389" t="e">
        <f t="shared" si="32"/>
        <v>#DIV/0!</v>
      </c>
      <c r="M92" s="389" t="e">
        <f t="shared" si="32"/>
        <v>#DIV/0!</v>
      </c>
      <c r="N92" s="389" t="e">
        <f t="shared" si="32"/>
        <v>#DIV/0!</v>
      </c>
      <c r="O92" s="389" t="e">
        <f t="shared" si="32"/>
        <v>#DIV/0!</v>
      </c>
      <c r="P92" s="389" t="e">
        <f t="shared" si="32"/>
        <v>#DIV/0!</v>
      </c>
      <c r="Q92" s="390" t="e">
        <f t="shared" si="32"/>
        <v>#DIV/0!</v>
      </c>
    </row>
    <row r="93" spans="2:17" x14ac:dyDescent="0.2">
      <c r="B93" s="846" t="s">
        <v>140</v>
      </c>
      <c r="C93" s="849" t="s">
        <v>279</v>
      </c>
      <c r="D93" s="393" t="s">
        <v>50</v>
      </c>
      <c r="E93" s="370"/>
      <c r="F93" s="370">
        <v>130421150.50999999</v>
      </c>
      <c r="G93" s="370">
        <v>108251703.80000001</v>
      </c>
      <c r="H93" s="370">
        <v>105164817.40999998</v>
      </c>
      <c r="I93" s="370"/>
      <c r="J93" s="370"/>
      <c r="K93" s="370"/>
      <c r="L93" s="370"/>
      <c r="M93" s="370"/>
      <c r="N93" s="370"/>
      <c r="O93" s="370"/>
      <c r="P93" s="370"/>
      <c r="Q93" s="371">
        <f>SUM(E93:P93)</f>
        <v>343837671.71999997</v>
      </c>
    </row>
    <row r="94" spans="2:17" x14ac:dyDescent="0.2">
      <c r="B94" s="847"/>
      <c r="C94" s="850"/>
      <c r="D94" s="394" t="s">
        <v>280</v>
      </c>
      <c r="E94" s="373"/>
      <c r="F94" s="373">
        <v>557663.2300000001</v>
      </c>
      <c r="G94" s="373">
        <v>405434.5</v>
      </c>
      <c r="H94" s="373">
        <v>386007.94</v>
      </c>
      <c r="I94" s="373"/>
      <c r="J94" s="373"/>
      <c r="K94" s="373"/>
      <c r="L94" s="373"/>
      <c r="M94" s="373"/>
      <c r="N94" s="373"/>
      <c r="O94" s="373"/>
      <c r="P94" s="373"/>
      <c r="Q94" s="374">
        <f t="shared" ref="Q94:Q101" si="33">SUM(E94:P94)</f>
        <v>1349105.6700000002</v>
      </c>
    </row>
    <row r="95" spans="2:17" x14ac:dyDescent="0.2">
      <c r="B95" s="847"/>
      <c r="C95" s="850"/>
      <c r="D95" s="394" t="s">
        <v>70</v>
      </c>
      <c r="E95" s="373"/>
      <c r="F95" s="373">
        <v>418115.25</v>
      </c>
      <c r="G95" s="373">
        <v>151718.98000000001</v>
      </c>
      <c r="H95" s="373">
        <v>284390.23</v>
      </c>
      <c r="I95" s="373"/>
      <c r="J95" s="373"/>
      <c r="K95" s="373"/>
      <c r="L95" s="373"/>
      <c r="M95" s="373"/>
      <c r="N95" s="373"/>
      <c r="O95" s="373"/>
      <c r="P95" s="373"/>
      <c r="Q95" s="374">
        <f t="shared" si="33"/>
        <v>854224.46</v>
      </c>
    </row>
    <row r="96" spans="2:17" x14ac:dyDescent="0.2">
      <c r="B96" s="847"/>
      <c r="C96" s="850"/>
      <c r="D96" s="394" t="s">
        <v>281</v>
      </c>
      <c r="E96" s="373"/>
      <c r="F96" s="373">
        <v>2407902.4500000002</v>
      </c>
      <c r="G96" s="373">
        <v>2653267.9500000002</v>
      </c>
      <c r="H96" s="373">
        <v>2718511.28</v>
      </c>
      <c r="I96" s="373"/>
      <c r="J96" s="373"/>
      <c r="K96" s="373"/>
      <c r="L96" s="373"/>
      <c r="M96" s="373"/>
      <c r="N96" s="373"/>
      <c r="O96" s="373"/>
      <c r="P96" s="373"/>
      <c r="Q96" s="374">
        <f t="shared" si="33"/>
        <v>7779681.6799999997</v>
      </c>
    </row>
    <row r="97" spans="2:17" ht="16.5" thickBot="1" x14ac:dyDescent="0.25">
      <c r="B97" s="847"/>
      <c r="C97" s="850"/>
      <c r="D97" s="395" t="s">
        <v>75</v>
      </c>
      <c r="E97" s="376"/>
      <c r="F97" s="376">
        <v>0</v>
      </c>
      <c r="G97" s="376">
        <v>0</v>
      </c>
      <c r="H97" s="376">
        <v>0</v>
      </c>
      <c r="I97" s="376"/>
      <c r="J97" s="376"/>
      <c r="K97" s="376"/>
      <c r="L97" s="376"/>
      <c r="M97" s="376"/>
      <c r="N97" s="376"/>
      <c r="O97" s="376"/>
      <c r="P97" s="376"/>
      <c r="Q97" s="377">
        <f t="shared" si="33"/>
        <v>0</v>
      </c>
    </row>
    <row r="98" spans="2:17" ht="16.5" thickTop="1" x14ac:dyDescent="0.2">
      <c r="B98" s="847"/>
      <c r="C98" s="865"/>
      <c r="D98" s="396" t="s">
        <v>282</v>
      </c>
      <c r="E98" s="384">
        <f>SUM(E93:E97)</f>
        <v>0</v>
      </c>
      <c r="F98" s="384">
        <f t="shared" ref="F98:P98" si="34">SUM(F93:F97)</f>
        <v>133804831.44</v>
      </c>
      <c r="G98" s="384">
        <f t="shared" si="34"/>
        <v>111462125.23000002</v>
      </c>
      <c r="H98" s="384">
        <f t="shared" si="34"/>
        <v>108553726.85999998</v>
      </c>
      <c r="I98" s="384">
        <f t="shared" si="34"/>
        <v>0</v>
      </c>
      <c r="J98" s="384">
        <f t="shared" si="34"/>
        <v>0</v>
      </c>
      <c r="K98" s="384">
        <f t="shared" si="34"/>
        <v>0</v>
      </c>
      <c r="L98" s="384">
        <f t="shared" si="34"/>
        <v>0</v>
      </c>
      <c r="M98" s="384">
        <f t="shared" si="34"/>
        <v>0</v>
      </c>
      <c r="N98" s="384">
        <f t="shared" si="34"/>
        <v>0</v>
      </c>
      <c r="O98" s="384">
        <f t="shared" si="34"/>
        <v>0</v>
      </c>
      <c r="P98" s="384">
        <f t="shared" si="34"/>
        <v>0</v>
      </c>
      <c r="Q98" s="383">
        <f t="shared" si="33"/>
        <v>353820683.52999997</v>
      </c>
    </row>
    <row r="99" spans="2:17" x14ac:dyDescent="0.2">
      <c r="B99" s="847"/>
      <c r="C99" s="863" t="s">
        <v>283</v>
      </c>
      <c r="D99" s="864"/>
      <c r="E99" s="373"/>
      <c r="F99" s="373">
        <v>19674016.100000001</v>
      </c>
      <c r="G99" s="373">
        <v>20238774.77</v>
      </c>
      <c r="H99" s="373">
        <v>20313196.379999999</v>
      </c>
      <c r="I99" s="373"/>
      <c r="J99" s="373"/>
      <c r="K99" s="373"/>
      <c r="L99" s="373"/>
      <c r="M99" s="373"/>
      <c r="N99" s="373"/>
      <c r="O99" s="373"/>
      <c r="P99" s="373"/>
      <c r="Q99" s="374">
        <f t="shared" si="33"/>
        <v>60225987.25</v>
      </c>
    </row>
    <row r="100" spans="2:17" ht="16.5" thickBot="1" x14ac:dyDescent="0.25">
      <c r="B100" s="847"/>
      <c r="C100" s="854" t="s">
        <v>284</v>
      </c>
      <c r="D100" s="855"/>
      <c r="E100" s="376"/>
      <c r="F100" s="376">
        <v>179155.64</v>
      </c>
      <c r="G100" s="376">
        <v>90850.59</v>
      </c>
      <c r="H100" s="376">
        <v>169150.83</v>
      </c>
      <c r="I100" s="376"/>
      <c r="J100" s="376"/>
      <c r="K100" s="376"/>
      <c r="L100" s="376"/>
      <c r="M100" s="376"/>
      <c r="N100" s="376"/>
      <c r="O100" s="376"/>
      <c r="P100" s="376"/>
      <c r="Q100" s="377">
        <f t="shared" si="33"/>
        <v>439157.05999999994</v>
      </c>
    </row>
    <row r="101" spans="2:17" ht="16.5" thickTop="1" x14ac:dyDescent="0.2">
      <c r="B101" s="847"/>
      <c r="C101" s="852" t="s">
        <v>130</v>
      </c>
      <c r="D101" s="853"/>
      <c r="E101" s="384">
        <f>E98+E99+E100</f>
        <v>0</v>
      </c>
      <c r="F101" s="384">
        <f t="shared" ref="F101:P101" si="35">F98+F99+F100</f>
        <v>153658003.17999998</v>
      </c>
      <c r="G101" s="384">
        <f t="shared" si="35"/>
        <v>131791750.59000002</v>
      </c>
      <c r="H101" s="384">
        <f t="shared" si="35"/>
        <v>129036074.06999998</v>
      </c>
      <c r="I101" s="384">
        <f t="shared" si="35"/>
        <v>0</v>
      </c>
      <c r="J101" s="384">
        <f t="shared" si="35"/>
        <v>0</v>
      </c>
      <c r="K101" s="384">
        <f t="shared" si="35"/>
        <v>0</v>
      </c>
      <c r="L101" s="384">
        <f t="shared" si="35"/>
        <v>0</v>
      </c>
      <c r="M101" s="384">
        <f t="shared" si="35"/>
        <v>0</v>
      </c>
      <c r="N101" s="384">
        <f t="shared" si="35"/>
        <v>0</v>
      </c>
      <c r="O101" s="384">
        <f t="shared" si="35"/>
        <v>0</v>
      </c>
      <c r="P101" s="384">
        <f t="shared" si="35"/>
        <v>0</v>
      </c>
      <c r="Q101" s="383">
        <f t="shared" si="33"/>
        <v>414485827.83999997</v>
      </c>
    </row>
    <row r="102" spans="2:17" x14ac:dyDescent="0.2">
      <c r="B102" s="847"/>
      <c r="C102" s="863" t="s">
        <v>118</v>
      </c>
      <c r="D102" s="864"/>
      <c r="E102" s="385"/>
      <c r="F102" s="385"/>
      <c r="G102" s="385"/>
      <c r="H102" s="385"/>
      <c r="I102" s="385"/>
      <c r="J102" s="385"/>
      <c r="K102" s="385"/>
      <c r="L102" s="385"/>
      <c r="M102" s="385"/>
      <c r="N102" s="385"/>
      <c r="O102" s="385"/>
      <c r="P102" s="385"/>
      <c r="Q102" s="386" t="e">
        <f>AVERAGE(E102:P102)</f>
        <v>#DIV/0!</v>
      </c>
    </row>
    <row r="103" spans="2:17" ht="16.5" thickBot="1" x14ac:dyDescent="0.25">
      <c r="B103" s="848"/>
      <c r="C103" s="866" t="s">
        <v>285</v>
      </c>
      <c r="D103" s="867"/>
      <c r="E103" s="387" t="e">
        <f>E101/E102</f>
        <v>#DIV/0!</v>
      </c>
      <c r="F103" s="388" t="e">
        <f t="shared" ref="F103:Q103" si="36">F101/F102</f>
        <v>#DIV/0!</v>
      </c>
      <c r="G103" s="388" t="e">
        <f t="shared" si="36"/>
        <v>#DIV/0!</v>
      </c>
      <c r="H103" s="388" t="e">
        <f t="shared" si="36"/>
        <v>#DIV/0!</v>
      </c>
      <c r="I103" s="388" t="e">
        <f t="shared" si="36"/>
        <v>#DIV/0!</v>
      </c>
      <c r="J103" s="388" t="e">
        <f t="shared" si="36"/>
        <v>#DIV/0!</v>
      </c>
      <c r="K103" s="389" t="e">
        <f t="shared" si="36"/>
        <v>#DIV/0!</v>
      </c>
      <c r="L103" s="389" t="e">
        <f t="shared" si="36"/>
        <v>#DIV/0!</v>
      </c>
      <c r="M103" s="389" t="e">
        <f t="shared" si="36"/>
        <v>#DIV/0!</v>
      </c>
      <c r="N103" s="389" t="e">
        <f t="shared" si="36"/>
        <v>#DIV/0!</v>
      </c>
      <c r="O103" s="389" t="e">
        <f t="shared" si="36"/>
        <v>#DIV/0!</v>
      </c>
      <c r="P103" s="389" t="e">
        <f t="shared" si="36"/>
        <v>#DIV/0!</v>
      </c>
      <c r="Q103" s="390" t="e">
        <f t="shared" si="36"/>
        <v>#DIV/0!</v>
      </c>
    </row>
    <row r="104" spans="2:17" x14ac:dyDescent="0.2">
      <c r="B104" s="847" t="s">
        <v>286</v>
      </c>
      <c r="C104" s="849" t="s">
        <v>279</v>
      </c>
      <c r="D104" s="396" t="s">
        <v>50</v>
      </c>
      <c r="E104" s="370">
        <f>E82+E93</f>
        <v>0</v>
      </c>
      <c r="F104" s="370">
        <f t="shared" ref="F104:J104" si="37">F82+F93</f>
        <v>138988024.66</v>
      </c>
      <c r="G104" s="370">
        <f t="shared" si="37"/>
        <v>115113488.84000002</v>
      </c>
      <c r="H104" s="370">
        <f t="shared" si="37"/>
        <v>112306418.81999998</v>
      </c>
      <c r="I104" s="370">
        <f t="shared" si="37"/>
        <v>0</v>
      </c>
      <c r="J104" s="370">
        <f t="shared" si="37"/>
        <v>0</v>
      </c>
      <c r="K104" s="370">
        <f>K82+K93</f>
        <v>0</v>
      </c>
      <c r="L104" s="370">
        <f t="shared" ref="L104:P104" si="38">L82+L93</f>
        <v>0</v>
      </c>
      <c r="M104" s="370">
        <f t="shared" si="38"/>
        <v>0</v>
      </c>
      <c r="N104" s="370">
        <f t="shared" si="38"/>
        <v>0</v>
      </c>
      <c r="O104" s="370">
        <f t="shared" si="38"/>
        <v>0</v>
      </c>
      <c r="P104" s="370">
        <f t="shared" si="38"/>
        <v>0</v>
      </c>
      <c r="Q104" s="371">
        <f>SUM(E104:P104)</f>
        <v>366407932.31999999</v>
      </c>
    </row>
    <row r="105" spans="2:17" x14ac:dyDescent="0.2">
      <c r="B105" s="847"/>
      <c r="C105" s="850"/>
      <c r="D105" s="394" t="s">
        <v>280</v>
      </c>
      <c r="E105" s="373">
        <f t="shared" ref="E105:P108" si="39">E83+E94</f>
        <v>0</v>
      </c>
      <c r="F105" s="373">
        <f t="shared" si="39"/>
        <v>558022.4800000001</v>
      </c>
      <c r="G105" s="373">
        <f t="shared" si="39"/>
        <v>405925.79</v>
      </c>
      <c r="H105" s="373">
        <f t="shared" si="39"/>
        <v>388278.94</v>
      </c>
      <c r="I105" s="373">
        <f t="shared" si="39"/>
        <v>0</v>
      </c>
      <c r="J105" s="373">
        <f t="shared" si="39"/>
        <v>0</v>
      </c>
      <c r="K105" s="373">
        <f t="shared" si="39"/>
        <v>0</v>
      </c>
      <c r="L105" s="373">
        <f t="shared" si="39"/>
        <v>0</v>
      </c>
      <c r="M105" s="373">
        <f t="shared" si="39"/>
        <v>0</v>
      </c>
      <c r="N105" s="373">
        <f t="shared" si="39"/>
        <v>0</v>
      </c>
      <c r="O105" s="373">
        <f t="shared" si="39"/>
        <v>0</v>
      </c>
      <c r="P105" s="373">
        <f t="shared" si="39"/>
        <v>0</v>
      </c>
      <c r="Q105" s="374">
        <f t="shared" ref="Q105:Q112" si="40">SUM(E105:P105)</f>
        <v>1352227.21</v>
      </c>
    </row>
    <row r="106" spans="2:17" x14ac:dyDescent="0.2">
      <c r="B106" s="847"/>
      <c r="C106" s="850"/>
      <c r="D106" s="394" t="s">
        <v>70</v>
      </c>
      <c r="E106" s="373">
        <f t="shared" si="39"/>
        <v>0</v>
      </c>
      <c r="F106" s="373">
        <f t="shared" si="39"/>
        <v>418115.25</v>
      </c>
      <c r="G106" s="373">
        <f t="shared" si="39"/>
        <v>151718.98000000001</v>
      </c>
      <c r="H106" s="373">
        <f t="shared" si="39"/>
        <v>284390.23</v>
      </c>
      <c r="I106" s="373">
        <f t="shared" si="39"/>
        <v>0</v>
      </c>
      <c r="J106" s="373">
        <f t="shared" si="39"/>
        <v>0</v>
      </c>
      <c r="K106" s="373">
        <f t="shared" si="39"/>
        <v>0</v>
      </c>
      <c r="L106" s="373">
        <f t="shared" si="39"/>
        <v>0</v>
      </c>
      <c r="M106" s="373">
        <f t="shared" si="39"/>
        <v>0</v>
      </c>
      <c r="N106" s="373">
        <f t="shared" si="39"/>
        <v>0</v>
      </c>
      <c r="O106" s="373">
        <f t="shared" si="39"/>
        <v>0</v>
      </c>
      <c r="P106" s="373">
        <f t="shared" si="39"/>
        <v>0</v>
      </c>
      <c r="Q106" s="374">
        <f t="shared" si="40"/>
        <v>854224.46</v>
      </c>
    </row>
    <row r="107" spans="2:17" x14ac:dyDescent="0.2">
      <c r="B107" s="847"/>
      <c r="C107" s="850"/>
      <c r="D107" s="394" t="s">
        <v>281</v>
      </c>
      <c r="E107" s="373">
        <f t="shared" si="39"/>
        <v>0</v>
      </c>
      <c r="F107" s="373">
        <f t="shared" si="39"/>
        <v>2655127.2800000003</v>
      </c>
      <c r="G107" s="373">
        <f t="shared" si="39"/>
        <v>2919162.1500000004</v>
      </c>
      <c r="H107" s="373">
        <f t="shared" si="39"/>
        <v>2995618.19</v>
      </c>
      <c r="I107" s="373">
        <f t="shared" si="39"/>
        <v>0</v>
      </c>
      <c r="J107" s="373">
        <f t="shared" si="39"/>
        <v>0</v>
      </c>
      <c r="K107" s="373">
        <f t="shared" si="39"/>
        <v>0</v>
      </c>
      <c r="L107" s="373">
        <f t="shared" si="39"/>
        <v>0</v>
      </c>
      <c r="M107" s="373">
        <f t="shared" si="39"/>
        <v>0</v>
      </c>
      <c r="N107" s="373">
        <f t="shared" si="39"/>
        <v>0</v>
      </c>
      <c r="O107" s="373">
        <f t="shared" si="39"/>
        <v>0</v>
      </c>
      <c r="P107" s="373">
        <f t="shared" si="39"/>
        <v>0</v>
      </c>
      <c r="Q107" s="374">
        <f t="shared" si="40"/>
        <v>8569907.620000001</v>
      </c>
    </row>
    <row r="108" spans="2:17" ht="16.5" thickBot="1" x14ac:dyDescent="0.25">
      <c r="B108" s="847"/>
      <c r="C108" s="850"/>
      <c r="D108" s="395" t="s">
        <v>75</v>
      </c>
      <c r="E108" s="376">
        <f t="shared" si="39"/>
        <v>0</v>
      </c>
      <c r="F108" s="376">
        <f t="shared" si="39"/>
        <v>0</v>
      </c>
      <c r="G108" s="376">
        <f t="shared" si="39"/>
        <v>0</v>
      </c>
      <c r="H108" s="376">
        <f t="shared" si="39"/>
        <v>0</v>
      </c>
      <c r="I108" s="376">
        <f t="shared" si="39"/>
        <v>0</v>
      </c>
      <c r="J108" s="376">
        <f t="shared" si="39"/>
        <v>0</v>
      </c>
      <c r="K108" s="376">
        <f t="shared" si="39"/>
        <v>0</v>
      </c>
      <c r="L108" s="376">
        <f t="shared" si="39"/>
        <v>0</v>
      </c>
      <c r="M108" s="376">
        <f t="shared" si="39"/>
        <v>0</v>
      </c>
      <c r="N108" s="376">
        <f t="shared" si="39"/>
        <v>0</v>
      </c>
      <c r="O108" s="376">
        <f t="shared" si="39"/>
        <v>0</v>
      </c>
      <c r="P108" s="376">
        <f t="shared" si="39"/>
        <v>0</v>
      </c>
      <c r="Q108" s="377">
        <f t="shared" si="40"/>
        <v>0</v>
      </c>
    </row>
    <row r="109" spans="2:17" ht="16.5" thickTop="1" x14ac:dyDescent="0.2">
      <c r="B109" s="847"/>
      <c r="C109" s="865"/>
      <c r="D109" s="396" t="s">
        <v>282</v>
      </c>
      <c r="E109" s="384">
        <f>SUM(E104:E108)</f>
        <v>0</v>
      </c>
      <c r="F109" s="384">
        <f t="shared" ref="F109:P109" si="41">SUM(F104:F108)</f>
        <v>142619289.66999999</v>
      </c>
      <c r="G109" s="384">
        <f t="shared" si="41"/>
        <v>118590295.76000004</v>
      </c>
      <c r="H109" s="384">
        <f t="shared" si="41"/>
        <v>115974706.17999998</v>
      </c>
      <c r="I109" s="384">
        <f t="shared" si="41"/>
        <v>0</v>
      </c>
      <c r="J109" s="384">
        <f t="shared" si="41"/>
        <v>0</v>
      </c>
      <c r="K109" s="384">
        <f t="shared" si="41"/>
        <v>0</v>
      </c>
      <c r="L109" s="384">
        <f t="shared" si="41"/>
        <v>0</v>
      </c>
      <c r="M109" s="384">
        <f t="shared" si="41"/>
        <v>0</v>
      </c>
      <c r="N109" s="384">
        <f t="shared" si="41"/>
        <v>0</v>
      </c>
      <c r="O109" s="384">
        <f t="shared" si="41"/>
        <v>0</v>
      </c>
      <c r="P109" s="384">
        <f t="shared" si="41"/>
        <v>0</v>
      </c>
      <c r="Q109" s="383">
        <f t="shared" si="40"/>
        <v>377184291.61000001</v>
      </c>
    </row>
    <row r="110" spans="2:17" x14ac:dyDescent="0.2">
      <c r="B110" s="847"/>
      <c r="C110" s="863" t="s">
        <v>283</v>
      </c>
      <c r="D110" s="864"/>
      <c r="E110" s="373">
        <f>E88+E99</f>
        <v>0</v>
      </c>
      <c r="F110" s="373">
        <f t="shared" ref="F110:J111" si="42">F88+F99</f>
        <v>21728754.670000002</v>
      </c>
      <c r="G110" s="373">
        <f t="shared" si="42"/>
        <v>22336644.530000001</v>
      </c>
      <c r="H110" s="373">
        <f t="shared" si="42"/>
        <v>22452978.529999997</v>
      </c>
      <c r="I110" s="373">
        <f t="shared" si="42"/>
        <v>0</v>
      </c>
      <c r="J110" s="373">
        <f t="shared" si="42"/>
        <v>0</v>
      </c>
      <c r="K110" s="373">
        <f>K88+K99</f>
        <v>0</v>
      </c>
      <c r="L110" s="373">
        <f t="shared" ref="L110:P111" si="43">L88+L99</f>
        <v>0</v>
      </c>
      <c r="M110" s="373">
        <f t="shared" si="43"/>
        <v>0</v>
      </c>
      <c r="N110" s="373">
        <f t="shared" si="43"/>
        <v>0</v>
      </c>
      <c r="O110" s="373">
        <f t="shared" si="43"/>
        <v>0</v>
      </c>
      <c r="P110" s="373">
        <f t="shared" si="43"/>
        <v>0</v>
      </c>
      <c r="Q110" s="374">
        <f t="shared" si="40"/>
        <v>66518377.730000004</v>
      </c>
    </row>
    <row r="111" spans="2:17" ht="16.5" thickBot="1" x14ac:dyDescent="0.25">
      <c r="B111" s="847"/>
      <c r="C111" s="854" t="s">
        <v>284</v>
      </c>
      <c r="D111" s="855"/>
      <c r="E111" s="376">
        <f>E89+E100</f>
        <v>0</v>
      </c>
      <c r="F111" s="376">
        <f t="shared" si="42"/>
        <v>187455.16</v>
      </c>
      <c r="G111" s="376">
        <f t="shared" si="42"/>
        <v>92988.69</v>
      </c>
      <c r="H111" s="376">
        <f t="shared" si="42"/>
        <v>175671.53</v>
      </c>
      <c r="I111" s="376">
        <f t="shared" si="42"/>
        <v>0</v>
      </c>
      <c r="J111" s="376">
        <f t="shared" si="42"/>
        <v>0</v>
      </c>
      <c r="K111" s="376">
        <f>K89+K100</f>
        <v>0</v>
      </c>
      <c r="L111" s="376">
        <f t="shared" si="43"/>
        <v>0</v>
      </c>
      <c r="M111" s="376">
        <f t="shared" si="43"/>
        <v>0</v>
      </c>
      <c r="N111" s="376">
        <f t="shared" si="43"/>
        <v>0</v>
      </c>
      <c r="O111" s="376">
        <f t="shared" si="43"/>
        <v>0</v>
      </c>
      <c r="P111" s="376">
        <f t="shared" si="43"/>
        <v>0</v>
      </c>
      <c r="Q111" s="377">
        <f t="shared" si="40"/>
        <v>456115.38</v>
      </c>
    </row>
    <row r="112" spans="2:17" ht="16.5" thickTop="1" x14ac:dyDescent="0.2">
      <c r="B112" s="847"/>
      <c r="C112" s="852" t="s">
        <v>130</v>
      </c>
      <c r="D112" s="853"/>
      <c r="E112" s="384">
        <f>E109+E110+E111</f>
        <v>0</v>
      </c>
      <c r="F112" s="384">
        <f t="shared" ref="F112:P112" si="44">F109+F110+F111</f>
        <v>164535499.49999997</v>
      </c>
      <c r="G112" s="384">
        <f t="shared" si="44"/>
        <v>141019928.98000002</v>
      </c>
      <c r="H112" s="384">
        <f t="shared" si="44"/>
        <v>138603356.23999998</v>
      </c>
      <c r="I112" s="384">
        <f t="shared" si="44"/>
        <v>0</v>
      </c>
      <c r="J112" s="384">
        <f t="shared" si="44"/>
        <v>0</v>
      </c>
      <c r="K112" s="384">
        <f t="shared" si="44"/>
        <v>0</v>
      </c>
      <c r="L112" s="384">
        <f t="shared" si="44"/>
        <v>0</v>
      </c>
      <c r="M112" s="384">
        <f t="shared" si="44"/>
        <v>0</v>
      </c>
      <c r="N112" s="384">
        <f t="shared" si="44"/>
        <v>0</v>
      </c>
      <c r="O112" s="384">
        <f t="shared" si="44"/>
        <v>0</v>
      </c>
      <c r="P112" s="384">
        <f t="shared" si="44"/>
        <v>0</v>
      </c>
      <c r="Q112" s="383">
        <f t="shared" si="40"/>
        <v>444158784.72000003</v>
      </c>
    </row>
    <row r="113" spans="2:17" x14ac:dyDescent="0.2">
      <c r="B113" s="847"/>
      <c r="C113" s="863" t="s">
        <v>118</v>
      </c>
      <c r="D113" s="864"/>
      <c r="E113" s="385">
        <f>E91+E102</f>
        <v>0</v>
      </c>
      <c r="F113" s="385">
        <f t="shared" ref="F113:P113" si="45">F91+F102</f>
        <v>0</v>
      </c>
      <c r="G113" s="385">
        <f t="shared" si="45"/>
        <v>0</v>
      </c>
      <c r="H113" s="385">
        <f t="shared" si="45"/>
        <v>0</v>
      </c>
      <c r="I113" s="385">
        <f t="shared" si="45"/>
        <v>0</v>
      </c>
      <c r="J113" s="385">
        <f t="shared" si="45"/>
        <v>0</v>
      </c>
      <c r="K113" s="385">
        <f t="shared" si="45"/>
        <v>0</v>
      </c>
      <c r="L113" s="385">
        <f t="shared" si="45"/>
        <v>0</v>
      </c>
      <c r="M113" s="385">
        <f t="shared" si="45"/>
        <v>0</v>
      </c>
      <c r="N113" s="385">
        <f t="shared" si="45"/>
        <v>0</v>
      </c>
      <c r="O113" s="385">
        <f t="shared" si="45"/>
        <v>0</v>
      </c>
      <c r="P113" s="385">
        <f t="shared" si="45"/>
        <v>0</v>
      </c>
      <c r="Q113" s="386">
        <f>AVERAGE(E113:P113)</f>
        <v>0</v>
      </c>
    </row>
    <row r="114" spans="2:17" ht="16.5" thickBot="1" x14ac:dyDescent="0.25">
      <c r="B114" s="848"/>
      <c r="C114" s="866" t="s">
        <v>285</v>
      </c>
      <c r="D114" s="867"/>
      <c r="E114" s="387" t="e">
        <f>E112/E113</f>
        <v>#DIV/0!</v>
      </c>
      <c r="F114" s="388" t="e">
        <f t="shared" ref="F114:Q114" si="46">F112/F113</f>
        <v>#DIV/0!</v>
      </c>
      <c r="G114" s="388" t="e">
        <f t="shared" si="46"/>
        <v>#DIV/0!</v>
      </c>
      <c r="H114" s="388" t="e">
        <f t="shared" si="46"/>
        <v>#DIV/0!</v>
      </c>
      <c r="I114" s="388" t="e">
        <f t="shared" si="46"/>
        <v>#DIV/0!</v>
      </c>
      <c r="J114" s="388" t="e">
        <f t="shared" si="46"/>
        <v>#DIV/0!</v>
      </c>
      <c r="K114" s="389" t="e">
        <f t="shared" si="46"/>
        <v>#DIV/0!</v>
      </c>
      <c r="L114" s="389" t="e">
        <f t="shared" si="46"/>
        <v>#DIV/0!</v>
      </c>
      <c r="M114" s="389" t="e">
        <f t="shared" si="46"/>
        <v>#DIV/0!</v>
      </c>
      <c r="N114" s="389" t="e">
        <f t="shared" si="46"/>
        <v>#DIV/0!</v>
      </c>
      <c r="O114" s="389" t="e">
        <f t="shared" si="46"/>
        <v>#DIV/0!</v>
      </c>
      <c r="P114" s="389" t="e">
        <f t="shared" si="46"/>
        <v>#DIV/0!</v>
      </c>
      <c r="Q114" s="390" t="e">
        <f t="shared" si="46"/>
        <v>#DIV/0!</v>
      </c>
    </row>
    <row r="115" spans="2:17" x14ac:dyDescent="0.2">
      <c r="B115" s="860" t="s">
        <v>24</v>
      </c>
      <c r="C115" s="860"/>
      <c r="D115" s="860"/>
      <c r="E115" s="860"/>
      <c r="F115" s="860"/>
      <c r="G115" s="860"/>
      <c r="H115" s="860"/>
      <c r="I115" s="860"/>
      <c r="J115" s="860"/>
      <c r="K115" s="860"/>
      <c r="L115" s="860"/>
      <c r="M115" s="860"/>
      <c r="N115" s="860"/>
      <c r="O115" s="860"/>
      <c r="P115" s="860"/>
      <c r="Q115" s="860"/>
    </row>
    <row r="116" spans="2:17" x14ac:dyDescent="0.2">
      <c r="B116" s="861" t="s">
        <v>287</v>
      </c>
      <c r="C116" s="861"/>
      <c r="D116" s="861"/>
      <c r="E116" s="861"/>
      <c r="F116" s="861"/>
      <c r="G116" s="861"/>
      <c r="H116" s="861"/>
      <c r="I116" s="861"/>
      <c r="J116" s="861"/>
      <c r="K116" s="861"/>
      <c r="L116" s="861"/>
      <c r="M116" s="861"/>
      <c r="N116" s="861"/>
      <c r="O116" s="861"/>
      <c r="P116" s="861"/>
      <c r="Q116" s="861"/>
    </row>
    <row r="117" spans="2:17" x14ac:dyDescent="0.2">
      <c r="B117" s="861" t="s">
        <v>288</v>
      </c>
      <c r="C117" s="861"/>
      <c r="D117" s="861"/>
      <c r="E117" s="861"/>
      <c r="F117" s="861"/>
      <c r="G117" s="861"/>
      <c r="H117" s="861"/>
      <c r="I117" s="861"/>
      <c r="J117" s="861"/>
      <c r="K117" s="861"/>
      <c r="L117" s="861"/>
      <c r="M117" s="861"/>
      <c r="N117" s="861"/>
      <c r="O117" s="861"/>
      <c r="P117" s="861"/>
      <c r="Q117" s="861"/>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40625" defaultRowHeight="15.75" x14ac:dyDescent="0.25"/>
  <cols>
    <col min="1" max="1" width="15.7109375" style="18" bestFit="1" customWidth="1"/>
    <col min="2" max="3" width="9.140625" style="17"/>
    <col min="4" max="16384" width="9.140625" style="16"/>
  </cols>
  <sheetData>
    <row r="1" spans="1:3" x14ac:dyDescent="0.25">
      <c r="B1" s="17" t="s">
        <v>80</v>
      </c>
      <c r="C1" s="17" t="s">
        <v>81</v>
      </c>
    </row>
    <row r="2" spans="1:3" x14ac:dyDescent="0.25">
      <c r="A2" s="18">
        <v>39630</v>
      </c>
      <c r="B2" s="17" t="e">
        <f>#REF!</f>
        <v>#REF!</v>
      </c>
      <c r="C2" s="17" t="e">
        <f>#REF!+#REF!</f>
        <v>#REF!</v>
      </c>
    </row>
    <row r="3" spans="1:3" x14ac:dyDescent="0.25">
      <c r="A3" s="18">
        <v>39661</v>
      </c>
      <c r="B3" s="17" t="e">
        <f>#REF!</f>
        <v>#REF!</v>
      </c>
      <c r="C3" s="17" t="e">
        <f>#REF!+#REF!</f>
        <v>#REF!</v>
      </c>
    </row>
    <row r="4" spans="1:3" x14ac:dyDescent="0.25">
      <c r="A4" s="18">
        <v>39692</v>
      </c>
      <c r="B4" s="17" t="e">
        <f>#REF!</f>
        <v>#REF!</v>
      </c>
      <c r="C4" s="17" t="e">
        <f>#REF!+#REF!</f>
        <v>#REF!</v>
      </c>
    </row>
    <row r="5" spans="1:3" x14ac:dyDescent="0.25">
      <c r="A5" s="18">
        <v>39722</v>
      </c>
      <c r="B5" s="17" t="e">
        <f>#REF!</f>
        <v>#REF!</v>
      </c>
      <c r="C5" s="17" t="e">
        <f>#REF!+#REF!</f>
        <v>#REF!</v>
      </c>
    </row>
    <row r="6" spans="1:3" x14ac:dyDescent="0.25">
      <c r="A6" s="18">
        <v>39753</v>
      </c>
      <c r="B6" s="17" t="e">
        <f>#REF!</f>
        <v>#REF!</v>
      </c>
      <c r="C6" s="17" t="e">
        <f>#REF!+#REF!</f>
        <v>#REF!</v>
      </c>
    </row>
    <row r="7" spans="1:3" x14ac:dyDescent="0.25">
      <c r="A7" s="18">
        <v>39783</v>
      </c>
      <c r="B7" s="17" t="e">
        <f>#REF!</f>
        <v>#REF!</v>
      </c>
      <c r="C7" s="17" t="e">
        <f>#REF!+#REF!</f>
        <v>#REF!</v>
      </c>
    </row>
    <row r="8" spans="1:3" x14ac:dyDescent="0.25">
      <c r="A8" s="18">
        <v>39814</v>
      </c>
      <c r="B8" s="17" t="e">
        <f>#REF!</f>
        <v>#REF!</v>
      </c>
      <c r="C8" s="17" t="e">
        <f>#REF!+#REF!</f>
        <v>#REF!</v>
      </c>
    </row>
    <row r="9" spans="1:3" x14ac:dyDescent="0.25">
      <c r="A9" s="18">
        <v>39845</v>
      </c>
      <c r="B9" s="17" t="e">
        <f>#REF!</f>
        <v>#REF!</v>
      </c>
      <c r="C9" s="17" t="e">
        <f>#REF!+#REF!</f>
        <v>#REF!</v>
      </c>
    </row>
    <row r="10" spans="1:3" x14ac:dyDescent="0.25">
      <c r="A10" s="18">
        <v>39873</v>
      </c>
      <c r="B10" s="17" t="e">
        <f>#REF!</f>
        <v>#REF!</v>
      </c>
      <c r="C10" s="17" t="e">
        <f>#REF!+#REF!</f>
        <v>#REF!</v>
      </c>
    </row>
    <row r="11" spans="1:3" x14ac:dyDescent="0.25">
      <c r="A11" s="18">
        <v>39904</v>
      </c>
      <c r="B11" s="17" t="e">
        <f>#REF!</f>
        <v>#REF!</v>
      </c>
      <c r="C11" s="17" t="e">
        <f>#REF!+#REF!</f>
        <v>#REF!</v>
      </c>
    </row>
    <row r="12" spans="1:3" x14ac:dyDescent="0.25">
      <c r="A12" s="18">
        <v>39934</v>
      </c>
      <c r="B12" s="17" t="e">
        <f>#REF!</f>
        <v>#REF!</v>
      </c>
      <c r="C12" s="17" t="e">
        <f>#REF!+#REF!</f>
        <v>#REF!</v>
      </c>
    </row>
    <row r="13" spans="1:3" x14ac:dyDescent="0.25">
      <c r="A13" s="18">
        <v>39965</v>
      </c>
      <c r="B13" s="17" t="e">
        <f>#REF!</f>
        <v>#REF!</v>
      </c>
      <c r="C13" s="17" t="e">
        <f>#REF!+#REF!</f>
        <v>#REF!</v>
      </c>
    </row>
    <row r="14" spans="1:3" x14ac:dyDescent="0.25">
      <c r="A14" s="18">
        <v>39995</v>
      </c>
      <c r="B14" s="17" t="e">
        <f>#REF!</f>
        <v>#REF!</v>
      </c>
      <c r="C14" s="17" t="e">
        <f>#REF!+#REF!</f>
        <v>#REF!</v>
      </c>
    </row>
    <row r="15" spans="1:3" x14ac:dyDescent="0.25">
      <c r="A15" s="18">
        <v>40026</v>
      </c>
      <c r="B15" s="17" t="e">
        <f>#REF!</f>
        <v>#REF!</v>
      </c>
      <c r="C15" s="17" t="e">
        <f>#REF!+#REF!</f>
        <v>#REF!</v>
      </c>
    </row>
    <row r="16" spans="1:3" x14ac:dyDescent="0.25">
      <c r="A16" s="18">
        <v>40057</v>
      </c>
      <c r="B16" s="17" t="e">
        <f>#REF!</f>
        <v>#REF!</v>
      </c>
      <c r="C16" s="17" t="e">
        <f>#REF!+#REF!</f>
        <v>#REF!</v>
      </c>
    </row>
    <row r="17" spans="1:3" x14ac:dyDescent="0.25">
      <c r="A17" s="18">
        <v>40087</v>
      </c>
      <c r="B17" s="17" t="e">
        <f>#REF!</f>
        <v>#REF!</v>
      </c>
      <c r="C17" s="17" t="e">
        <f>#REF!+#REF!</f>
        <v>#REF!</v>
      </c>
    </row>
    <row r="18" spans="1:3" x14ac:dyDescent="0.25">
      <c r="A18" s="18">
        <v>40118</v>
      </c>
      <c r="B18" s="17" t="e">
        <f>#REF!</f>
        <v>#REF!</v>
      </c>
      <c r="C18" s="17" t="e">
        <f>#REF!+#REF!</f>
        <v>#REF!</v>
      </c>
    </row>
    <row r="19" spans="1:3" x14ac:dyDescent="0.25">
      <c r="A19" s="18">
        <v>40148</v>
      </c>
      <c r="B19" s="17" t="e">
        <f>#REF!</f>
        <v>#REF!</v>
      </c>
      <c r="C19" s="17" t="e">
        <f>#REF!+#REF!</f>
        <v>#REF!</v>
      </c>
    </row>
    <row r="20" spans="1:3" x14ac:dyDescent="0.25">
      <c r="A20" s="18">
        <v>40179</v>
      </c>
      <c r="B20" s="17" t="e">
        <f>#REF!</f>
        <v>#REF!</v>
      </c>
      <c r="C20" s="17" t="e">
        <f>#REF!+#REF!</f>
        <v>#REF!</v>
      </c>
    </row>
    <row r="21" spans="1:3" x14ac:dyDescent="0.25">
      <c r="A21" s="18">
        <v>40210</v>
      </c>
      <c r="B21" s="17" t="e">
        <f>#REF!</f>
        <v>#REF!</v>
      </c>
      <c r="C21" s="17" t="e">
        <f>#REF!+#REF!</f>
        <v>#REF!</v>
      </c>
    </row>
  </sheetData>
  <phoneticPr fontId="1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0"/>
  <sheetViews>
    <sheetView view="pageBreakPreview" zoomScaleNormal="100" zoomScaleSheetLayoutView="100" workbookViewId="0">
      <selection activeCell="K25" sqref="K25"/>
    </sheetView>
  </sheetViews>
  <sheetFormatPr defaultColWidth="9.140625" defaultRowHeight="15.75" x14ac:dyDescent="0.25"/>
  <cols>
    <col min="1" max="1" width="7.7109375" style="1" customWidth="1"/>
    <col min="2" max="2" width="89" style="1" customWidth="1"/>
    <col min="3" max="3" width="21.42578125" style="15" bestFit="1" customWidth="1"/>
    <col min="4" max="4" width="22.42578125" style="15" customWidth="1"/>
    <col min="5" max="5" width="19.140625" style="15" bestFit="1" customWidth="1"/>
    <col min="6" max="6" width="15.140625" style="15" bestFit="1" customWidth="1"/>
    <col min="7" max="7" width="10.5703125" style="15" bestFit="1" customWidth="1"/>
    <col min="8" max="10" width="9.140625" style="15"/>
    <col min="11" max="11" width="14.28515625" style="15" bestFit="1" customWidth="1"/>
    <col min="12" max="12" width="9.140625" style="15"/>
    <col min="13" max="13" width="9.28515625" style="15" bestFit="1" customWidth="1"/>
    <col min="14" max="16384" width="9.140625" style="15"/>
  </cols>
  <sheetData>
    <row r="1" spans="1:7" x14ac:dyDescent="0.25">
      <c r="A1" s="638"/>
      <c r="B1" s="638"/>
    </row>
    <row r="2" spans="1:7" s="167" customFormat="1" ht="16.5" thickBot="1" x14ac:dyDescent="0.25">
      <c r="A2" s="166"/>
      <c r="B2" s="166"/>
      <c r="C2" s="166"/>
      <c r="D2" s="166"/>
      <c r="E2" s="166"/>
      <c r="F2" s="166"/>
      <c r="G2" s="166"/>
    </row>
    <row r="3" spans="1:7" s="167" customFormat="1" ht="16.5" thickBot="1" x14ac:dyDescent="0.25">
      <c r="B3" s="639" t="s">
        <v>301</v>
      </c>
      <c r="C3" s="640"/>
    </row>
    <row r="4" spans="1:7" s="167" customFormat="1" x14ac:dyDescent="0.2">
      <c r="B4" s="50" t="s">
        <v>302</v>
      </c>
      <c r="C4" s="39">
        <v>6762815547</v>
      </c>
      <c r="D4" s="166"/>
      <c r="E4" s="166"/>
    </row>
    <row r="5" spans="1:7" s="167" customFormat="1" x14ac:dyDescent="0.2">
      <c r="B5" s="46" t="s">
        <v>304</v>
      </c>
      <c r="C5" s="39">
        <v>-29917</v>
      </c>
      <c r="D5" s="166"/>
      <c r="E5" s="166"/>
    </row>
    <row r="6" spans="1:7" s="167" customFormat="1" x14ac:dyDescent="0.2">
      <c r="B6" s="46" t="s">
        <v>303</v>
      </c>
      <c r="C6" s="39">
        <v>-215271</v>
      </c>
      <c r="D6" s="166"/>
      <c r="E6" s="166"/>
    </row>
    <row r="7" spans="1:7" s="167" customFormat="1" x14ac:dyDescent="0.2">
      <c r="B7" s="46" t="s">
        <v>305</v>
      </c>
      <c r="C7" s="39">
        <v>55694236</v>
      </c>
      <c r="D7" s="166"/>
      <c r="E7" s="166"/>
    </row>
    <row r="8" spans="1:7" s="167" customFormat="1" x14ac:dyDescent="0.2">
      <c r="B8" s="46" t="s">
        <v>342</v>
      </c>
      <c r="C8" s="39">
        <v>126254607</v>
      </c>
      <c r="D8" s="166"/>
      <c r="E8" s="166"/>
    </row>
    <row r="9" spans="1:7" s="167" customFormat="1" x14ac:dyDescent="0.2">
      <c r="B9" s="46" t="s">
        <v>346</v>
      </c>
      <c r="C9" s="39">
        <v>-150381550</v>
      </c>
      <c r="D9" s="166"/>
      <c r="E9" s="166"/>
    </row>
    <row r="10" spans="1:7" s="167" customFormat="1" x14ac:dyDescent="0.2">
      <c r="B10" s="51" t="s">
        <v>306</v>
      </c>
      <c r="C10" s="290">
        <f>SUM(C4:C9)</f>
        <v>6794137652</v>
      </c>
      <c r="D10" s="168"/>
      <c r="E10" s="289"/>
      <c r="F10" s="168"/>
    </row>
    <row r="11" spans="1:7" s="167" customFormat="1" ht="16.5" thickBot="1" x14ac:dyDescent="0.25">
      <c r="B11" s="64" t="s">
        <v>307</v>
      </c>
      <c r="C11" s="69">
        <f>'Premiums Expend'!O59</f>
        <v>5941106615</v>
      </c>
      <c r="D11" s="168"/>
      <c r="E11" s="168"/>
      <c r="F11" s="168"/>
    </row>
    <row r="12" spans="1:7" s="167" customFormat="1" ht="17.25" thickTop="1" thickBot="1" x14ac:dyDescent="0.25">
      <c r="B12" s="361" t="s">
        <v>308</v>
      </c>
      <c r="C12" s="40">
        <f>C10-C11</f>
        <v>853031037</v>
      </c>
      <c r="D12" s="168"/>
    </row>
    <row r="13" spans="1:7" x14ac:dyDescent="0.25">
      <c r="A13" s="12"/>
      <c r="B13" s="44"/>
      <c r="C13" s="336"/>
    </row>
    <row r="14" spans="1:7" x14ac:dyDescent="0.25">
      <c r="A14" s="12"/>
      <c r="B14" s="45"/>
      <c r="C14" s="45"/>
    </row>
    <row r="15" spans="1:7" x14ac:dyDescent="0.25">
      <c r="A15" s="12"/>
      <c r="B15" s="11"/>
    </row>
    <row r="16" spans="1:7" x14ac:dyDescent="0.25">
      <c r="A16" s="12"/>
      <c r="B16" s="11"/>
    </row>
    <row r="17" spans="1:4" x14ac:dyDescent="0.25">
      <c r="A17" s="12"/>
      <c r="B17" s="11"/>
    </row>
    <row r="18" spans="1:4" x14ac:dyDescent="0.25">
      <c r="A18" s="12"/>
      <c r="B18" s="595"/>
      <c r="C18" s="184"/>
    </row>
    <row r="19" spans="1:4" x14ac:dyDescent="0.25">
      <c r="A19" s="12"/>
      <c r="B19" s="15"/>
    </row>
    <row r="20" spans="1:4" x14ac:dyDescent="0.25">
      <c r="A20" s="12"/>
      <c r="B20" s="15"/>
    </row>
    <row r="21" spans="1:4" x14ac:dyDescent="0.25">
      <c r="A21" s="12"/>
      <c r="B21" s="15"/>
    </row>
    <row r="22" spans="1:4" x14ac:dyDescent="0.25">
      <c r="A22" s="12"/>
      <c r="B22" s="15"/>
    </row>
    <row r="23" spans="1:4" x14ac:dyDescent="0.25">
      <c r="A23" s="12"/>
      <c r="B23" s="15"/>
    </row>
    <row r="24" spans="1:4" x14ac:dyDescent="0.25">
      <c r="A24" s="12"/>
      <c r="B24" s="15"/>
    </row>
    <row r="25" spans="1:4" x14ac:dyDescent="0.25">
      <c r="A25" s="12"/>
      <c r="B25" s="15"/>
    </row>
    <row r="26" spans="1:4" x14ac:dyDescent="0.25">
      <c r="A26" s="12"/>
      <c r="B26" s="15"/>
    </row>
    <row r="27" spans="1:4" x14ac:dyDescent="0.25">
      <c r="A27" s="12"/>
      <c r="B27" s="15"/>
    </row>
    <row r="28" spans="1:4" x14ac:dyDescent="0.25">
      <c r="A28" s="12"/>
      <c r="B28" s="15"/>
      <c r="C28" s="456"/>
    </row>
    <row r="29" spans="1:4" x14ac:dyDescent="0.25">
      <c r="A29" s="12"/>
      <c r="B29" s="15"/>
      <c r="C29" s="13"/>
      <c r="D29" s="13"/>
    </row>
    <row r="30" spans="1:4" x14ac:dyDescent="0.25">
      <c r="A30" s="12"/>
      <c r="B30" s="11"/>
      <c r="C30" s="13"/>
    </row>
    <row r="31" spans="1:4" x14ac:dyDescent="0.25">
      <c r="A31" s="12"/>
      <c r="B31" s="11"/>
      <c r="C31" s="13"/>
    </row>
    <row r="32" spans="1:4" x14ac:dyDescent="0.25">
      <c r="A32" s="12"/>
      <c r="B32" s="596"/>
      <c r="C32" s="319"/>
    </row>
    <row r="33" spans="1:6" x14ac:dyDescent="0.25">
      <c r="A33" s="12"/>
      <c r="B33" s="11"/>
    </row>
    <row r="34" spans="1:6" x14ac:dyDescent="0.25">
      <c r="A34" s="12"/>
      <c r="B34" s="11"/>
    </row>
    <row r="35" spans="1:6" x14ac:dyDescent="0.25">
      <c r="A35" s="14"/>
      <c r="B35" s="11"/>
    </row>
    <row r="36" spans="1:6" x14ac:dyDescent="0.25">
      <c r="A36" s="14"/>
      <c r="B36" s="141"/>
      <c r="C36" s="141"/>
      <c r="D36" s="456"/>
    </row>
    <row r="37" spans="1:6" x14ac:dyDescent="0.25">
      <c r="A37" s="12"/>
      <c r="B37" s="141"/>
      <c r="C37" s="141"/>
      <c r="D37" s="456"/>
    </row>
    <row r="38" spans="1:6" x14ac:dyDescent="0.25">
      <c r="A38" s="12"/>
      <c r="B38" s="141"/>
      <c r="C38" s="141"/>
      <c r="D38" s="456"/>
    </row>
    <row r="39" spans="1:6" x14ac:dyDescent="0.25">
      <c r="A39" s="12"/>
      <c r="B39" s="141"/>
      <c r="C39" s="141"/>
      <c r="D39" s="456"/>
    </row>
    <row r="40" spans="1:6" x14ac:dyDescent="0.25">
      <c r="A40" s="12"/>
      <c r="B40" s="141"/>
      <c r="C40" s="141"/>
      <c r="D40" s="341"/>
    </row>
    <row r="41" spans="1:6" x14ac:dyDescent="0.25">
      <c r="A41" s="12"/>
      <c r="B41" s="141"/>
      <c r="C41" s="141"/>
      <c r="D41" s="341"/>
    </row>
    <row r="42" spans="1:6" x14ac:dyDescent="0.25">
      <c r="B42" s="141"/>
      <c r="C42" s="141"/>
      <c r="D42" s="341"/>
      <c r="F42" s="10"/>
    </row>
    <row r="43" spans="1:6" x14ac:dyDescent="0.25">
      <c r="B43" s="141"/>
      <c r="C43" s="141"/>
      <c r="D43" s="341"/>
    </row>
    <row r="44" spans="1:6" x14ac:dyDescent="0.25">
      <c r="B44" s="141"/>
      <c r="C44" s="141"/>
      <c r="D44" s="341"/>
    </row>
    <row r="45" spans="1:6" x14ac:dyDescent="0.25">
      <c r="B45" s="141"/>
      <c r="C45" s="141"/>
      <c r="D45" s="141"/>
    </row>
    <row r="46" spans="1:6" x14ac:dyDescent="0.25">
      <c r="B46" s="7"/>
    </row>
    <row r="47" spans="1:6" x14ac:dyDescent="0.25">
      <c r="B47" s="7"/>
    </row>
    <row r="48" spans="1:6" x14ac:dyDescent="0.25">
      <c r="B48" s="7"/>
      <c r="D48" s="463"/>
    </row>
    <row r="49" spans="4:6" x14ac:dyDescent="0.25">
      <c r="D49" s="463"/>
    </row>
    <row r="50" spans="4:6" x14ac:dyDescent="0.25">
      <c r="D50" s="463"/>
    </row>
    <row r="51" spans="4:6" x14ac:dyDescent="0.25">
      <c r="D51" s="463"/>
    </row>
    <row r="52" spans="4:6" x14ac:dyDescent="0.25">
      <c r="D52" s="463"/>
      <c r="F52" s="463"/>
    </row>
    <row r="53" spans="4:6" x14ac:dyDescent="0.25">
      <c r="D53" s="463"/>
    </row>
    <row r="54" spans="4:6" x14ac:dyDescent="0.25">
      <c r="D54" s="463"/>
      <c r="F54" s="507"/>
    </row>
    <row r="55" spans="4:6" x14ac:dyDescent="0.25">
      <c r="D55" s="463"/>
    </row>
    <row r="56" spans="4:6" x14ac:dyDescent="0.25">
      <c r="D56" s="463"/>
    </row>
    <row r="57" spans="4:6" x14ac:dyDescent="0.25">
      <c r="D57" s="463"/>
    </row>
    <row r="58" spans="4:6" x14ac:dyDescent="0.25">
      <c r="D58" s="463"/>
    </row>
    <row r="59" spans="4:6" x14ac:dyDescent="0.25">
      <c r="D59" s="463"/>
    </row>
    <row r="60" spans="4:6" ht="37.5" customHeight="1" x14ac:dyDescent="0.25">
      <c r="D60" s="463"/>
    </row>
    <row r="61" spans="4:6" x14ac:dyDescent="0.25">
      <c r="D61" s="463"/>
    </row>
    <row r="62" spans="4:6" x14ac:dyDescent="0.25">
      <c r="D62" s="463"/>
    </row>
    <row r="64" spans="4:6" x14ac:dyDescent="0.25">
      <c r="D64" s="463"/>
    </row>
    <row r="65" spans="4:4" x14ac:dyDescent="0.25">
      <c r="D65" s="463"/>
    </row>
    <row r="66" spans="4:4" x14ac:dyDescent="0.25">
      <c r="D66" s="463"/>
    </row>
    <row r="68" spans="4:4" x14ac:dyDescent="0.25">
      <c r="D68" s="463"/>
    </row>
    <row r="69" spans="4:4" x14ac:dyDescent="0.25">
      <c r="D69" s="463"/>
    </row>
    <row r="70" spans="4:4" x14ac:dyDescent="0.25">
      <c r="D70" s="463"/>
    </row>
  </sheetData>
  <mergeCells count="2">
    <mergeCell ref="A1:B1"/>
    <mergeCell ref="B3:C3"/>
  </mergeCells>
  <phoneticPr fontId="1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view="pageBreakPreview" zoomScale="90" zoomScaleNormal="100" zoomScaleSheetLayoutView="90" workbookViewId="0">
      <selection activeCell="K25" sqref="K25"/>
    </sheetView>
  </sheetViews>
  <sheetFormatPr defaultColWidth="9.140625" defaultRowHeight="15.75" x14ac:dyDescent="0.2"/>
  <cols>
    <col min="1" max="1" width="12.140625" style="252" customWidth="1"/>
    <col min="2" max="2" width="36.42578125" style="252" bestFit="1" customWidth="1"/>
    <col min="3" max="4" width="15.28515625" style="252" bestFit="1" customWidth="1"/>
    <col min="5" max="5" width="17.42578125" style="252" customWidth="1"/>
    <col min="6" max="6" width="15.140625" style="252" customWidth="1"/>
    <col min="7" max="7" width="17.5703125" style="252" bestFit="1" customWidth="1"/>
    <col min="8" max="8" width="17.28515625" style="252" customWidth="1"/>
    <col min="9" max="9" width="14.85546875" style="252" customWidth="1"/>
    <col min="10" max="14" width="16.140625" style="252" customWidth="1"/>
    <col min="15" max="15" width="15.85546875" style="252" customWidth="1"/>
    <col min="16" max="16" width="11.140625" style="252" bestFit="1" customWidth="1"/>
    <col min="17" max="18" width="5.5703125" style="252" bestFit="1" customWidth="1"/>
    <col min="19" max="19" width="30" style="252" bestFit="1" customWidth="1"/>
    <col min="20" max="24" width="5.5703125" style="252" bestFit="1" customWidth="1"/>
    <col min="25" max="16384" width="9.140625" style="252"/>
  </cols>
  <sheetData>
    <row r="1" spans="1:17" ht="16.5" thickBot="1" x14ac:dyDescent="0.25"/>
    <row r="2" spans="1:17" ht="16.5" thickBot="1" x14ac:dyDescent="0.25">
      <c r="A2" s="643" t="s">
        <v>315</v>
      </c>
      <c r="B2" s="644"/>
      <c r="C2" s="644"/>
      <c r="D2" s="644"/>
      <c r="E2" s="644"/>
      <c r="F2" s="644"/>
      <c r="G2" s="644"/>
      <c r="H2" s="644"/>
      <c r="I2" s="644"/>
      <c r="J2" s="644"/>
      <c r="K2" s="644"/>
      <c r="L2" s="644"/>
      <c r="M2" s="644"/>
      <c r="N2" s="644"/>
      <c r="O2" s="645"/>
    </row>
    <row r="3" spans="1:17" ht="31.5" customHeight="1" thickBot="1" x14ac:dyDescent="0.25">
      <c r="A3" s="253"/>
      <c r="B3" s="254" t="s">
        <v>49</v>
      </c>
      <c r="C3" s="343">
        <v>42552</v>
      </c>
      <c r="D3" s="344">
        <v>42583</v>
      </c>
      <c r="E3" s="344">
        <v>42614</v>
      </c>
      <c r="F3" s="344">
        <v>42644</v>
      </c>
      <c r="G3" s="344">
        <v>42675</v>
      </c>
      <c r="H3" s="344">
        <v>42705</v>
      </c>
      <c r="I3" s="344">
        <v>42736</v>
      </c>
      <c r="J3" s="344">
        <v>42767</v>
      </c>
      <c r="K3" s="344">
        <v>42795</v>
      </c>
      <c r="L3" s="344">
        <v>42826</v>
      </c>
      <c r="M3" s="344">
        <v>42856</v>
      </c>
      <c r="N3" s="344">
        <v>42887</v>
      </c>
      <c r="O3" s="255" t="s">
        <v>300</v>
      </c>
    </row>
    <row r="4" spans="1:17" ht="31.5" customHeight="1" x14ac:dyDescent="0.2">
      <c r="A4" s="646" t="s">
        <v>167</v>
      </c>
      <c r="B4" s="256" t="s">
        <v>175</v>
      </c>
      <c r="C4" s="257">
        <v>15302827.999999994</v>
      </c>
      <c r="D4" s="258">
        <v>15257831.000000007</v>
      </c>
      <c r="E4" s="259">
        <v>-15620871</v>
      </c>
      <c r="F4" s="259">
        <v>16372420.000000011</v>
      </c>
      <c r="G4" s="259">
        <v>31834279.000000007</v>
      </c>
      <c r="H4" s="259">
        <v>34594773.000000007</v>
      </c>
      <c r="I4" s="259">
        <v>30454467.999999981</v>
      </c>
      <c r="J4" s="259">
        <v>30454467.999999985</v>
      </c>
      <c r="K4" s="259">
        <v>31834785.000000004</v>
      </c>
      <c r="L4" s="259">
        <v>31834785.000000004</v>
      </c>
      <c r="M4" s="259">
        <v>31834785.000000019</v>
      </c>
      <c r="N4" s="259"/>
      <c r="O4" s="260">
        <f>ROUND(SUM(C4:N4),0)</f>
        <v>254154551</v>
      </c>
    </row>
    <row r="5" spans="1:17" ht="31.5" customHeight="1" x14ac:dyDescent="0.2">
      <c r="A5" s="647"/>
      <c r="B5" s="256" t="s">
        <v>176</v>
      </c>
      <c r="C5" s="257">
        <v>1757921</v>
      </c>
      <c r="D5" s="263">
        <v>-574268</v>
      </c>
      <c r="E5" s="259">
        <v>0</v>
      </c>
      <c r="F5" s="259">
        <v>829401</v>
      </c>
      <c r="G5" s="259">
        <v>0</v>
      </c>
      <c r="H5" s="259">
        <v>-1181406</v>
      </c>
      <c r="I5" s="259">
        <v>836606</v>
      </c>
      <c r="J5" s="259">
        <v>0</v>
      </c>
      <c r="K5" s="259">
        <v>-1181406</v>
      </c>
      <c r="L5" s="259">
        <v>0</v>
      </c>
      <c r="M5" s="259">
        <v>0</v>
      </c>
      <c r="N5" s="259"/>
      <c r="O5" s="260">
        <f t="shared" ref="O5:O7" si="0">ROUND(SUM(C5:N5),0)</f>
        <v>486848</v>
      </c>
    </row>
    <row r="6" spans="1:17" ht="31.5" customHeight="1" x14ac:dyDescent="0.2">
      <c r="A6" s="647"/>
      <c r="B6" s="261" t="s">
        <v>177</v>
      </c>
      <c r="C6" s="262">
        <v>11559513.999999996</v>
      </c>
      <c r="D6" s="263">
        <v>11559514.000000002</v>
      </c>
      <c r="E6" s="264">
        <v>14233741.999999998</v>
      </c>
      <c r="F6" s="264">
        <v>8401833.0000000037</v>
      </c>
      <c r="G6" s="264">
        <v>7064718</v>
      </c>
      <c r="H6" s="264">
        <v>8041039.9999999972</v>
      </c>
      <c r="I6" s="264">
        <v>6576557</v>
      </c>
      <c r="J6" s="264">
        <v>6576557.0000000009</v>
      </c>
      <c r="K6" s="264">
        <v>7064717.9999999981</v>
      </c>
      <c r="L6" s="264">
        <v>7064717.9999999981</v>
      </c>
      <c r="M6" s="264">
        <v>7064718.0000000009</v>
      </c>
      <c r="N6" s="264"/>
      <c r="O6" s="265">
        <f t="shared" si="0"/>
        <v>95207629</v>
      </c>
    </row>
    <row r="7" spans="1:17" ht="31.5" customHeight="1" thickBot="1" x14ac:dyDescent="0.25">
      <c r="A7" s="647"/>
      <c r="B7" s="266" t="s">
        <v>178</v>
      </c>
      <c r="C7" s="267">
        <v>33447454</v>
      </c>
      <c r="D7" s="268">
        <v>33447454.000000011</v>
      </c>
      <c r="E7" s="269">
        <v>39273875.999999993</v>
      </c>
      <c r="F7" s="269">
        <v>21082173</v>
      </c>
      <c r="G7" s="269">
        <v>18168960</v>
      </c>
      <c r="H7" s="269">
        <v>18934992</v>
      </c>
      <c r="I7" s="269">
        <v>17786247.000000004</v>
      </c>
      <c r="J7" s="269">
        <v>17786247.000000004</v>
      </c>
      <c r="K7" s="269">
        <v>18169282</v>
      </c>
      <c r="L7" s="269">
        <v>18169281.999999985</v>
      </c>
      <c r="M7" s="269">
        <v>18169282.000000004</v>
      </c>
      <c r="N7" s="269"/>
      <c r="O7" s="270">
        <f t="shared" si="0"/>
        <v>254435249</v>
      </c>
    </row>
    <row r="8" spans="1:17" ht="31.5" customHeight="1" thickTop="1" thickBot="1" x14ac:dyDescent="0.25">
      <c r="A8" s="648"/>
      <c r="B8" s="271" t="s">
        <v>168</v>
      </c>
      <c r="C8" s="272">
        <f t="shared" ref="C8:O8" si="1">SUM(C4:C7)</f>
        <v>62067716.999999985</v>
      </c>
      <c r="D8" s="272">
        <f t="shared" ref="D8" si="2">SUM(D4:D7)</f>
        <v>59690531.000000015</v>
      </c>
      <c r="E8" s="273">
        <f t="shared" ref="E8:F8" si="3">SUM(E4:E7)</f>
        <v>37886746.999999993</v>
      </c>
      <c r="F8" s="273">
        <f t="shared" si="3"/>
        <v>46685827.000000015</v>
      </c>
      <c r="G8" s="273">
        <f t="shared" ref="G8:H8" si="4">SUM(G4:G7)</f>
        <v>57067957.000000007</v>
      </c>
      <c r="H8" s="273">
        <f t="shared" si="4"/>
        <v>60389399.000000007</v>
      </c>
      <c r="I8" s="273">
        <f t="shared" ref="I8" si="5">SUM(I4:I7)</f>
        <v>55653877.999999985</v>
      </c>
      <c r="J8" s="272">
        <f>ROUND(SUM(J4:J7),0)</f>
        <v>54817272</v>
      </c>
      <c r="K8" s="272">
        <f>ROUND(SUM(K4:K7),0)</f>
        <v>55887379</v>
      </c>
      <c r="L8" s="272">
        <f>ROUNDDOWN(SUM(L4:L7),0)</f>
        <v>57068785</v>
      </c>
      <c r="M8" s="273">
        <f>ROUND(SUM(M4:M7),0)</f>
        <v>57068785</v>
      </c>
      <c r="N8" s="273">
        <f>ROUNDDOWN(SUM(N4:N7),0)</f>
        <v>0</v>
      </c>
      <c r="O8" s="274">
        <f t="shared" si="1"/>
        <v>604284277</v>
      </c>
    </row>
    <row r="9" spans="1:17" ht="31.5" customHeight="1" x14ac:dyDescent="0.2">
      <c r="A9" s="647" t="s">
        <v>169</v>
      </c>
      <c r="B9" s="275" t="s">
        <v>339</v>
      </c>
      <c r="C9" s="257">
        <v>15108395.999999996</v>
      </c>
      <c r="D9" s="258">
        <v>8169159.3200000022</v>
      </c>
      <c r="E9" s="258">
        <v>22452654.000000004</v>
      </c>
      <c r="F9" s="258">
        <v>22985542</v>
      </c>
      <c r="G9" s="258">
        <v>16516757.000000002</v>
      </c>
      <c r="H9" s="258">
        <v>26344337.000000004</v>
      </c>
      <c r="I9" s="258">
        <v>12469647.000000002</v>
      </c>
      <c r="J9" s="258">
        <v>11100090.000000004</v>
      </c>
      <c r="K9" s="258">
        <v>15492000</v>
      </c>
      <c r="L9" s="258">
        <v>16516756.999999998</v>
      </c>
      <c r="M9" s="258">
        <v>16516757</v>
      </c>
      <c r="N9" s="258"/>
      <c r="O9" s="276">
        <f t="shared" ref="O9:O10" si="6">ROUND(SUM(C9:N9),0)</f>
        <v>183672096</v>
      </c>
    </row>
    <row r="10" spans="1:17" ht="31.5" customHeight="1" thickBot="1" x14ac:dyDescent="0.3">
      <c r="A10" s="647"/>
      <c r="B10" s="277" t="s">
        <v>295</v>
      </c>
      <c r="C10" s="267">
        <v>8125236.9999999981</v>
      </c>
      <c r="D10" s="268">
        <v>8125237</v>
      </c>
      <c r="E10" s="268">
        <v>10554600</v>
      </c>
      <c r="F10" s="268">
        <v>10838032</v>
      </c>
      <c r="G10" s="268">
        <v>9623347.0000000019</v>
      </c>
      <c r="H10" s="268">
        <v>11981721.000000002</v>
      </c>
      <c r="I10" s="268">
        <v>8444160.0000000019</v>
      </c>
      <c r="J10" s="268">
        <v>8444159.9999999981</v>
      </c>
      <c r="K10" s="268">
        <v>9623347</v>
      </c>
      <c r="L10" s="268">
        <v>9623347</v>
      </c>
      <c r="M10" s="268">
        <v>9623347</v>
      </c>
      <c r="N10" s="268"/>
      <c r="O10" s="278">
        <f t="shared" si="6"/>
        <v>105006535</v>
      </c>
      <c r="Q10" s="279"/>
    </row>
    <row r="11" spans="1:17" ht="31.5" customHeight="1" thickTop="1" thickBot="1" x14ac:dyDescent="0.25">
      <c r="A11" s="647"/>
      <c r="B11" s="280" t="s">
        <v>170</v>
      </c>
      <c r="C11" s="281">
        <f t="shared" ref="C11:H11" si="7">SUM(C9:C10)</f>
        <v>23233632.999999993</v>
      </c>
      <c r="D11" s="282">
        <f t="shared" si="7"/>
        <v>16294396.320000002</v>
      </c>
      <c r="E11" s="282">
        <f t="shared" si="7"/>
        <v>33007254.000000004</v>
      </c>
      <c r="F11" s="282">
        <f t="shared" ref="F11" si="8">SUM(F9:F10)</f>
        <v>33823574</v>
      </c>
      <c r="G11" s="282">
        <f t="shared" si="7"/>
        <v>26140104.000000004</v>
      </c>
      <c r="H11" s="282">
        <f t="shared" si="7"/>
        <v>38326058.000000007</v>
      </c>
      <c r="I11" s="282">
        <f t="shared" ref="I11" si="9">SUM(I9:I10)</f>
        <v>20913807.000000004</v>
      </c>
      <c r="J11" s="282">
        <f t="shared" ref="J11:K11" si="10">SUM(J9:J10)</f>
        <v>19544250</v>
      </c>
      <c r="K11" s="282">
        <f t="shared" si="10"/>
        <v>25115347</v>
      </c>
      <c r="L11" s="282">
        <f>SUM(L9:L10)</f>
        <v>26140104</v>
      </c>
      <c r="M11" s="282">
        <f>SUM(M9:M10)</f>
        <v>26140104</v>
      </c>
      <c r="N11" s="282">
        <f t="shared" ref="N11" si="11">SUM(N9:N10)</f>
        <v>0</v>
      </c>
      <c r="O11" s="283">
        <f>ROUND(SUM(C11:N11),0)</f>
        <v>288678631</v>
      </c>
    </row>
    <row r="12" spans="1:17" ht="31.5" customHeight="1" thickBot="1" x14ac:dyDescent="0.25">
      <c r="A12" s="649" t="s">
        <v>171</v>
      </c>
      <c r="B12" s="650"/>
      <c r="C12" s="284">
        <f t="shared" ref="C12:H12" si="12">C11+C8</f>
        <v>85301349.99999997</v>
      </c>
      <c r="D12" s="285">
        <f t="shared" si="12"/>
        <v>75984927.320000023</v>
      </c>
      <c r="E12" s="285">
        <f t="shared" si="12"/>
        <v>70894001</v>
      </c>
      <c r="F12" s="285">
        <f t="shared" ref="F12" si="13">F11+F8</f>
        <v>80509401.000000015</v>
      </c>
      <c r="G12" s="285">
        <f t="shared" si="12"/>
        <v>83208061.000000015</v>
      </c>
      <c r="H12" s="285">
        <f t="shared" si="12"/>
        <v>98715457.000000015</v>
      </c>
      <c r="I12" s="285">
        <f t="shared" ref="I12" si="14">I11+I8</f>
        <v>76567684.999999985</v>
      </c>
      <c r="J12" s="286">
        <f>J11+J8</f>
        <v>74361522</v>
      </c>
      <c r="K12" s="286">
        <f>K11+K8</f>
        <v>81002726</v>
      </c>
      <c r="L12" s="286">
        <f>L11+L8</f>
        <v>83208889</v>
      </c>
      <c r="M12" s="285">
        <f>M11+M8</f>
        <v>83208889</v>
      </c>
      <c r="N12" s="285">
        <f>N11+N8</f>
        <v>0</v>
      </c>
      <c r="O12" s="287">
        <f>ROUND(SUM(C12:N12),0)</f>
        <v>892962908</v>
      </c>
    </row>
    <row r="13" spans="1:17" x14ac:dyDescent="0.2">
      <c r="A13" s="642"/>
      <c r="B13" s="642"/>
      <c r="C13" s="642"/>
      <c r="D13" s="642"/>
      <c r="E13" s="642"/>
      <c r="F13" s="642"/>
      <c r="G13" s="642"/>
      <c r="H13" s="642"/>
      <c r="I13" s="642"/>
      <c r="J13" s="642"/>
      <c r="K13" s="642"/>
      <c r="L13" s="642"/>
      <c r="M13" s="642"/>
      <c r="N13" s="642"/>
      <c r="O13" s="642"/>
    </row>
    <row r="14" spans="1:17" x14ac:dyDescent="0.2">
      <c r="A14" s="642"/>
      <c r="B14" s="642"/>
      <c r="C14" s="642"/>
      <c r="D14" s="642"/>
      <c r="E14" s="642"/>
      <c r="F14" s="642"/>
      <c r="G14" s="642"/>
      <c r="H14" s="642"/>
      <c r="I14" s="642"/>
      <c r="J14" s="642"/>
      <c r="K14" s="642"/>
      <c r="L14" s="642"/>
      <c r="M14" s="642"/>
      <c r="N14" s="642"/>
      <c r="O14" s="642"/>
      <c r="P14" s="288"/>
    </row>
    <row r="15" spans="1:17" x14ac:dyDescent="0.2">
      <c r="A15" s="597"/>
      <c r="B15" s="597"/>
      <c r="C15" s="597"/>
      <c r="D15" s="597"/>
      <c r="E15" s="597"/>
      <c r="F15" s="598"/>
      <c r="G15" s="599"/>
      <c r="H15" s="599"/>
      <c r="I15" s="599"/>
      <c r="J15" s="599"/>
      <c r="K15" s="599"/>
      <c r="L15" s="599"/>
      <c r="M15" s="599"/>
      <c r="N15" s="599"/>
      <c r="O15" s="597"/>
    </row>
    <row r="16" spans="1:17" x14ac:dyDescent="0.2">
      <c r="F16" s="641"/>
      <c r="G16" s="641"/>
      <c r="L16" s="560"/>
    </row>
    <row r="17" spans="6:9" x14ac:dyDescent="0.2">
      <c r="F17" s="641"/>
      <c r="G17" s="641"/>
    </row>
    <row r="18" spans="6:9" x14ac:dyDescent="0.2">
      <c r="F18" s="641"/>
      <c r="G18" s="641"/>
    </row>
    <row r="19" spans="6:9" x14ac:dyDescent="0.2">
      <c r="F19" s="641"/>
      <c r="G19" s="641"/>
    </row>
    <row r="20" spans="6:9" x14ac:dyDescent="0.2">
      <c r="F20" s="641"/>
      <c r="G20" s="641"/>
    </row>
    <row r="21" spans="6:9" x14ac:dyDescent="0.2">
      <c r="F21" s="641"/>
      <c r="G21" s="641"/>
    </row>
    <row r="22" spans="6:9" x14ac:dyDescent="0.2">
      <c r="F22" s="641"/>
      <c r="G22" s="641"/>
    </row>
    <row r="23" spans="6:9" x14ac:dyDescent="0.2">
      <c r="F23" s="641"/>
      <c r="G23" s="641"/>
    </row>
    <row r="24" spans="6:9" x14ac:dyDescent="0.2">
      <c r="F24" s="641"/>
      <c r="G24" s="641"/>
    </row>
    <row r="25" spans="6:9" x14ac:dyDescent="0.2">
      <c r="F25" s="641"/>
      <c r="G25" s="641"/>
    </row>
    <row r="26" spans="6:9" x14ac:dyDescent="0.2">
      <c r="F26" s="641"/>
      <c r="G26" s="641"/>
    </row>
    <row r="27" spans="6:9" x14ac:dyDescent="0.2">
      <c r="F27" s="288"/>
      <c r="I27" s="555"/>
    </row>
    <row r="60" ht="37.5" customHeight="1" x14ac:dyDescent="0.2"/>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1"/>
  <sheetViews>
    <sheetView view="pageBreakPreview" topLeftCell="A83" zoomScale="80" zoomScaleNormal="100" zoomScaleSheetLayoutView="80" workbookViewId="0">
      <selection activeCell="K25" sqref="K25"/>
    </sheetView>
  </sheetViews>
  <sheetFormatPr defaultColWidth="9.140625" defaultRowHeight="15.75" x14ac:dyDescent="0.2"/>
  <cols>
    <col min="1" max="1" width="9.140625" style="438"/>
    <col min="2" max="2" width="41.7109375" style="438" customWidth="1"/>
    <col min="3" max="3" width="14.140625" style="438" bestFit="1" customWidth="1"/>
    <col min="4" max="4" width="10.7109375" style="438" customWidth="1"/>
    <col min="5" max="5" width="12.42578125" style="438" customWidth="1"/>
    <col min="6" max="6" width="12.7109375" style="438" customWidth="1"/>
    <col min="7" max="8" width="15.140625" style="438" customWidth="1"/>
    <col min="9" max="9" width="10.5703125" style="438" customWidth="1"/>
    <col min="10" max="10" width="17.28515625" style="438" bestFit="1" customWidth="1"/>
    <col min="11" max="11" width="11.7109375" style="438" customWidth="1"/>
    <col min="12" max="12" width="16" style="438" customWidth="1"/>
    <col min="13" max="13" width="10.7109375" style="438" bestFit="1" customWidth="1"/>
    <col min="14" max="15" width="10.5703125" style="438" customWidth="1"/>
    <col min="16" max="16" width="11.7109375" style="438" customWidth="1"/>
    <col min="17" max="17" width="10.28515625" style="438" customWidth="1"/>
    <col min="18" max="18" width="13.5703125" style="438" bestFit="1" customWidth="1"/>
    <col min="19" max="21" width="12.28515625" style="438" customWidth="1"/>
    <col min="22" max="22" width="10.28515625" style="438" bestFit="1" customWidth="1"/>
    <col min="23" max="23" width="9.85546875" style="438" bestFit="1" customWidth="1"/>
    <col min="24" max="24" width="20.140625" style="438" bestFit="1" customWidth="1"/>
    <col min="25" max="25" width="9.85546875" style="438" bestFit="1" customWidth="1"/>
    <col min="26" max="26" width="9.7109375" style="438" bestFit="1" customWidth="1"/>
    <col min="27" max="27" width="21.85546875" style="438" bestFit="1" customWidth="1"/>
    <col min="28" max="28" width="28.140625" style="438" bestFit="1" customWidth="1"/>
    <col min="29" max="29" width="33.7109375" style="438" bestFit="1" customWidth="1"/>
    <col min="30" max="30" width="9.7109375" style="438" bestFit="1" customWidth="1"/>
    <col min="31" max="31" width="10" style="438" bestFit="1" customWidth="1"/>
    <col min="32" max="32" width="17.42578125" style="438" bestFit="1" customWidth="1"/>
    <col min="33" max="33" width="9.5703125" style="438" bestFit="1" customWidth="1"/>
    <col min="34" max="34" width="10" style="438" bestFit="1" customWidth="1"/>
    <col min="35" max="35" width="9.42578125" style="438" bestFit="1" customWidth="1"/>
    <col min="36" max="36" width="10" style="438" bestFit="1" customWidth="1"/>
    <col min="37" max="38" width="9.42578125" style="438" bestFit="1" customWidth="1"/>
    <col min="39" max="39" width="10.85546875" style="438" customWidth="1"/>
    <col min="40" max="40" width="9.42578125" style="438" bestFit="1" customWidth="1"/>
    <col min="41" max="16384" width="9.140625" style="438"/>
  </cols>
  <sheetData>
    <row r="1" spans="2:40" ht="22.5" customHeight="1" x14ac:dyDescent="0.2">
      <c r="B1" s="655" t="s">
        <v>158</v>
      </c>
      <c r="C1" s="656"/>
      <c r="D1" s="656"/>
      <c r="E1" s="656"/>
      <c r="F1" s="656"/>
      <c r="G1" s="656"/>
      <c r="H1" s="656"/>
      <c r="I1" s="656"/>
      <c r="J1" s="656"/>
      <c r="K1" s="656"/>
      <c r="L1" s="656"/>
      <c r="M1" s="656"/>
      <c r="N1" s="656"/>
      <c r="O1" s="656"/>
      <c r="P1" s="656"/>
      <c r="Q1" s="656"/>
      <c r="R1" s="657"/>
      <c r="S1" s="437"/>
      <c r="T1" s="437"/>
      <c r="U1" s="437"/>
      <c r="AB1" s="438">
        <f>Z1*AA1</f>
        <v>0</v>
      </c>
    </row>
    <row r="2" spans="2:40" s="154" customFormat="1" ht="81.75" x14ac:dyDescent="0.2">
      <c r="B2" s="195"/>
      <c r="C2" s="73" t="s">
        <v>135</v>
      </c>
      <c r="D2" s="73" t="s">
        <v>136</v>
      </c>
      <c r="E2" s="73" t="s">
        <v>137</v>
      </c>
      <c r="F2" s="73" t="s">
        <v>107</v>
      </c>
      <c r="G2" s="73" t="s">
        <v>138</v>
      </c>
      <c r="H2" s="73" t="s">
        <v>361</v>
      </c>
      <c r="I2" s="73" t="s">
        <v>362</v>
      </c>
      <c r="J2" s="73" t="s">
        <v>19</v>
      </c>
      <c r="K2" s="73" t="s">
        <v>145</v>
      </c>
      <c r="L2" s="73" t="s">
        <v>141</v>
      </c>
      <c r="M2" s="73" t="s">
        <v>20</v>
      </c>
      <c r="N2" s="73" t="s">
        <v>142</v>
      </c>
      <c r="O2" s="73" t="s">
        <v>143</v>
      </c>
      <c r="P2" s="73" t="s">
        <v>144</v>
      </c>
      <c r="Q2" s="73" t="s">
        <v>32</v>
      </c>
      <c r="R2" s="196" t="s">
        <v>0</v>
      </c>
      <c r="S2" s="61"/>
      <c r="T2" s="61"/>
      <c r="U2" s="61"/>
    </row>
    <row r="3" spans="2:40" s="154" customFormat="1" hidden="1" x14ac:dyDescent="0.2">
      <c r="B3" s="197">
        <v>39995</v>
      </c>
      <c r="C3" s="3">
        <v>38058</v>
      </c>
      <c r="D3" s="3">
        <v>6774</v>
      </c>
      <c r="E3" s="3">
        <v>52315</v>
      </c>
      <c r="F3" s="3"/>
      <c r="G3" s="70">
        <v>70356</v>
      </c>
      <c r="H3" s="3">
        <v>0</v>
      </c>
      <c r="I3" s="3"/>
      <c r="J3" s="3">
        <v>393</v>
      </c>
      <c r="K3" s="3">
        <v>259609</v>
      </c>
      <c r="L3" s="3"/>
      <c r="M3" s="3">
        <v>18285</v>
      </c>
      <c r="N3" s="3">
        <v>7745</v>
      </c>
      <c r="O3" s="3"/>
      <c r="P3" s="3">
        <v>3930</v>
      </c>
      <c r="Q3" s="3">
        <v>15434</v>
      </c>
      <c r="R3" s="198">
        <f t="shared" ref="R3:R13" si="0">SUM(C3:Q3)</f>
        <v>472899</v>
      </c>
      <c r="S3" s="62"/>
      <c r="T3" s="62"/>
      <c r="U3" s="62"/>
      <c r="V3" s="155"/>
      <c r="W3" s="155"/>
      <c r="X3" s="155"/>
      <c r="Y3" s="155"/>
      <c r="Z3" s="155"/>
      <c r="AA3" s="155"/>
      <c r="AB3" s="155"/>
      <c r="AC3" s="155"/>
      <c r="AD3" s="155"/>
      <c r="AE3" s="155"/>
      <c r="AF3" s="155"/>
      <c r="AG3" s="155"/>
      <c r="AH3" s="155"/>
      <c r="AM3" s="155">
        <v>472899</v>
      </c>
      <c r="AN3" s="154" t="b">
        <f>R3=AM3</f>
        <v>1</v>
      </c>
    </row>
    <row r="4" spans="2:40" s="154" customFormat="1" hidden="1" x14ac:dyDescent="0.2">
      <c r="B4" s="197">
        <v>40026</v>
      </c>
      <c r="C4" s="3">
        <v>38306</v>
      </c>
      <c r="D4" s="3">
        <v>6863</v>
      </c>
      <c r="E4" s="3">
        <v>52573</v>
      </c>
      <c r="F4" s="3"/>
      <c r="G4" s="70">
        <v>71467</v>
      </c>
      <c r="H4" s="72">
        <v>0</v>
      </c>
      <c r="I4" s="3"/>
      <c r="J4" s="3">
        <v>395</v>
      </c>
      <c r="K4" s="3">
        <v>263415</v>
      </c>
      <c r="L4" s="3"/>
      <c r="M4" s="3">
        <v>18325</v>
      </c>
      <c r="N4" s="3">
        <v>7849</v>
      </c>
      <c r="O4" s="3"/>
      <c r="P4" s="3">
        <v>3835</v>
      </c>
      <c r="Q4" s="3">
        <v>15522</v>
      </c>
      <c r="R4" s="198">
        <f t="shared" si="0"/>
        <v>478550</v>
      </c>
      <c r="S4" s="62"/>
      <c r="T4" s="62"/>
      <c r="U4" s="62"/>
      <c r="V4" s="155">
        <f t="shared" ref="V4:AG14" si="1">C4-C3</f>
        <v>248</v>
      </c>
      <c r="W4" s="155">
        <f t="shared" si="1"/>
        <v>89</v>
      </c>
      <c r="X4" s="155">
        <f t="shared" si="1"/>
        <v>258</v>
      </c>
      <c r="Y4" s="155">
        <f t="shared" si="1"/>
        <v>0</v>
      </c>
      <c r="Z4" s="155">
        <f t="shared" si="1"/>
        <v>1111</v>
      </c>
      <c r="AA4" s="155">
        <f t="shared" si="1"/>
        <v>0</v>
      </c>
      <c r="AB4" s="155">
        <f t="shared" si="1"/>
        <v>0</v>
      </c>
      <c r="AC4" s="155">
        <f t="shared" si="1"/>
        <v>2</v>
      </c>
      <c r="AD4" s="155">
        <f t="shared" si="1"/>
        <v>3806</v>
      </c>
      <c r="AE4" s="155">
        <f t="shared" si="1"/>
        <v>0</v>
      </c>
      <c r="AF4" s="155">
        <f t="shared" si="1"/>
        <v>40</v>
      </c>
      <c r="AG4" s="155">
        <f t="shared" si="1"/>
        <v>104</v>
      </c>
      <c r="AH4" s="155">
        <f t="shared" ref="AH4:AJ13" si="2">P4-P3</f>
        <v>-95</v>
      </c>
      <c r="AI4" s="155">
        <f t="shared" si="2"/>
        <v>88</v>
      </c>
      <c r="AJ4" s="155">
        <f t="shared" si="2"/>
        <v>5651</v>
      </c>
      <c r="AM4" s="155">
        <v>478550</v>
      </c>
      <c r="AN4" s="154" t="b">
        <f t="shared" ref="AN4:AN67" si="3">R4=AM4</f>
        <v>1</v>
      </c>
    </row>
    <row r="5" spans="2:40" s="154" customFormat="1" hidden="1" x14ac:dyDescent="0.2">
      <c r="B5" s="197">
        <v>40057</v>
      </c>
      <c r="C5" s="3">
        <v>38346</v>
      </c>
      <c r="D5" s="3">
        <v>6945</v>
      </c>
      <c r="E5" s="3">
        <v>52710</v>
      </c>
      <c r="F5" s="3"/>
      <c r="G5" s="70">
        <v>72192</v>
      </c>
      <c r="H5" s="72">
        <v>0</v>
      </c>
      <c r="I5" s="3"/>
      <c r="J5" s="3">
        <v>402</v>
      </c>
      <c r="K5" s="3">
        <v>266381</v>
      </c>
      <c r="L5" s="3"/>
      <c r="M5" s="3">
        <v>18200</v>
      </c>
      <c r="N5" s="3">
        <v>7775</v>
      </c>
      <c r="O5" s="3"/>
      <c r="P5" s="3">
        <v>3724</v>
      </c>
      <c r="Q5" s="3">
        <v>15513</v>
      </c>
      <c r="R5" s="198">
        <f t="shared" si="0"/>
        <v>482188</v>
      </c>
      <c r="S5" s="62"/>
      <c r="T5" s="62"/>
      <c r="U5" s="62"/>
      <c r="V5" s="155">
        <f t="shared" si="1"/>
        <v>40</v>
      </c>
      <c r="W5" s="155">
        <f t="shared" si="1"/>
        <v>82</v>
      </c>
      <c r="X5" s="155">
        <f t="shared" si="1"/>
        <v>137</v>
      </c>
      <c r="Y5" s="155">
        <f t="shared" si="1"/>
        <v>0</v>
      </c>
      <c r="Z5" s="155">
        <f t="shared" si="1"/>
        <v>725</v>
      </c>
      <c r="AA5" s="155">
        <f t="shared" si="1"/>
        <v>0</v>
      </c>
      <c r="AB5" s="155">
        <f t="shared" si="1"/>
        <v>0</v>
      </c>
      <c r="AC5" s="155">
        <f t="shared" si="1"/>
        <v>7</v>
      </c>
      <c r="AD5" s="155">
        <f t="shared" si="1"/>
        <v>2966</v>
      </c>
      <c r="AE5" s="155">
        <f t="shared" si="1"/>
        <v>0</v>
      </c>
      <c r="AF5" s="155">
        <f t="shared" si="1"/>
        <v>-125</v>
      </c>
      <c r="AG5" s="155">
        <f t="shared" si="1"/>
        <v>-74</v>
      </c>
      <c r="AH5" s="155">
        <f t="shared" si="2"/>
        <v>-111</v>
      </c>
      <c r="AI5" s="155">
        <f t="shared" si="2"/>
        <v>-9</v>
      </c>
      <c r="AJ5" s="155">
        <f t="shared" si="2"/>
        <v>3638</v>
      </c>
      <c r="AM5" s="155">
        <v>482188</v>
      </c>
      <c r="AN5" s="154" t="b">
        <f t="shared" si="3"/>
        <v>1</v>
      </c>
    </row>
    <row r="6" spans="2:40" s="154" customFormat="1" hidden="1" x14ac:dyDescent="0.2">
      <c r="B6" s="197">
        <v>40087</v>
      </c>
      <c r="C6" s="3">
        <v>38480</v>
      </c>
      <c r="D6" s="3">
        <v>6985</v>
      </c>
      <c r="E6" s="3">
        <v>52847</v>
      </c>
      <c r="F6" s="3"/>
      <c r="G6" s="70">
        <v>73474</v>
      </c>
      <c r="H6" s="72">
        <v>0</v>
      </c>
      <c r="I6" s="3"/>
      <c r="J6" s="3">
        <v>406</v>
      </c>
      <c r="K6" s="3">
        <v>270514</v>
      </c>
      <c r="L6" s="3"/>
      <c r="M6" s="3">
        <v>18169</v>
      </c>
      <c r="N6" s="3">
        <v>7713</v>
      </c>
      <c r="O6" s="3"/>
      <c r="P6" s="3">
        <v>3650</v>
      </c>
      <c r="Q6" s="3">
        <v>15638</v>
      </c>
      <c r="R6" s="198">
        <f t="shared" si="0"/>
        <v>487876</v>
      </c>
      <c r="S6" s="62"/>
      <c r="T6" s="62"/>
      <c r="U6" s="62"/>
      <c r="V6" s="155">
        <f t="shared" si="1"/>
        <v>134</v>
      </c>
      <c r="W6" s="155">
        <f t="shared" si="1"/>
        <v>40</v>
      </c>
      <c r="X6" s="155">
        <f t="shared" si="1"/>
        <v>137</v>
      </c>
      <c r="Y6" s="155">
        <f t="shared" si="1"/>
        <v>0</v>
      </c>
      <c r="Z6" s="155">
        <f t="shared" si="1"/>
        <v>1282</v>
      </c>
      <c r="AA6" s="155">
        <f t="shared" si="1"/>
        <v>0</v>
      </c>
      <c r="AB6" s="155">
        <f t="shared" si="1"/>
        <v>0</v>
      </c>
      <c r="AC6" s="155">
        <f t="shared" si="1"/>
        <v>4</v>
      </c>
      <c r="AD6" s="155">
        <f t="shared" si="1"/>
        <v>4133</v>
      </c>
      <c r="AE6" s="155">
        <f t="shared" si="1"/>
        <v>0</v>
      </c>
      <c r="AF6" s="155">
        <f t="shared" si="1"/>
        <v>-31</v>
      </c>
      <c r="AG6" s="155">
        <f t="shared" si="1"/>
        <v>-62</v>
      </c>
      <c r="AH6" s="155">
        <f t="shared" si="2"/>
        <v>-74</v>
      </c>
      <c r="AI6" s="155">
        <f t="shared" si="2"/>
        <v>125</v>
      </c>
      <c r="AJ6" s="155">
        <f t="shared" si="2"/>
        <v>5688</v>
      </c>
      <c r="AM6" s="155">
        <v>487876</v>
      </c>
      <c r="AN6" s="154" t="b">
        <f t="shared" si="3"/>
        <v>1</v>
      </c>
    </row>
    <row r="7" spans="2:40" s="154" customFormat="1" hidden="1" x14ac:dyDescent="0.2">
      <c r="B7" s="197">
        <v>40118</v>
      </c>
      <c r="C7" s="3">
        <v>38387</v>
      </c>
      <c r="D7" s="3">
        <v>6986</v>
      </c>
      <c r="E7" s="3">
        <v>52982</v>
      </c>
      <c r="F7" s="3"/>
      <c r="G7" s="70">
        <v>73957</v>
      </c>
      <c r="H7" s="72">
        <v>0</v>
      </c>
      <c r="I7" s="3"/>
      <c r="J7" s="3">
        <v>418</v>
      </c>
      <c r="K7" s="3">
        <v>272453</v>
      </c>
      <c r="L7" s="3"/>
      <c r="M7" s="3">
        <v>17992</v>
      </c>
      <c r="N7" s="3">
        <v>7674</v>
      </c>
      <c r="O7" s="3"/>
      <c r="P7" s="3">
        <v>3644</v>
      </c>
      <c r="Q7" s="3">
        <v>15743</v>
      </c>
      <c r="R7" s="198">
        <f t="shared" si="0"/>
        <v>490236</v>
      </c>
      <c r="S7" s="62"/>
      <c r="T7" s="62"/>
      <c r="U7" s="62"/>
      <c r="V7" s="155">
        <f t="shared" si="1"/>
        <v>-93</v>
      </c>
      <c r="W7" s="155">
        <f t="shared" si="1"/>
        <v>1</v>
      </c>
      <c r="X7" s="155">
        <f t="shared" si="1"/>
        <v>135</v>
      </c>
      <c r="Y7" s="155">
        <f t="shared" si="1"/>
        <v>0</v>
      </c>
      <c r="Z7" s="155">
        <f t="shared" si="1"/>
        <v>483</v>
      </c>
      <c r="AA7" s="155">
        <f t="shared" si="1"/>
        <v>0</v>
      </c>
      <c r="AB7" s="155">
        <f t="shared" si="1"/>
        <v>0</v>
      </c>
      <c r="AC7" s="155">
        <f t="shared" si="1"/>
        <v>12</v>
      </c>
      <c r="AD7" s="155">
        <f t="shared" si="1"/>
        <v>1939</v>
      </c>
      <c r="AE7" s="155">
        <f t="shared" si="1"/>
        <v>0</v>
      </c>
      <c r="AF7" s="155">
        <f t="shared" si="1"/>
        <v>-177</v>
      </c>
      <c r="AG7" s="155">
        <f t="shared" si="1"/>
        <v>-39</v>
      </c>
      <c r="AH7" s="155">
        <f t="shared" si="2"/>
        <v>-6</v>
      </c>
      <c r="AI7" s="155">
        <f t="shared" si="2"/>
        <v>105</v>
      </c>
      <c r="AJ7" s="155">
        <f t="shared" si="2"/>
        <v>2360</v>
      </c>
      <c r="AM7" s="155">
        <v>490236</v>
      </c>
      <c r="AN7" s="154" t="b">
        <f t="shared" si="3"/>
        <v>1</v>
      </c>
    </row>
    <row r="8" spans="2:40" s="154" customFormat="1" hidden="1" x14ac:dyDescent="0.2">
      <c r="B8" s="197">
        <v>40148</v>
      </c>
      <c r="C8" s="3">
        <v>38410</v>
      </c>
      <c r="D8" s="3">
        <v>7025</v>
      </c>
      <c r="E8" s="3">
        <v>53000</v>
      </c>
      <c r="F8" s="3"/>
      <c r="G8" s="70">
        <v>75120</v>
      </c>
      <c r="H8" s="72">
        <v>0</v>
      </c>
      <c r="I8" s="3"/>
      <c r="J8" s="3">
        <v>411</v>
      </c>
      <c r="K8" s="3">
        <v>275867</v>
      </c>
      <c r="L8" s="3"/>
      <c r="M8" s="3">
        <v>18371</v>
      </c>
      <c r="N8" s="3">
        <v>7627</v>
      </c>
      <c r="O8" s="3"/>
      <c r="P8" s="3">
        <v>3632</v>
      </c>
      <c r="Q8" s="3">
        <v>15846</v>
      </c>
      <c r="R8" s="198">
        <f t="shared" si="0"/>
        <v>495309</v>
      </c>
      <c r="S8" s="62"/>
      <c r="T8" s="62"/>
      <c r="U8" s="62"/>
      <c r="V8" s="155">
        <f t="shared" si="1"/>
        <v>23</v>
      </c>
      <c r="W8" s="155">
        <f t="shared" si="1"/>
        <v>39</v>
      </c>
      <c r="X8" s="155">
        <f t="shared" si="1"/>
        <v>18</v>
      </c>
      <c r="Y8" s="155">
        <f t="shared" si="1"/>
        <v>0</v>
      </c>
      <c r="Z8" s="155">
        <f t="shared" si="1"/>
        <v>1163</v>
      </c>
      <c r="AA8" s="155">
        <f t="shared" si="1"/>
        <v>0</v>
      </c>
      <c r="AB8" s="155">
        <f t="shared" si="1"/>
        <v>0</v>
      </c>
      <c r="AC8" s="155">
        <f t="shared" si="1"/>
        <v>-7</v>
      </c>
      <c r="AD8" s="155">
        <f t="shared" si="1"/>
        <v>3414</v>
      </c>
      <c r="AE8" s="155">
        <f t="shared" si="1"/>
        <v>0</v>
      </c>
      <c r="AF8" s="155">
        <f t="shared" si="1"/>
        <v>379</v>
      </c>
      <c r="AG8" s="155">
        <f t="shared" si="1"/>
        <v>-47</v>
      </c>
      <c r="AH8" s="155">
        <f t="shared" si="2"/>
        <v>-12</v>
      </c>
      <c r="AI8" s="155">
        <f t="shared" si="2"/>
        <v>103</v>
      </c>
      <c r="AJ8" s="155">
        <f t="shared" si="2"/>
        <v>5073</v>
      </c>
      <c r="AM8" s="155">
        <v>495309</v>
      </c>
      <c r="AN8" s="154" t="b">
        <f t="shared" si="3"/>
        <v>1</v>
      </c>
    </row>
    <row r="9" spans="2:40" s="154" customFormat="1" hidden="1" x14ac:dyDescent="0.2">
      <c r="B9" s="197">
        <v>40179</v>
      </c>
      <c r="C9" s="3">
        <v>38452</v>
      </c>
      <c r="D9" s="3">
        <v>7047</v>
      </c>
      <c r="E9" s="3">
        <v>53255</v>
      </c>
      <c r="F9" s="3"/>
      <c r="G9" s="70">
        <v>76403</v>
      </c>
      <c r="H9" s="72">
        <v>0</v>
      </c>
      <c r="I9" s="3"/>
      <c r="J9" s="3">
        <v>416</v>
      </c>
      <c r="K9" s="3">
        <v>279000</v>
      </c>
      <c r="L9" s="3"/>
      <c r="M9" s="3">
        <v>18400</v>
      </c>
      <c r="N9" s="3">
        <v>7796</v>
      </c>
      <c r="O9" s="3"/>
      <c r="P9" s="3">
        <v>3610</v>
      </c>
      <c r="Q9" s="3">
        <v>15954</v>
      </c>
      <c r="R9" s="198">
        <f t="shared" si="0"/>
        <v>500333</v>
      </c>
      <c r="S9" s="62"/>
      <c r="T9" s="62"/>
      <c r="U9" s="62"/>
      <c r="V9" s="155">
        <f t="shared" si="1"/>
        <v>42</v>
      </c>
      <c r="W9" s="155">
        <f t="shared" si="1"/>
        <v>22</v>
      </c>
      <c r="X9" s="155">
        <f t="shared" si="1"/>
        <v>255</v>
      </c>
      <c r="Y9" s="155">
        <f t="shared" si="1"/>
        <v>0</v>
      </c>
      <c r="Z9" s="155">
        <f t="shared" si="1"/>
        <v>1283</v>
      </c>
      <c r="AA9" s="155">
        <f t="shared" si="1"/>
        <v>0</v>
      </c>
      <c r="AB9" s="155">
        <f t="shared" si="1"/>
        <v>0</v>
      </c>
      <c r="AC9" s="155">
        <f t="shared" si="1"/>
        <v>5</v>
      </c>
      <c r="AD9" s="155">
        <f t="shared" si="1"/>
        <v>3133</v>
      </c>
      <c r="AE9" s="155">
        <f t="shared" si="1"/>
        <v>0</v>
      </c>
      <c r="AF9" s="155">
        <f t="shared" si="1"/>
        <v>29</v>
      </c>
      <c r="AG9" s="155">
        <f t="shared" si="1"/>
        <v>169</v>
      </c>
      <c r="AH9" s="155">
        <f t="shared" si="2"/>
        <v>-22</v>
      </c>
      <c r="AI9" s="155">
        <f t="shared" si="2"/>
        <v>108</v>
      </c>
      <c r="AJ9" s="155">
        <f t="shared" si="2"/>
        <v>5024</v>
      </c>
      <c r="AM9" s="155">
        <v>500333</v>
      </c>
      <c r="AN9" s="154" t="b">
        <f t="shared" si="3"/>
        <v>1</v>
      </c>
    </row>
    <row r="10" spans="2:40" s="154" customFormat="1" hidden="1" x14ac:dyDescent="0.2">
      <c r="B10" s="197">
        <v>40210</v>
      </c>
      <c r="C10" s="3">
        <v>38432</v>
      </c>
      <c r="D10" s="3">
        <v>7049</v>
      </c>
      <c r="E10" s="3">
        <v>53298</v>
      </c>
      <c r="F10" s="3"/>
      <c r="G10" s="70">
        <v>77214</v>
      </c>
      <c r="H10" s="72">
        <v>0</v>
      </c>
      <c r="I10" s="3"/>
      <c r="J10" s="3">
        <v>431</v>
      </c>
      <c r="K10" s="3">
        <v>279898</v>
      </c>
      <c r="L10" s="3"/>
      <c r="M10" s="3">
        <v>18467</v>
      </c>
      <c r="N10" s="3">
        <v>7779</v>
      </c>
      <c r="O10" s="3"/>
      <c r="P10" s="3">
        <v>3550</v>
      </c>
      <c r="Q10" s="3">
        <v>16076</v>
      </c>
      <c r="R10" s="198">
        <f t="shared" si="0"/>
        <v>502194</v>
      </c>
      <c r="S10" s="62"/>
      <c r="T10" s="62"/>
      <c r="U10" s="62"/>
      <c r="V10" s="155">
        <f t="shared" si="1"/>
        <v>-20</v>
      </c>
      <c r="W10" s="155">
        <f t="shared" si="1"/>
        <v>2</v>
      </c>
      <c r="X10" s="155">
        <f t="shared" si="1"/>
        <v>43</v>
      </c>
      <c r="Y10" s="155">
        <f t="shared" si="1"/>
        <v>0</v>
      </c>
      <c r="Z10" s="155">
        <f t="shared" si="1"/>
        <v>811</v>
      </c>
      <c r="AA10" s="155">
        <f t="shared" si="1"/>
        <v>0</v>
      </c>
      <c r="AB10" s="155">
        <f t="shared" si="1"/>
        <v>0</v>
      </c>
      <c r="AC10" s="155">
        <f t="shared" si="1"/>
        <v>15</v>
      </c>
      <c r="AD10" s="155">
        <f t="shared" si="1"/>
        <v>898</v>
      </c>
      <c r="AE10" s="155">
        <f t="shared" si="1"/>
        <v>0</v>
      </c>
      <c r="AF10" s="155">
        <f t="shared" si="1"/>
        <v>67</v>
      </c>
      <c r="AG10" s="155">
        <f t="shared" si="1"/>
        <v>-17</v>
      </c>
      <c r="AH10" s="155">
        <f t="shared" si="2"/>
        <v>-60</v>
      </c>
      <c r="AI10" s="155">
        <f t="shared" si="2"/>
        <v>122</v>
      </c>
      <c r="AJ10" s="155">
        <f t="shared" si="2"/>
        <v>1861</v>
      </c>
      <c r="AM10" s="155">
        <v>502194</v>
      </c>
      <c r="AN10" s="154" t="b">
        <f t="shared" si="3"/>
        <v>1</v>
      </c>
    </row>
    <row r="11" spans="2:40" s="154" customFormat="1" hidden="1" x14ac:dyDescent="0.2">
      <c r="B11" s="197">
        <v>40238</v>
      </c>
      <c r="C11" s="3">
        <v>38597</v>
      </c>
      <c r="D11" s="3">
        <v>7152</v>
      </c>
      <c r="E11" s="3">
        <v>53629</v>
      </c>
      <c r="F11" s="3"/>
      <c r="G11" s="70">
        <v>79286</v>
      </c>
      <c r="H11" s="72">
        <v>0</v>
      </c>
      <c r="I11" s="3"/>
      <c r="J11" s="3">
        <v>449</v>
      </c>
      <c r="K11" s="3">
        <v>283625</v>
      </c>
      <c r="L11" s="3"/>
      <c r="M11" s="3">
        <v>18486</v>
      </c>
      <c r="N11" s="3">
        <v>7996</v>
      </c>
      <c r="O11" s="3"/>
      <c r="P11" s="3">
        <v>3768</v>
      </c>
      <c r="Q11" s="3">
        <v>16212</v>
      </c>
      <c r="R11" s="198">
        <f t="shared" si="0"/>
        <v>509200</v>
      </c>
      <c r="S11" s="62"/>
      <c r="T11" s="62"/>
      <c r="U11" s="62"/>
      <c r="V11" s="155">
        <f t="shared" si="1"/>
        <v>165</v>
      </c>
      <c r="W11" s="155">
        <f t="shared" si="1"/>
        <v>103</v>
      </c>
      <c r="X11" s="155">
        <f t="shared" si="1"/>
        <v>331</v>
      </c>
      <c r="Y11" s="155">
        <f t="shared" si="1"/>
        <v>0</v>
      </c>
      <c r="Z11" s="155">
        <f t="shared" si="1"/>
        <v>2072</v>
      </c>
      <c r="AA11" s="155">
        <f t="shared" si="1"/>
        <v>0</v>
      </c>
      <c r="AB11" s="155">
        <f t="shared" si="1"/>
        <v>0</v>
      </c>
      <c r="AC11" s="155">
        <f t="shared" si="1"/>
        <v>18</v>
      </c>
      <c r="AD11" s="155">
        <f t="shared" si="1"/>
        <v>3727</v>
      </c>
      <c r="AE11" s="155">
        <f t="shared" si="1"/>
        <v>0</v>
      </c>
      <c r="AF11" s="155">
        <f t="shared" si="1"/>
        <v>19</v>
      </c>
      <c r="AG11" s="155">
        <f t="shared" si="1"/>
        <v>217</v>
      </c>
      <c r="AH11" s="155">
        <f t="shared" si="2"/>
        <v>218</v>
      </c>
      <c r="AI11" s="155">
        <f t="shared" si="2"/>
        <v>136</v>
      </c>
      <c r="AJ11" s="155">
        <f t="shared" si="2"/>
        <v>7006</v>
      </c>
      <c r="AM11" s="155">
        <v>509200</v>
      </c>
      <c r="AN11" s="154" t="b">
        <f t="shared" si="3"/>
        <v>1</v>
      </c>
    </row>
    <row r="12" spans="2:40" s="154" customFormat="1" hidden="1" x14ac:dyDescent="0.2">
      <c r="B12" s="197">
        <v>40269</v>
      </c>
      <c r="C12" s="3">
        <v>38727</v>
      </c>
      <c r="D12" s="3">
        <v>7212</v>
      </c>
      <c r="E12" s="3">
        <v>53904</v>
      </c>
      <c r="F12" s="3"/>
      <c r="G12" s="70">
        <v>80192</v>
      </c>
      <c r="H12" s="72">
        <v>0</v>
      </c>
      <c r="I12" s="3"/>
      <c r="J12" s="3">
        <v>452</v>
      </c>
      <c r="K12" s="3">
        <v>285746</v>
      </c>
      <c r="L12" s="3"/>
      <c r="M12" s="3">
        <v>18552</v>
      </c>
      <c r="N12" s="3">
        <v>8054</v>
      </c>
      <c r="O12" s="3"/>
      <c r="P12" s="3">
        <v>3831</v>
      </c>
      <c r="Q12" s="3">
        <v>16308</v>
      </c>
      <c r="R12" s="198">
        <f t="shared" si="0"/>
        <v>512978</v>
      </c>
      <c r="S12" s="62"/>
      <c r="T12" s="62"/>
      <c r="U12" s="62"/>
      <c r="V12" s="155">
        <f t="shared" si="1"/>
        <v>130</v>
      </c>
      <c r="W12" s="155">
        <f t="shared" si="1"/>
        <v>60</v>
      </c>
      <c r="X12" s="155">
        <f t="shared" si="1"/>
        <v>275</v>
      </c>
      <c r="Y12" s="155">
        <f t="shared" si="1"/>
        <v>0</v>
      </c>
      <c r="Z12" s="155">
        <f t="shared" si="1"/>
        <v>906</v>
      </c>
      <c r="AA12" s="155">
        <f t="shared" si="1"/>
        <v>0</v>
      </c>
      <c r="AB12" s="155">
        <f t="shared" si="1"/>
        <v>0</v>
      </c>
      <c r="AC12" s="155">
        <f t="shared" si="1"/>
        <v>3</v>
      </c>
      <c r="AD12" s="155">
        <f t="shared" si="1"/>
        <v>2121</v>
      </c>
      <c r="AE12" s="155">
        <f t="shared" si="1"/>
        <v>0</v>
      </c>
      <c r="AF12" s="155">
        <f t="shared" si="1"/>
        <v>66</v>
      </c>
      <c r="AG12" s="155">
        <f t="shared" si="1"/>
        <v>58</v>
      </c>
      <c r="AH12" s="155">
        <f t="shared" si="2"/>
        <v>63</v>
      </c>
      <c r="AI12" s="155">
        <f t="shared" si="2"/>
        <v>96</v>
      </c>
      <c r="AJ12" s="155">
        <f t="shared" si="2"/>
        <v>3778</v>
      </c>
      <c r="AM12" s="155">
        <v>512978</v>
      </c>
      <c r="AN12" s="154" t="b">
        <f t="shared" si="3"/>
        <v>1</v>
      </c>
    </row>
    <row r="13" spans="2:40" s="154" customFormat="1" hidden="1" x14ac:dyDescent="0.2">
      <c r="B13" s="197">
        <v>40299</v>
      </c>
      <c r="C13" s="3">
        <v>38754</v>
      </c>
      <c r="D13" s="3">
        <v>7228</v>
      </c>
      <c r="E13" s="3">
        <v>54164</v>
      </c>
      <c r="F13" s="3"/>
      <c r="G13" s="70">
        <v>75804</v>
      </c>
      <c r="H13" s="70">
        <v>18253</v>
      </c>
      <c r="I13" s="3"/>
      <c r="J13" s="3">
        <v>455</v>
      </c>
      <c r="K13" s="3">
        <v>285779</v>
      </c>
      <c r="L13" s="3"/>
      <c r="M13" s="3">
        <v>18651</v>
      </c>
      <c r="N13" s="3">
        <v>8039</v>
      </c>
      <c r="O13" s="3"/>
      <c r="P13" s="3">
        <v>3615</v>
      </c>
      <c r="Q13" s="3">
        <v>16285</v>
      </c>
      <c r="R13" s="198">
        <f t="shared" si="0"/>
        <v>527027</v>
      </c>
      <c r="S13" s="62"/>
      <c r="T13" s="62"/>
      <c r="U13" s="62"/>
      <c r="V13" s="155">
        <f t="shared" si="1"/>
        <v>27</v>
      </c>
      <c r="W13" s="155">
        <f t="shared" si="1"/>
        <v>16</v>
      </c>
      <c r="X13" s="155">
        <f t="shared" si="1"/>
        <v>260</v>
      </c>
      <c r="Y13" s="155">
        <f t="shared" si="1"/>
        <v>0</v>
      </c>
      <c r="Z13" s="155">
        <f t="shared" si="1"/>
        <v>-4388</v>
      </c>
      <c r="AA13" s="155">
        <f t="shared" si="1"/>
        <v>18253</v>
      </c>
      <c r="AB13" s="155">
        <f t="shared" si="1"/>
        <v>0</v>
      </c>
      <c r="AC13" s="155">
        <f t="shared" si="1"/>
        <v>3</v>
      </c>
      <c r="AD13" s="155">
        <f t="shared" si="1"/>
        <v>33</v>
      </c>
      <c r="AE13" s="155">
        <f t="shared" si="1"/>
        <v>0</v>
      </c>
      <c r="AF13" s="155">
        <f t="shared" si="1"/>
        <v>99</v>
      </c>
      <c r="AG13" s="155">
        <f t="shared" si="1"/>
        <v>-15</v>
      </c>
      <c r="AH13" s="155">
        <f t="shared" si="2"/>
        <v>-216</v>
      </c>
      <c r="AI13" s="155">
        <f t="shared" si="2"/>
        <v>-23</v>
      </c>
      <c r="AJ13" s="155">
        <f t="shared" si="2"/>
        <v>14049</v>
      </c>
      <c r="AM13" s="155">
        <v>527027</v>
      </c>
      <c r="AN13" s="154" t="b">
        <f t="shared" si="3"/>
        <v>1</v>
      </c>
    </row>
    <row r="14" spans="2:40" s="154" customFormat="1" hidden="1" x14ac:dyDescent="0.2">
      <c r="B14" s="197">
        <v>40330</v>
      </c>
      <c r="C14" s="3">
        <v>38900</v>
      </c>
      <c r="D14" s="3">
        <v>7326</v>
      </c>
      <c r="E14" s="3">
        <v>54493</v>
      </c>
      <c r="F14" s="3"/>
      <c r="G14" s="70">
        <v>72608</v>
      </c>
      <c r="H14" s="70">
        <v>20607</v>
      </c>
      <c r="I14" s="3"/>
      <c r="J14" s="3">
        <v>466</v>
      </c>
      <c r="K14" s="3">
        <v>285778</v>
      </c>
      <c r="L14" s="3"/>
      <c r="M14" s="3">
        <v>18678</v>
      </c>
      <c r="N14" s="3">
        <v>7903</v>
      </c>
      <c r="O14" s="3"/>
      <c r="P14" s="3">
        <v>3522</v>
      </c>
      <c r="Q14" s="3">
        <v>16495</v>
      </c>
      <c r="R14" s="198">
        <f>SUM(C14:Q14)</f>
        <v>526776</v>
      </c>
      <c r="S14" s="62"/>
      <c r="T14" s="62"/>
      <c r="U14" s="62"/>
      <c r="V14" s="155">
        <f t="shared" si="1"/>
        <v>146</v>
      </c>
      <c r="W14" s="155">
        <f t="shared" si="1"/>
        <v>98</v>
      </c>
      <c r="X14" s="155">
        <f t="shared" si="1"/>
        <v>329</v>
      </c>
      <c r="Y14" s="155">
        <f t="shared" si="1"/>
        <v>0</v>
      </c>
      <c r="Z14" s="155">
        <f t="shared" si="1"/>
        <v>-3196</v>
      </c>
      <c r="AA14" s="155">
        <f t="shared" si="1"/>
        <v>2354</v>
      </c>
      <c r="AB14" s="155">
        <f t="shared" si="1"/>
        <v>0</v>
      </c>
      <c r="AC14" s="155">
        <f t="shared" si="1"/>
        <v>11</v>
      </c>
      <c r="AD14" s="155">
        <f t="shared" si="1"/>
        <v>-1</v>
      </c>
      <c r="AE14" s="155">
        <f t="shared" si="1"/>
        <v>0</v>
      </c>
      <c r="AF14" s="155">
        <f t="shared" si="1"/>
        <v>27</v>
      </c>
      <c r="AG14" s="155">
        <f t="shared" si="1"/>
        <v>-136</v>
      </c>
      <c r="AH14" s="155">
        <f>P14-P13</f>
        <v>-93</v>
      </c>
      <c r="AI14" s="155">
        <f>Q14-Q13</f>
        <v>210</v>
      </c>
      <c r="AJ14" s="155">
        <f>R14-R13</f>
        <v>-251</v>
      </c>
      <c r="AM14" s="155">
        <v>526776</v>
      </c>
      <c r="AN14" s="154" t="b">
        <f t="shared" si="3"/>
        <v>1</v>
      </c>
    </row>
    <row r="15" spans="2:40" s="156" customFormat="1" hidden="1" x14ac:dyDescent="0.2">
      <c r="B15" s="199" t="s">
        <v>101</v>
      </c>
      <c r="C15" s="8">
        <f t="shared" ref="C15:M15" si="4">ROUND(AVERAGE(C3:C14),0)</f>
        <v>38487</v>
      </c>
      <c r="D15" s="8">
        <f t="shared" si="4"/>
        <v>7049</v>
      </c>
      <c r="E15" s="8">
        <f t="shared" si="4"/>
        <v>53264</v>
      </c>
      <c r="F15" s="8"/>
      <c r="G15" s="8">
        <f t="shared" si="4"/>
        <v>74839</v>
      </c>
      <c r="H15" s="8">
        <f t="shared" si="4"/>
        <v>3238</v>
      </c>
      <c r="I15" s="8"/>
      <c r="J15" s="8">
        <f>ROUND(AVERAGE(J3:J14),0)</f>
        <v>425</v>
      </c>
      <c r="K15" s="8">
        <f>ROUND(AVERAGE(K3:K14),0)</f>
        <v>275672</v>
      </c>
      <c r="L15" s="8"/>
      <c r="M15" s="8">
        <f t="shared" si="4"/>
        <v>18381</v>
      </c>
      <c r="N15" s="8">
        <f>ROUNDUP(AVERAGE(N3:N14),0)</f>
        <v>7830</v>
      </c>
      <c r="O15" s="8"/>
      <c r="P15" s="8">
        <f>ROUND(AVERAGE(P3:P14),0)</f>
        <v>3693</v>
      </c>
      <c r="Q15" s="8">
        <f>ROUND(AVERAGE(Q3:Q14),0)</f>
        <v>15919</v>
      </c>
      <c r="R15" s="200">
        <f>SUM(C15:Q15)</f>
        <v>498797</v>
      </c>
      <c r="S15" s="63"/>
      <c r="T15" s="63"/>
      <c r="U15" s="63"/>
      <c r="AM15" s="157">
        <v>498797</v>
      </c>
      <c r="AN15" s="154" t="b">
        <f t="shared" si="3"/>
        <v>1</v>
      </c>
    </row>
    <row r="16" spans="2:40" s="154" customFormat="1" hidden="1" x14ac:dyDescent="0.2">
      <c r="B16" s="197">
        <v>40360</v>
      </c>
      <c r="C16" s="3"/>
      <c r="D16" s="3">
        <v>7395</v>
      </c>
      <c r="E16" s="4">
        <v>54740</v>
      </c>
      <c r="F16" s="4">
        <v>0</v>
      </c>
      <c r="G16" s="70">
        <v>73769</v>
      </c>
      <c r="H16" s="70">
        <v>21446</v>
      </c>
      <c r="I16" s="4">
        <v>0</v>
      </c>
      <c r="J16" s="3">
        <v>471</v>
      </c>
      <c r="K16" s="4">
        <v>287674</v>
      </c>
      <c r="L16" s="4">
        <v>0</v>
      </c>
      <c r="M16" s="3">
        <v>18628</v>
      </c>
      <c r="N16" s="3">
        <v>7909</v>
      </c>
      <c r="O16" s="4">
        <v>0</v>
      </c>
      <c r="P16" s="3">
        <v>3492</v>
      </c>
      <c r="Q16" s="4">
        <v>16539</v>
      </c>
      <c r="R16" s="198">
        <f t="shared" ref="R16:R40" si="5">SUM(C16:Q16)</f>
        <v>492063</v>
      </c>
      <c r="S16" s="62"/>
      <c r="T16" s="62"/>
      <c r="U16" s="62"/>
      <c r="V16" s="155">
        <f t="shared" ref="V16:AG16" si="6">C16-C14</f>
        <v>-38900</v>
      </c>
      <c r="W16" s="155">
        <f t="shared" si="6"/>
        <v>69</v>
      </c>
      <c r="X16" s="155">
        <f t="shared" si="6"/>
        <v>247</v>
      </c>
      <c r="Y16" s="155">
        <f t="shared" si="6"/>
        <v>0</v>
      </c>
      <c r="Z16" s="155">
        <f t="shared" si="6"/>
        <v>1161</v>
      </c>
      <c r="AA16" s="155">
        <f t="shared" si="6"/>
        <v>839</v>
      </c>
      <c r="AB16" s="155">
        <f t="shared" si="6"/>
        <v>0</v>
      </c>
      <c r="AC16" s="155">
        <f t="shared" si="6"/>
        <v>5</v>
      </c>
      <c r="AD16" s="155">
        <f t="shared" si="6"/>
        <v>1896</v>
      </c>
      <c r="AE16" s="155">
        <f t="shared" si="6"/>
        <v>0</v>
      </c>
      <c r="AF16" s="155">
        <f t="shared" si="6"/>
        <v>-50</v>
      </c>
      <c r="AG16" s="155">
        <f t="shared" si="6"/>
        <v>6</v>
      </c>
      <c r="AH16" s="155">
        <f>P16-P14</f>
        <v>-30</v>
      </c>
      <c r="AI16" s="155">
        <f>Q16-Q14</f>
        <v>44</v>
      </c>
      <c r="AJ16" s="155">
        <f>R16-R14</f>
        <v>-34713</v>
      </c>
      <c r="AK16" s="158">
        <v>496521</v>
      </c>
      <c r="AL16" s="159">
        <f>AK16-Q16-C16-D16-E16</f>
        <v>417847</v>
      </c>
      <c r="AM16" s="439">
        <v>492063</v>
      </c>
      <c r="AN16" s="154" t="b">
        <f t="shared" si="3"/>
        <v>1</v>
      </c>
    </row>
    <row r="17" spans="2:40" s="154" customFormat="1" hidden="1" x14ac:dyDescent="0.2">
      <c r="B17" s="197">
        <v>40391</v>
      </c>
      <c r="C17" s="3">
        <v>38648</v>
      </c>
      <c r="D17" s="3">
        <v>7492</v>
      </c>
      <c r="E17" s="4">
        <v>55032</v>
      </c>
      <c r="F17" s="4">
        <v>0</v>
      </c>
      <c r="G17" s="70">
        <v>75863</v>
      </c>
      <c r="H17" s="70">
        <v>24193</v>
      </c>
      <c r="I17" s="4">
        <v>0</v>
      </c>
      <c r="J17" s="3">
        <v>493</v>
      </c>
      <c r="K17" s="4">
        <f>218121+72750</f>
        <v>290871</v>
      </c>
      <c r="L17" s="4">
        <v>0</v>
      </c>
      <c r="M17" s="3">
        <v>18455</v>
      </c>
      <c r="N17" s="3">
        <f>7448+566</f>
        <v>8014</v>
      </c>
      <c r="O17" s="4">
        <v>0</v>
      </c>
      <c r="P17" s="3">
        <v>3378</v>
      </c>
      <c r="Q17" s="4">
        <f>11132+5502</f>
        <v>16634</v>
      </c>
      <c r="R17" s="198">
        <f t="shared" si="5"/>
        <v>539073</v>
      </c>
      <c r="S17" s="62"/>
      <c r="T17" s="62"/>
      <c r="U17" s="62"/>
      <c r="V17" s="155">
        <f t="shared" ref="V17:AG27" si="7">C17-C16</f>
        <v>38648</v>
      </c>
      <c r="W17" s="155">
        <f t="shared" si="7"/>
        <v>97</v>
      </c>
      <c r="X17" s="155">
        <f t="shared" si="7"/>
        <v>292</v>
      </c>
      <c r="Y17" s="155">
        <f t="shared" si="7"/>
        <v>0</v>
      </c>
      <c r="Z17" s="155">
        <f t="shared" si="7"/>
        <v>2094</v>
      </c>
      <c r="AA17" s="155">
        <f t="shared" si="7"/>
        <v>2747</v>
      </c>
      <c r="AB17" s="155">
        <f t="shared" si="7"/>
        <v>0</v>
      </c>
      <c r="AC17" s="155">
        <f t="shared" si="7"/>
        <v>22</v>
      </c>
      <c r="AD17" s="155">
        <f t="shared" si="7"/>
        <v>3197</v>
      </c>
      <c r="AE17" s="155">
        <f t="shared" si="7"/>
        <v>0</v>
      </c>
      <c r="AF17" s="155">
        <f t="shared" si="7"/>
        <v>-173</v>
      </c>
      <c r="AG17" s="155">
        <f t="shared" si="7"/>
        <v>105</v>
      </c>
      <c r="AH17" s="155">
        <f t="shared" ref="AH17:AJ26" si="8">P17-P16</f>
        <v>-114</v>
      </c>
      <c r="AI17" s="155">
        <f t="shared" si="8"/>
        <v>95</v>
      </c>
      <c r="AJ17" s="155">
        <f t="shared" si="8"/>
        <v>47010</v>
      </c>
      <c r="AK17" s="158">
        <v>610130</v>
      </c>
      <c r="AL17" s="159">
        <f t="shared" ref="AL17:AL53" si="9">AK17-Q17-C17-D17-E17</f>
        <v>492324</v>
      </c>
      <c r="AM17" s="439">
        <v>539073</v>
      </c>
      <c r="AN17" s="154" t="b">
        <f t="shared" si="3"/>
        <v>1</v>
      </c>
    </row>
    <row r="18" spans="2:40" s="154" customFormat="1" hidden="1" x14ac:dyDescent="0.2">
      <c r="B18" s="197">
        <v>40422</v>
      </c>
      <c r="C18" s="3">
        <v>38774</v>
      </c>
      <c r="D18" s="3">
        <v>7562</v>
      </c>
      <c r="E18" s="4">
        <v>55223</v>
      </c>
      <c r="F18" s="4">
        <v>0</v>
      </c>
      <c r="G18" s="70">
        <v>76255</v>
      </c>
      <c r="H18" s="70">
        <v>25071</v>
      </c>
      <c r="I18" s="4">
        <v>0</v>
      </c>
      <c r="J18" s="3">
        <v>503</v>
      </c>
      <c r="K18" s="4">
        <f>223315+68277</f>
        <v>291592</v>
      </c>
      <c r="L18" s="4">
        <v>0</v>
      </c>
      <c r="M18" s="3">
        <v>18451</v>
      </c>
      <c r="N18" s="3">
        <f>7410+561</f>
        <v>7971</v>
      </c>
      <c r="O18" s="4">
        <v>0</v>
      </c>
      <c r="P18" s="3">
        <v>3231</v>
      </c>
      <c r="Q18" s="4">
        <f>11140+5512</f>
        <v>16652</v>
      </c>
      <c r="R18" s="198">
        <f t="shared" si="5"/>
        <v>541285</v>
      </c>
      <c r="S18" s="62"/>
      <c r="T18" s="62"/>
      <c r="U18" s="62"/>
      <c r="V18" s="155">
        <f t="shared" si="7"/>
        <v>126</v>
      </c>
      <c r="W18" s="155">
        <f t="shared" si="7"/>
        <v>70</v>
      </c>
      <c r="X18" s="155">
        <f t="shared" si="7"/>
        <v>191</v>
      </c>
      <c r="Y18" s="155">
        <f t="shared" si="7"/>
        <v>0</v>
      </c>
      <c r="Z18" s="155">
        <f t="shared" si="7"/>
        <v>392</v>
      </c>
      <c r="AA18" s="155">
        <f t="shared" si="7"/>
        <v>878</v>
      </c>
      <c r="AB18" s="155">
        <f t="shared" si="7"/>
        <v>0</v>
      </c>
      <c r="AC18" s="155">
        <f t="shared" si="7"/>
        <v>10</v>
      </c>
      <c r="AD18" s="155">
        <f t="shared" si="7"/>
        <v>721</v>
      </c>
      <c r="AE18" s="155">
        <f t="shared" si="7"/>
        <v>0</v>
      </c>
      <c r="AF18" s="155">
        <f t="shared" si="7"/>
        <v>-4</v>
      </c>
      <c r="AG18" s="155">
        <f t="shared" si="7"/>
        <v>-43</v>
      </c>
      <c r="AH18" s="155">
        <f t="shared" si="8"/>
        <v>-147</v>
      </c>
      <c r="AI18" s="155">
        <f t="shared" si="8"/>
        <v>18</v>
      </c>
      <c r="AJ18" s="155">
        <f t="shared" si="8"/>
        <v>2212</v>
      </c>
      <c r="AK18" s="158">
        <v>611258</v>
      </c>
      <c r="AL18" s="159">
        <f t="shared" si="9"/>
        <v>493047</v>
      </c>
      <c r="AM18" s="439">
        <v>541285</v>
      </c>
      <c r="AN18" s="154" t="b">
        <f t="shared" si="3"/>
        <v>1</v>
      </c>
    </row>
    <row r="19" spans="2:40" s="154" customFormat="1" hidden="1" x14ac:dyDescent="0.2">
      <c r="B19" s="197">
        <v>40452</v>
      </c>
      <c r="C19" s="3">
        <v>38901</v>
      </c>
      <c r="D19" s="3">
        <v>7602</v>
      </c>
      <c r="E19" s="4">
        <v>55508</v>
      </c>
      <c r="F19" s="4">
        <v>0</v>
      </c>
      <c r="G19" s="70">
        <v>77291</v>
      </c>
      <c r="H19" s="70">
        <v>26016</v>
      </c>
      <c r="I19" s="4">
        <v>0</v>
      </c>
      <c r="J19" s="3">
        <v>505</v>
      </c>
      <c r="K19" s="4">
        <v>294155</v>
      </c>
      <c r="L19" s="4">
        <v>0</v>
      </c>
      <c r="M19" s="3">
        <v>18464</v>
      </c>
      <c r="N19" s="3">
        <v>7985</v>
      </c>
      <c r="O19" s="4">
        <v>0</v>
      </c>
      <c r="P19" s="3">
        <v>3080</v>
      </c>
      <c r="Q19" s="4">
        <v>16794</v>
      </c>
      <c r="R19" s="198">
        <f t="shared" si="5"/>
        <v>546301</v>
      </c>
      <c r="S19" s="62"/>
      <c r="T19" s="62"/>
      <c r="U19" s="62"/>
      <c r="V19" s="155">
        <f t="shared" si="7"/>
        <v>127</v>
      </c>
      <c r="W19" s="155">
        <f t="shared" si="7"/>
        <v>40</v>
      </c>
      <c r="X19" s="155">
        <f t="shared" si="7"/>
        <v>285</v>
      </c>
      <c r="Y19" s="155">
        <f t="shared" si="7"/>
        <v>0</v>
      </c>
      <c r="Z19" s="155">
        <f t="shared" si="7"/>
        <v>1036</v>
      </c>
      <c r="AA19" s="155">
        <f t="shared" si="7"/>
        <v>945</v>
      </c>
      <c r="AB19" s="155">
        <f t="shared" si="7"/>
        <v>0</v>
      </c>
      <c r="AC19" s="155">
        <f t="shared" si="7"/>
        <v>2</v>
      </c>
      <c r="AD19" s="155">
        <f t="shared" si="7"/>
        <v>2563</v>
      </c>
      <c r="AE19" s="155">
        <f t="shared" si="7"/>
        <v>0</v>
      </c>
      <c r="AF19" s="155">
        <f t="shared" si="7"/>
        <v>13</v>
      </c>
      <c r="AG19" s="155">
        <f t="shared" si="7"/>
        <v>14</v>
      </c>
      <c r="AH19" s="155">
        <f t="shared" si="8"/>
        <v>-151</v>
      </c>
      <c r="AI19" s="155">
        <f t="shared" si="8"/>
        <v>142</v>
      </c>
      <c r="AJ19" s="155">
        <f t="shared" si="8"/>
        <v>5016</v>
      </c>
      <c r="AK19" s="158">
        <v>614789</v>
      </c>
      <c r="AL19" s="159">
        <f t="shared" si="9"/>
        <v>495984</v>
      </c>
      <c r="AM19" s="439">
        <v>546301</v>
      </c>
      <c r="AN19" s="154" t="b">
        <f t="shared" si="3"/>
        <v>1</v>
      </c>
    </row>
    <row r="20" spans="2:40" s="154" customFormat="1" hidden="1" x14ac:dyDescent="0.2">
      <c r="B20" s="197">
        <v>40483</v>
      </c>
      <c r="C20" s="3">
        <v>39009</v>
      </c>
      <c r="D20" s="3">
        <v>7682</v>
      </c>
      <c r="E20" s="4">
        <v>55804</v>
      </c>
      <c r="F20" s="4">
        <v>0</v>
      </c>
      <c r="G20" s="70">
        <v>78278</v>
      </c>
      <c r="H20" s="70">
        <v>26924</v>
      </c>
      <c r="I20" s="4">
        <v>0</v>
      </c>
      <c r="J20" s="3">
        <v>511</v>
      </c>
      <c r="K20" s="4">
        <v>296482</v>
      </c>
      <c r="L20" s="4">
        <v>0</v>
      </c>
      <c r="M20" s="3">
        <v>18597</v>
      </c>
      <c r="N20" s="3">
        <v>7891</v>
      </c>
      <c r="O20" s="4">
        <v>0</v>
      </c>
      <c r="P20" s="3">
        <v>3049</v>
      </c>
      <c r="Q20" s="4">
        <v>16941</v>
      </c>
      <c r="R20" s="198">
        <f t="shared" si="5"/>
        <v>551168</v>
      </c>
      <c r="S20" s="62"/>
      <c r="T20" s="62"/>
      <c r="U20" s="62"/>
      <c r="V20" s="155">
        <f t="shared" si="7"/>
        <v>108</v>
      </c>
      <c r="W20" s="155">
        <f t="shared" si="7"/>
        <v>80</v>
      </c>
      <c r="X20" s="155">
        <f t="shared" si="7"/>
        <v>296</v>
      </c>
      <c r="Y20" s="155">
        <f t="shared" si="7"/>
        <v>0</v>
      </c>
      <c r="Z20" s="155">
        <f t="shared" si="7"/>
        <v>987</v>
      </c>
      <c r="AA20" s="155">
        <f t="shared" si="7"/>
        <v>908</v>
      </c>
      <c r="AB20" s="155">
        <f t="shared" si="7"/>
        <v>0</v>
      </c>
      <c r="AC20" s="155">
        <f t="shared" si="7"/>
        <v>6</v>
      </c>
      <c r="AD20" s="155">
        <f t="shared" si="7"/>
        <v>2327</v>
      </c>
      <c r="AE20" s="155">
        <f t="shared" si="7"/>
        <v>0</v>
      </c>
      <c r="AF20" s="155">
        <f t="shared" si="7"/>
        <v>133</v>
      </c>
      <c r="AG20" s="155">
        <f t="shared" si="7"/>
        <v>-94</v>
      </c>
      <c r="AH20" s="155">
        <f t="shared" si="8"/>
        <v>-31</v>
      </c>
      <c r="AI20" s="155">
        <f t="shared" si="8"/>
        <v>147</v>
      </c>
      <c r="AJ20" s="155">
        <f t="shared" si="8"/>
        <v>4867</v>
      </c>
      <c r="AK20" s="158">
        <v>619215</v>
      </c>
      <c r="AL20" s="159">
        <f t="shared" si="9"/>
        <v>499779</v>
      </c>
      <c r="AM20" s="439">
        <v>551168</v>
      </c>
      <c r="AN20" s="154" t="b">
        <f t="shared" si="3"/>
        <v>1</v>
      </c>
    </row>
    <row r="21" spans="2:40" s="154" customFormat="1" hidden="1" x14ac:dyDescent="0.2">
      <c r="B21" s="197">
        <v>40513</v>
      </c>
      <c r="C21" s="3">
        <v>38769</v>
      </c>
      <c r="D21" s="3">
        <v>7721</v>
      </c>
      <c r="E21" s="4">
        <v>55937</v>
      </c>
      <c r="F21" s="4">
        <v>0</v>
      </c>
      <c r="G21" s="70">
        <v>79773</v>
      </c>
      <c r="H21" s="70">
        <v>27596</v>
      </c>
      <c r="I21" s="4">
        <v>0</v>
      </c>
      <c r="J21" s="3">
        <v>526</v>
      </c>
      <c r="K21" s="4">
        <v>299499</v>
      </c>
      <c r="L21" s="4">
        <v>0</v>
      </c>
      <c r="M21" s="3">
        <v>18510</v>
      </c>
      <c r="N21" s="3">
        <v>7764</v>
      </c>
      <c r="O21" s="4">
        <v>0</v>
      </c>
      <c r="P21" s="3">
        <v>3023</v>
      </c>
      <c r="Q21" s="3">
        <v>17002</v>
      </c>
      <c r="R21" s="198">
        <f t="shared" si="5"/>
        <v>556120</v>
      </c>
      <c r="S21" s="62"/>
      <c r="T21" s="62"/>
      <c r="U21" s="62"/>
      <c r="V21" s="155">
        <f t="shared" si="7"/>
        <v>-240</v>
      </c>
      <c r="W21" s="155">
        <f t="shared" si="7"/>
        <v>39</v>
      </c>
      <c r="X21" s="155">
        <f t="shared" si="7"/>
        <v>133</v>
      </c>
      <c r="Y21" s="155">
        <f t="shared" si="7"/>
        <v>0</v>
      </c>
      <c r="Z21" s="155">
        <f t="shared" si="7"/>
        <v>1495</v>
      </c>
      <c r="AA21" s="155">
        <f t="shared" si="7"/>
        <v>672</v>
      </c>
      <c r="AB21" s="155">
        <f t="shared" si="7"/>
        <v>0</v>
      </c>
      <c r="AC21" s="155">
        <f t="shared" si="7"/>
        <v>15</v>
      </c>
      <c r="AD21" s="155">
        <f t="shared" si="7"/>
        <v>3017</v>
      </c>
      <c r="AE21" s="155">
        <f t="shared" si="7"/>
        <v>0</v>
      </c>
      <c r="AF21" s="155">
        <f t="shared" si="7"/>
        <v>-87</v>
      </c>
      <c r="AG21" s="155">
        <f t="shared" si="7"/>
        <v>-127</v>
      </c>
      <c r="AH21" s="155">
        <f t="shared" si="8"/>
        <v>-26</v>
      </c>
      <c r="AI21" s="155">
        <f t="shared" si="8"/>
        <v>61</v>
      </c>
      <c r="AJ21" s="155">
        <f t="shared" si="8"/>
        <v>4952</v>
      </c>
      <c r="AK21" s="158">
        <v>624398</v>
      </c>
      <c r="AL21" s="159">
        <f t="shared" si="9"/>
        <v>504969</v>
      </c>
      <c r="AM21" s="439">
        <v>556120</v>
      </c>
      <c r="AN21" s="154" t="b">
        <f t="shared" si="3"/>
        <v>1</v>
      </c>
    </row>
    <row r="22" spans="2:40" s="154" customFormat="1" hidden="1" x14ac:dyDescent="0.2">
      <c r="B22" s="197">
        <v>40544</v>
      </c>
      <c r="C22" s="3">
        <v>38813</v>
      </c>
      <c r="D22" s="3">
        <v>7781</v>
      </c>
      <c r="E22" s="4">
        <v>56417</v>
      </c>
      <c r="F22" s="4">
        <v>0</v>
      </c>
      <c r="G22" s="71">
        <v>82824</v>
      </c>
      <c r="H22" s="70">
        <v>27188</v>
      </c>
      <c r="I22" s="3">
        <v>0</v>
      </c>
      <c r="J22" s="3">
        <v>532</v>
      </c>
      <c r="K22" s="4">
        <v>304042</v>
      </c>
      <c r="L22" s="3">
        <v>0</v>
      </c>
      <c r="M22" s="3">
        <v>18386</v>
      </c>
      <c r="N22" s="3">
        <v>7806</v>
      </c>
      <c r="O22" s="3">
        <v>0</v>
      </c>
      <c r="P22" s="3">
        <v>3116</v>
      </c>
      <c r="Q22" s="3">
        <v>17210</v>
      </c>
      <c r="R22" s="198">
        <f t="shared" si="5"/>
        <v>564115</v>
      </c>
      <c r="S22" s="62"/>
      <c r="T22" s="62"/>
      <c r="U22" s="62"/>
      <c r="V22" s="155">
        <f t="shared" si="7"/>
        <v>44</v>
      </c>
      <c r="W22" s="155">
        <f t="shared" si="7"/>
        <v>60</v>
      </c>
      <c r="X22" s="155">
        <f t="shared" si="7"/>
        <v>480</v>
      </c>
      <c r="Y22" s="155">
        <f t="shared" si="7"/>
        <v>0</v>
      </c>
      <c r="Z22" s="155">
        <f t="shared" si="7"/>
        <v>3051</v>
      </c>
      <c r="AA22" s="155">
        <f t="shared" si="7"/>
        <v>-408</v>
      </c>
      <c r="AB22" s="155">
        <f t="shared" si="7"/>
        <v>0</v>
      </c>
      <c r="AC22" s="155">
        <f t="shared" si="7"/>
        <v>6</v>
      </c>
      <c r="AD22" s="155">
        <f t="shared" si="7"/>
        <v>4543</v>
      </c>
      <c r="AE22" s="155">
        <f t="shared" si="7"/>
        <v>0</v>
      </c>
      <c r="AF22" s="155">
        <f t="shared" si="7"/>
        <v>-124</v>
      </c>
      <c r="AG22" s="155">
        <f t="shared" si="7"/>
        <v>42</v>
      </c>
      <c r="AH22" s="155">
        <f t="shared" si="8"/>
        <v>93</v>
      </c>
      <c r="AI22" s="155">
        <f t="shared" si="8"/>
        <v>208</v>
      </c>
      <c r="AJ22" s="155">
        <f t="shared" si="8"/>
        <v>7995</v>
      </c>
      <c r="AK22" s="158">
        <v>633336</v>
      </c>
      <c r="AL22" s="159">
        <f t="shared" si="9"/>
        <v>513115</v>
      </c>
      <c r="AM22" s="439">
        <v>564115</v>
      </c>
      <c r="AN22" s="154" t="b">
        <f t="shared" si="3"/>
        <v>1</v>
      </c>
    </row>
    <row r="23" spans="2:40" s="154" customFormat="1" hidden="1" x14ac:dyDescent="0.2">
      <c r="B23" s="197">
        <v>40575</v>
      </c>
      <c r="C23" s="3">
        <v>38823</v>
      </c>
      <c r="D23" s="3">
        <v>7870</v>
      </c>
      <c r="E23" s="3">
        <v>56671</v>
      </c>
      <c r="F23" s="3">
        <v>0</v>
      </c>
      <c r="G23" s="70">
        <v>83547</v>
      </c>
      <c r="H23" s="70">
        <v>28323</v>
      </c>
      <c r="I23" s="3">
        <v>0</v>
      </c>
      <c r="J23" s="3">
        <v>535</v>
      </c>
      <c r="K23" s="3">
        <v>307032</v>
      </c>
      <c r="L23" s="3">
        <v>0</v>
      </c>
      <c r="M23" s="3">
        <v>18200</v>
      </c>
      <c r="N23" s="3">
        <v>7677</v>
      </c>
      <c r="O23" s="3">
        <v>0</v>
      </c>
      <c r="P23" s="3">
        <v>3161</v>
      </c>
      <c r="Q23" s="3">
        <v>17249</v>
      </c>
      <c r="R23" s="198">
        <f t="shared" si="5"/>
        <v>569088</v>
      </c>
      <c r="S23" s="62"/>
      <c r="T23" s="62"/>
      <c r="U23" s="62"/>
      <c r="V23" s="155">
        <f t="shared" si="7"/>
        <v>10</v>
      </c>
      <c r="W23" s="155">
        <f t="shared" si="7"/>
        <v>89</v>
      </c>
      <c r="X23" s="155">
        <f t="shared" si="7"/>
        <v>254</v>
      </c>
      <c r="Y23" s="155">
        <f t="shared" si="7"/>
        <v>0</v>
      </c>
      <c r="Z23" s="155">
        <f t="shared" si="7"/>
        <v>723</v>
      </c>
      <c r="AA23" s="155">
        <f t="shared" si="7"/>
        <v>1135</v>
      </c>
      <c r="AB23" s="155">
        <f t="shared" si="7"/>
        <v>0</v>
      </c>
      <c r="AC23" s="155">
        <f t="shared" si="7"/>
        <v>3</v>
      </c>
      <c r="AD23" s="155">
        <f t="shared" si="7"/>
        <v>2990</v>
      </c>
      <c r="AE23" s="155">
        <f t="shared" si="7"/>
        <v>0</v>
      </c>
      <c r="AF23" s="155">
        <f t="shared" si="7"/>
        <v>-186</v>
      </c>
      <c r="AG23" s="155">
        <f t="shared" si="7"/>
        <v>-129</v>
      </c>
      <c r="AH23" s="155">
        <f t="shared" si="8"/>
        <v>45</v>
      </c>
      <c r="AI23" s="155">
        <f t="shared" si="8"/>
        <v>39</v>
      </c>
      <c r="AJ23" s="155">
        <f t="shared" si="8"/>
        <v>4973</v>
      </c>
      <c r="AK23" s="158">
        <v>638743</v>
      </c>
      <c r="AL23" s="159">
        <f t="shared" si="9"/>
        <v>518130</v>
      </c>
      <c r="AM23" s="439">
        <v>569088</v>
      </c>
      <c r="AN23" s="154" t="b">
        <f t="shared" si="3"/>
        <v>1</v>
      </c>
    </row>
    <row r="24" spans="2:40" s="154" customFormat="1" hidden="1" x14ac:dyDescent="0.2">
      <c r="B24" s="197">
        <v>40603</v>
      </c>
      <c r="C24" s="3">
        <v>38939</v>
      </c>
      <c r="D24" s="3">
        <v>7966</v>
      </c>
      <c r="E24" s="4">
        <v>57103</v>
      </c>
      <c r="F24" s="4">
        <v>0</v>
      </c>
      <c r="G24" s="70">
        <v>85574</v>
      </c>
      <c r="H24" s="70">
        <v>28968</v>
      </c>
      <c r="I24" s="4">
        <v>0</v>
      </c>
      <c r="J24" s="3">
        <v>556</v>
      </c>
      <c r="K24" s="4">
        <v>312300</v>
      </c>
      <c r="L24" s="4">
        <v>0</v>
      </c>
      <c r="M24" s="3">
        <v>18244</v>
      </c>
      <c r="N24" s="3">
        <v>7881</v>
      </c>
      <c r="O24" s="4">
        <v>0</v>
      </c>
      <c r="P24" s="3">
        <v>3271</v>
      </c>
      <c r="Q24" s="4">
        <v>17390</v>
      </c>
      <c r="R24" s="198">
        <f t="shared" si="5"/>
        <v>578192</v>
      </c>
      <c r="S24" s="62"/>
      <c r="T24" s="62"/>
      <c r="U24" s="62"/>
      <c r="V24" s="155">
        <f t="shared" si="7"/>
        <v>116</v>
      </c>
      <c r="W24" s="155">
        <f t="shared" si="7"/>
        <v>96</v>
      </c>
      <c r="X24" s="155">
        <f t="shared" si="7"/>
        <v>432</v>
      </c>
      <c r="Y24" s="155">
        <f t="shared" si="7"/>
        <v>0</v>
      </c>
      <c r="Z24" s="155">
        <f t="shared" si="7"/>
        <v>2027</v>
      </c>
      <c r="AA24" s="155">
        <f t="shared" si="7"/>
        <v>645</v>
      </c>
      <c r="AB24" s="155">
        <f t="shared" si="7"/>
        <v>0</v>
      </c>
      <c r="AC24" s="155">
        <f t="shared" si="7"/>
        <v>21</v>
      </c>
      <c r="AD24" s="155">
        <f t="shared" si="7"/>
        <v>5268</v>
      </c>
      <c r="AE24" s="155">
        <f t="shared" si="7"/>
        <v>0</v>
      </c>
      <c r="AF24" s="155">
        <f t="shared" si="7"/>
        <v>44</v>
      </c>
      <c r="AG24" s="155">
        <f t="shared" si="7"/>
        <v>204</v>
      </c>
      <c r="AH24" s="155">
        <f t="shared" si="8"/>
        <v>110</v>
      </c>
      <c r="AI24" s="155">
        <f t="shared" si="8"/>
        <v>141</v>
      </c>
      <c r="AJ24" s="155">
        <f t="shared" si="8"/>
        <v>9104</v>
      </c>
      <c r="AK24" s="158">
        <v>648630</v>
      </c>
      <c r="AL24" s="159">
        <f t="shared" si="9"/>
        <v>527232</v>
      </c>
      <c r="AM24" s="439">
        <v>578192</v>
      </c>
      <c r="AN24" s="154" t="b">
        <f t="shared" si="3"/>
        <v>1</v>
      </c>
    </row>
    <row r="25" spans="2:40" s="154" customFormat="1" hidden="1" x14ac:dyDescent="0.2">
      <c r="B25" s="197">
        <v>40634</v>
      </c>
      <c r="C25" s="3">
        <v>38861</v>
      </c>
      <c r="D25" s="3">
        <v>7987</v>
      </c>
      <c r="E25" s="4">
        <v>57385</v>
      </c>
      <c r="F25" s="4">
        <v>0</v>
      </c>
      <c r="G25" s="70">
        <v>85763</v>
      </c>
      <c r="H25" s="70">
        <v>29451</v>
      </c>
      <c r="I25" s="4">
        <v>0</v>
      </c>
      <c r="J25" s="3">
        <v>569</v>
      </c>
      <c r="K25" s="4">
        <v>312603</v>
      </c>
      <c r="L25" s="4">
        <v>0</v>
      </c>
      <c r="M25" s="3">
        <v>18280</v>
      </c>
      <c r="N25" s="3">
        <v>7864</v>
      </c>
      <c r="O25" s="4">
        <v>0</v>
      </c>
      <c r="P25" s="3">
        <v>3274</v>
      </c>
      <c r="Q25" s="4">
        <v>17399</v>
      </c>
      <c r="R25" s="198">
        <f t="shared" si="5"/>
        <v>579436</v>
      </c>
      <c r="S25" s="62"/>
      <c r="T25" s="62"/>
      <c r="U25" s="62"/>
      <c r="V25" s="155">
        <f t="shared" si="7"/>
        <v>-78</v>
      </c>
      <c r="W25" s="155">
        <f t="shared" si="7"/>
        <v>21</v>
      </c>
      <c r="X25" s="155">
        <f t="shared" si="7"/>
        <v>282</v>
      </c>
      <c r="Y25" s="155">
        <f t="shared" si="7"/>
        <v>0</v>
      </c>
      <c r="Z25" s="155">
        <f t="shared" si="7"/>
        <v>189</v>
      </c>
      <c r="AA25" s="155">
        <f t="shared" si="7"/>
        <v>483</v>
      </c>
      <c r="AB25" s="155">
        <f t="shared" si="7"/>
        <v>0</v>
      </c>
      <c r="AC25" s="155">
        <f t="shared" si="7"/>
        <v>13</v>
      </c>
      <c r="AD25" s="155">
        <f t="shared" si="7"/>
        <v>303</v>
      </c>
      <c r="AE25" s="155">
        <f t="shared" si="7"/>
        <v>0</v>
      </c>
      <c r="AF25" s="155">
        <f t="shared" si="7"/>
        <v>36</v>
      </c>
      <c r="AG25" s="155">
        <f t="shared" si="7"/>
        <v>-17</v>
      </c>
      <c r="AH25" s="155">
        <f t="shared" si="8"/>
        <v>3</v>
      </c>
      <c r="AI25" s="155">
        <f t="shared" si="8"/>
        <v>9</v>
      </c>
      <c r="AJ25" s="155">
        <f t="shared" si="8"/>
        <v>1244</v>
      </c>
      <c r="AK25" s="158">
        <v>648924</v>
      </c>
      <c r="AL25" s="159">
        <f t="shared" si="9"/>
        <v>527292</v>
      </c>
      <c r="AM25" s="439">
        <v>579436</v>
      </c>
      <c r="AN25" s="154" t="b">
        <f t="shared" si="3"/>
        <v>1</v>
      </c>
    </row>
    <row r="26" spans="2:40" s="154" customFormat="1" hidden="1" x14ac:dyDescent="0.2">
      <c r="B26" s="197">
        <v>40664</v>
      </c>
      <c r="C26" s="3">
        <v>38981</v>
      </c>
      <c r="D26" s="3">
        <v>8051</v>
      </c>
      <c r="E26" s="4">
        <v>57608</v>
      </c>
      <c r="F26" s="4">
        <v>0</v>
      </c>
      <c r="G26" s="70">
        <v>86596</v>
      </c>
      <c r="H26" s="70">
        <v>30102</v>
      </c>
      <c r="I26" s="4">
        <v>0</v>
      </c>
      <c r="J26" s="3">
        <v>587</v>
      </c>
      <c r="K26" s="4">
        <v>315116</v>
      </c>
      <c r="L26" s="4">
        <v>0</v>
      </c>
      <c r="M26" s="3">
        <v>18279</v>
      </c>
      <c r="N26" s="3">
        <v>7830</v>
      </c>
      <c r="O26" s="4">
        <v>0</v>
      </c>
      <c r="P26" s="3">
        <v>3255</v>
      </c>
      <c r="Q26" s="4">
        <v>17546</v>
      </c>
      <c r="R26" s="198">
        <f t="shared" si="5"/>
        <v>583951</v>
      </c>
      <c r="S26" s="62"/>
      <c r="T26" s="62"/>
      <c r="U26" s="62"/>
      <c r="V26" s="155">
        <f t="shared" si="7"/>
        <v>120</v>
      </c>
      <c r="W26" s="155">
        <f t="shared" si="7"/>
        <v>64</v>
      </c>
      <c r="X26" s="155">
        <f t="shared" si="7"/>
        <v>223</v>
      </c>
      <c r="Y26" s="155">
        <f t="shared" si="7"/>
        <v>0</v>
      </c>
      <c r="Z26" s="155">
        <f t="shared" si="7"/>
        <v>833</v>
      </c>
      <c r="AA26" s="155">
        <f t="shared" si="7"/>
        <v>651</v>
      </c>
      <c r="AB26" s="155">
        <f t="shared" si="7"/>
        <v>0</v>
      </c>
      <c r="AC26" s="155">
        <f t="shared" si="7"/>
        <v>18</v>
      </c>
      <c r="AD26" s="155">
        <f t="shared" si="7"/>
        <v>2513</v>
      </c>
      <c r="AE26" s="155">
        <f t="shared" si="7"/>
        <v>0</v>
      </c>
      <c r="AF26" s="155">
        <f t="shared" si="7"/>
        <v>-1</v>
      </c>
      <c r="AG26" s="155">
        <f t="shared" si="7"/>
        <v>-34</v>
      </c>
      <c r="AH26" s="155">
        <f t="shared" si="8"/>
        <v>-19</v>
      </c>
      <c r="AI26" s="155">
        <f t="shared" si="8"/>
        <v>147</v>
      </c>
      <c r="AJ26" s="155">
        <f t="shared" si="8"/>
        <v>4515</v>
      </c>
      <c r="AK26" s="158">
        <v>650873</v>
      </c>
      <c r="AL26" s="159">
        <f t="shared" si="9"/>
        <v>528687</v>
      </c>
      <c r="AM26" s="439">
        <v>583951</v>
      </c>
      <c r="AN26" s="154" t="b">
        <f t="shared" si="3"/>
        <v>1</v>
      </c>
    </row>
    <row r="27" spans="2:40" s="154" customFormat="1" hidden="1" x14ac:dyDescent="0.2">
      <c r="B27" s="197">
        <v>40695</v>
      </c>
      <c r="C27" s="3">
        <v>39154</v>
      </c>
      <c r="D27" s="3">
        <v>8089</v>
      </c>
      <c r="E27" s="4">
        <v>57986</v>
      </c>
      <c r="F27" s="4">
        <v>0</v>
      </c>
      <c r="G27" s="70">
        <v>87827</v>
      </c>
      <c r="H27" s="70">
        <v>30724</v>
      </c>
      <c r="I27" s="4">
        <v>0</v>
      </c>
      <c r="J27" s="3">
        <v>589</v>
      </c>
      <c r="K27" s="4">
        <v>317551</v>
      </c>
      <c r="L27" s="4">
        <v>0</v>
      </c>
      <c r="M27" s="3">
        <v>18221</v>
      </c>
      <c r="N27" s="3">
        <v>7828</v>
      </c>
      <c r="O27" s="4">
        <v>0</v>
      </c>
      <c r="P27" s="3">
        <v>3229</v>
      </c>
      <c r="Q27" s="4">
        <v>17727</v>
      </c>
      <c r="R27" s="198">
        <f t="shared" si="5"/>
        <v>588925</v>
      </c>
      <c r="S27" s="62"/>
      <c r="T27" s="62"/>
      <c r="U27" s="62"/>
      <c r="V27" s="155">
        <f t="shared" si="7"/>
        <v>173</v>
      </c>
      <c r="W27" s="155">
        <f t="shared" si="7"/>
        <v>38</v>
      </c>
      <c r="X27" s="155">
        <f t="shared" si="7"/>
        <v>378</v>
      </c>
      <c r="Y27" s="155">
        <f t="shared" si="7"/>
        <v>0</v>
      </c>
      <c r="Z27" s="155">
        <f t="shared" si="7"/>
        <v>1231</v>
      </c>
      <c r="AA27" s="155">
        <f t="shared" si="7"/>
        <v>622</v>
      </c>
      <c r="AB27" s="155">
        <f t="shared" si="7"/>
        <v>0</v>
      </c>
      <c r="AC27" s="155">
        <f t="shared" si="7"/>
        <v>2</v>
      </c>
      <c r="AD27" s="155">
        <f t="shared" si="7"/>
        <v>2435</v>
      </c>
      <c r="AE27" s="155">
        <f t="shared" si="7"/>
        <v>0</v>
      </c>
      <c r="AF27" s="155">
        <f t="shared" si="7"/>
        <v>-58</v>
      </c>
      <c r="AG27" s="155">
        <f t="shared" si="7"/>
        <v>-2</v>
      </c>
      <c r="AH27" s="155">
        <f>P27-P26</f>
        <v>-26</v>
      </c>
      <c r="AI27" s="155">
        <f>Q27-Q26</f>
        <v>181</v>
      </c>
      <c r="AJ27" s="155">
        <f>R27-R26</f>
        <v>4974</v>
      </c>
      <c r="AK27" s="158">
        <v>654685</v>
      </c>
      <c r="AL27" s="159">
        <f t="shared" si="9"/>
        <v>531729</v>
      </c>
      <c r="AM27" s="439">
        <v>588925</v>
      </c>
      <c r="AN27" s="154" t="b">
        <f t="shared" si="3"/>
        <v>1</v>
      </c>
    </row>
    <row r="28" spans="2:40" s="156" customFormat="1" hidden="1" x14ac:dyDescent="0.25">
      <c r="B28" s="199" t="s">
        <v>106</v>
      </c>
      <c r="C28" s="8">
        <f>ROUND(AVERAGE(C16:C27),0)</f>
        <v>38879</v>
      </c>
      <c r="D28" s="8">
        <f t="shared" ref="D28:P28" si="10">ROUND(AVERAGE(D16:D27),0)</f>
        <v>7767</v>
      </c>
      <c r="E28" s="8">
        <f t="shared" si="10"/>
        <v>56285</v>
      </c>
      <c r="F28" s="8">
        <v>0</v>
      </c>
      <c r="G28" s="8">
        <f>ROUND(AVERAGE(G16:G27),0)+1</f>
        <v>81114</v>
      </c>
      <c r="H28" s="8">
        <f t="shared" si="10"/>
        <v>27167</v>
      </c>
      <c r="I28" s="8">
        <v>0</v>
      </c>
      <c r="J28" s="8">
        <f>ROUND(AVERAGE(J16:J27),0)</f>
        <v>531</v>
      </c>
      <c r="K28" s="8">
        <f>ROUND(AVERAGE(K16:K27),0)</f>
        <v>302410</v>
      </c>
      <c r="L28" s="8">
        <v>0</v>
      </c>
      <c r="M28" s="8">
        <f t="shared" si="10"/>
        <v>18393</v>
      </c>
      <c r="N28" s="8">
        <f t="shared" si="10"/>
        <v>7868</v>
      </c>
      <c r="O28" s="8">
        <v>0</v>
      </c>
      <c r="P28" s="8">
        <f t="shared" si="10"/>
        <v>3213</v>
      </c>
      <c r="Q28" s="8">
        <f>ROUND(AVERAGE(Q16:Q27),0)</f>
        <v>17090</v>
      </c>
      <c r="R28" s="200">
        <f>SUM(C28:Q28)</f>
        <v>560717</v>
      </c>
      <c r="S28" s="63"/>
      <c r="T28" s="63"/>
      <c r="U28" s="63"/>
      <c r="W28" s="561"/>
      <c r="AM28" s="157">
        <v>560717</v>
      </c>
      <c r="AN28" s="154" t="b">
        <f t="shared" si="3"/>
        <v>1</v>
      </c>
    </row>
    <row r="29" spans="2:40" s="156" customFormat="1" hidden="1" x14ac:dyDescent="0.2">
      <c r="B29" s="197">
        <v>40725</v>
      </c>
      <c r="C29" s="3">
        <v>39341</v>
      </c>
      <c r="D29" s="3">
        <v>8133</v>
      </c>
      <c r="E29" s="3">
        <v>58294</v>
      </c>
      <c r="F29" s="3">
        <v>0</v>
      </c>
      <c r="G29" s="70">
        <v>87556</v>
      </c>
      <c r="H29" s="70">
        <v>31920</v>
      </c>
      <c r="I29" s="3">
        <v>0</v>
      </c>
      <c r="J29" s="3">
        <v>587</v>
      </c>
      <c r="K29" s="3">
        <v>319065</v>
      </c>
      <c r="L29" s="3">
        <v>0</v>
      </c>
      <c r="M29" s="3">
        <v>18125</v>
      </c>
      <c r="N29" s="3">
        <v>7810</v>
      </c>
      <c r="O29" s="3">
        <v>0</v>
      </c>
      <c r="P29" s="3">
        <v>3089</v>
      </c>
      <c r="Q29" s="3">
        <v>17923</v>
      </c>
      <c r="R29" s="198">
        <f t="shared" si="5"/>
        <v>591843</v>
      </c>
      <c r="S29" s="5" t="b">
        <f t="shared" ref="S29:S51" si="11">R29=SUM(C29:Q29)</f>
        <v>1</v>
      </c>
      <c r="T29" s="5"/>
      <c r="U29" s="5"/>
      <c r="V29" s="155">
        <f t="shared" ref="V29:AG29" si="12">C29-C27</f>
        <v>187</v>
      </c>
      <c r="W29" s="155">
        <f t="shared" si="12"/>
        <v>44</v>
      </c>
      <c r="X29" s="155">
        <f t="shared" si="12"/>
        <v>308</v>
      </c>
      <c r="Y29" s="155">
        <f t="shared" si="12"/>
        <v>0</v>
      </c>
      <c r="Z29" s="155">
        <f t="shared" si="12"/>
        <v>-271</v>
      </c>
      <c r="AA29" s="155">
        <f t="shared" si="12"/>
        <v>1196</v>
      </c>
      <c r="AB29" s="155">
        <f t="shared" si="12"/>
        <v>0</v>
      </c>
      <c r="AC29" s="155">
        <f t="shared" si="12"/>
        <v>-2</v>
      </c>
      <c r="AD29" s="155">
        <f t="shared" si="12"/>
        <v>1514</v>
      </c>
      <c r="AE29" s="155">
        <f t="shared" si="12"/>
        <v>0</v>
      </c>
      <c r="AF29" s="155">
        <f t="shared" si="12"/>
        <v>-96</v>
      </c>
      <c r="AG29" s="155">
        <f t="shared" si="12"/>
        <v>-18</v>
      </c>
      <c r="AH29" s="155">
        <f>P29-P27</f>
        <v>-140</v>
      </c>
      <c r="AI29" s="155">
        <f>Q29-Q27</f>
        <v>196</v>
      </c>
      <c r="AJ29" s="155">
        <f>R29-R27</f>
        <v>2918</v>
      </c>
      <c r="AK29" s="158">
        <v>657380</v>
      </c>
      <c r="AL29" s="159">
        <f t="shared" si="9"/>
        <v>533689</v>
      </c>
      <c r="AM29" s="157">
        <v>591843</v>
      </c>
      <c r="AN29" s="154" t="b">
        <f t="shared" si="3"/>
        <v>1</v>
      </c>
    </row>
    <row r="30" spans="2:40" s="156" customFormat="1" hidden="1" x14ac:dyDescent="0.2">
      <c r="B30" s="197">
        <v>40756</v>
      </c>
      <c r="C30" s="3">
        <v>39537</v>
      </c>
      <c r="D30" s="3">
        <v>8222</v>
      </c>
      <c r="E30" s="3">
        <v>58712</v>
      </c>
      <c r="F30" s="3">
        <v>0</v>
      </c>
      <c r="G30" s="70">
        <v>88518</v>
      </c>
      <c r="H30" s="70">
        <v>32462</v>
      </c>
      <c r="I30" s="3">
        <v>0</v>
      </c>
      <c r="J30" s="3">
        <v>586</v>
      </c>
      <c r="K30" s="3">
        <v>322779</v>
      </c>
      <c r="L30" s="3">
        <v>0</v>
      </c>
      <c r="M30" s="3">
        <v>18084</v>
      </c>
      <c r="N30" s="3">
        <v>7786</v>
      </c>
      <c r="O30" s="3">
        <v>0</v>
      </c>
      <c r="P30" s="3">
        <v>2973</v>
      </c>
      <c r="Q30" s="3">
        <v>18046</v>
      </c>
      <c r="R30" s="198">
        <f t="shared" si="5"/>
        <v>597705</v>
      </c>
      <c r="S30" s="5" t="b">
        <f t="shared" si="11"/>
        <v>1</v>
      </c>
      <c r="T30" s="5"/>
      <c r="U30" s="5"/>
      <c r="V30" s="155">
        <f t="shared" ref="V30:AG40" si="13">C30-C29</f>
        <v>196</v>
      </c>
      <c r="W30" s="155">
        <f t="shared" si="13"/>
        <v>89</v>
      </c>
      <c r="X30" s="155">
        <f t="shared" si="13"/>
        <v>418</v>
      </c>
      <c r="Y30" s="155">
        <f t="shared" si="13"/>
        <v>0</v>
      </c>
      <c r="Z30" s="155">
        <f t="shared" si="13"/>
        <v>962</v>
      </c>
      <c r="AA30" s="155">
        <f t="shared" si="13"/>
        <v>542</v>
      </c>
      <c r="AB30" s="155">
        <f t="shared" si="13"/>
        <v>0</v>
      </c>
      <c r="AC30" s="155">
        <f t="shared" si="13"/>
        <v>-1</v>
      </c>
      <c r="AD30" s="155">
        <f t="shared" si="13"/>
        <v>3714</v>
      </c>
      <c r="AE30" s="155">
        <f t="shared" si="13"/>
        <v>0</v>
      </c>
      <c r="AF30" s="155">
        <f t="shared" si="13"/>
        <v>-41</v>
      </c>
      <c r="AG30" s="155">
        <f t="shared" si="13"/>
        <v>-24</v>
      </c>
      <c r="AH30" s="155">
        <f>P30-P29</f>
        <v>-116</v>
      </c>
      <c r="AI30" s="155">
        <f>Q30-Q29</f>
        <v>123</v>
      </c>
      <c r="AJ30" s="155">
        <f>R30-R29</f>
        <v>5862</v>
      </c>
      <c r="AK30" s="158">
        <v>663696</v>
      </c>
      <c r="AL30" s="159">
        <f t="shared" si="9"/>
        <v>539179</v>
      </c>
      <c r="AM30" s="157">
        <v>597705</v>
      </c>
      <c r="AN30" s="154" t="b">
        <f t="shared" si="3"/>
        <v>1</v>
      </c>
    </row>
    <row r="31" spans="2:40" s="156" customFormat="1" hidden="1" x14ac:dyDescent="0.2">
      <c r="B31" s="197">
        <v>40787</v>
      </c>
      <c r="C31" s="3">
        <v>39600</v>
      </c>
      <c r="D31" s="3">
        <v>8280</v>
      </c>
      <c r="E31" s="3">
        <v>58937</v>
      </c>
      <c r="F31" s="3">
        <v>0</v>
      </c>
      <c r="G31" s="70">
        <v>90001</v>
      </c>
      <c r="H31" s="70">
        <v>33152</v>
      </c>
      <c r="I31" s="3">
        <v>0</v>
      </c>
      <c r="J31" s="3">
        <v>590</v>
      </c>
      <c r="K31" s="3">
        <v>325673</v>
      </c>
      <c r="L31" s="3">
        <v>0</v>
      </c>
      <c r="M31" s="3">
        <v>18119</v>
      </c>
      <c r="N31" s="3">
        <v>7628</v>
      </c>
      <c r="O31" s="3">
        <v>0</v>
      </c>
      <c r="P31" s="3">
        <v>2774</v>
      </c>
      <c r="Q31" s="3">
        <v>18156</v>
      </c>
      <c r="R31" s="198">
        <f t="shared" si="5"/>
        <v>602910</v>
      </c>
      <c r="S31" s="5" t="b">
        <f t="shared" si="11"/>
        <v>1</v>
      </c>
      <c r="T31" s="5"/>
      <c r="U31" s="5"/>
      <c r="V31" s="155">
        <f t="shared" si="13"/>
        <v>63</v>
      </c>
      <c r="W31" s="155">
        <f t="shared" si="13"/>
        <v>58</v>
      </c>
      <c r="X31" s="155">
        <f t="shared" si="13"/>
        <v>225</v>
      </c>
      <c r="Y31" s="155">
        <f t="shared" si="13"/>
        <v>0</v>
      </c>
      <c r="Z31" s="155">
        <f t="shared" si="13"/>
        <v>1483</v>
      </c>
      <c r="AA31" s="155">
        <f t="shared" si="13"/>
        <v>690</v>
      </c>
      <c r="AB31" s="155">
        <f t="shared" si="13"/>
        <v>0</v>
      </c>
      <c r="AC31" s="155">
        <f t="shared" si="13"/>
        <v>4</v>
      </c>
      <c r="AD31" s="155">
        <f t="shared" si="13"/>
        <v>2894</v>
      </c>
      <c r="AE31" s="155">
        <f t="shared" si="13"/>
        <v>0</v>
      </c>
      <c r="AF31" s="155">
        <f t="shared" si="13"/>
        <v>35</v>
      </c>
      <c r="AG31" s="155">
        <f t="shared" si="13"/>
        <v>-158</v>
      </c>
      <c r="AH31" s="155">
        <f t="shared" ref="AH31:AJ40" si="14">P31-P30</f>
        <v>-199</v>
      </c>
      <c r="AI31" s="155">
        <f t="shared" si="14"/>
        <v>110</v>
      </c>
      <c r="AJ31" s="155">
        <f t="shared" si="14"/>
        <v>5205</v>
      </c>
      <c r="AK31" s="158">
        <v>669601</v>
      </c>
      <c r="AL31" s="159">
        <f t="shared" si="9"/>
        <v>544628</v>
      </c>
      <c r="AM31" s="157">
        <v>602910</v>
      </c>
      <c r="AN31" s="154" t="b">
        <f t="shared" si="3"/>
        <v>1</v>
      </c>
    </row>
    <row r="32" spans="2:40" s="156" customFormat="1" hidden="1" x14ac:dyDescent="0.2">
      <c r="B32" s="197">
        <v>40817</v>
      </c>
      <c r="C32" s="3">
        <v>39697</v>
      </c>
      <c r="D32" s="3">
        <v>8328</v>
      </c>
      <c r="E32" s="3">
        <v>59159</v>
      </c>
      <c r="F32" s="3">
        <v>0</v>
      </c>
      <c r="G32" s="70">
        <v>91662</v>
      </c>
      <c r="H32" s="70">
        <v>33838</v>
      </c>
      <c r="I32" s="3">
        <v>0</v>
      </c>
      <c r="J32" s="3">
        <v>592</v>
      </c>
      <c r="K32" s="3">
        <v>328632</v>
      </c>
      <c r="L32" s="3">
        <v>0</v>
      </c>
      <c r="M32" s="3">
        <v>18096</v>
      </c>
      <c r="N32" s="3">
        <v>7558</v>
      </c>
      <c r="O32" s="3">
        <v>0</v>
      </c>
      <c r="P32" s="3">
        <v>2657</v>
      </c>
      <c r="Q32" s="3">
        <v>18314</v>
      </c>
      <c r="R32" s="198">
        <f t="shared" si="5"/>
        <v>608533</v>
      </c>
      <c r="S32" s="5" t="b">
        <f t="shared" si="11"/>
        <v>1</v>
      </c>
      <c r="T32" s="5"/>
      <c r="U32" s="5"/>
      <c r="V32" s="155">
        <f t="shared" si="13"/>
        <v>97</v>
      </c>
      <c r="W32" s="155">
        <f t="shared" si="13"/>
        <v>48</v>
      </c>
      <c r="X32" s="155">
        <f t="shared" si="13"/>
        <v>222</v>
      </c>
      <c r="Y32" s="155">
        <f t="shared" si="13"/>
        <v>0</v>
      </c>
      <c r="Z32" s="155">
        <f t="shared" si="13"/>
        <v>1661</v>
      </c>
      <c r="AA32" s="155">
        <f t="shared" si="13"/>
        <v>686</v>
      </c>
      <c r="AB32" s="155">
        <f t="shared" si="13"/>
        <v>0</v>
      </c>
      <c r="AC32" s="155">
        <f t="shared" si="13"/>
        <v>2</v>
      </c>
      <c r="AD32" s="155">
        <f t="shared" si="13"/>
        <v>2959</v>
      </c>
      <c r="AE32" s="155">
        <f t="shared" si="13"/>
        <v>0</v>
      </c>
      <c r="AF32" s="155">
        <f t="shared" si="13"/>
        <v>-23</v>
      </c>
      <c r="AG32" s="155">
        <f t="shared" si="13"/>
        <v>-70</v>
      </c>
      <c r="AH32" s="155">
        <f t="shared" si="14"/>
        <v>-117</v>
      </c>
      <c r="AI32" s="155">
        <f t="shared" si="14"/>
        <v>158</v>
      </c>
      <c r="AJ32" s="155">
        <f t="shared" si="14"/>
        <v>5623</v>
      </c>
      <c r="AK32" s="158">
        <v>677299</v>
      </c>
      <c r="AL32" s="159">
        <f t="shared" si="9"/>
        <v>551801</v>
      </c>
      <c r="AM32" s="157">
        <v>608533</v>
      </c>
      <c r="AN32" s="154" t="b">
        <f t="shared" si="3"/>
        <v>1</v>
      </c>
    </row>
    <row r="33" spans="1:40" s="156" customFormat="1" hidden="1" x14ac:dyDescent="0.2">
      <c r="B33" s="197">
        <v>40848</v>
      </c>
      <c r="C33" s="3">
        <v>39789</v>
      </c>
      <c r="D33" s="3">
        <v>8343</v>
      </c>
      <c r="E33" s="3">
        <v>59298</v>
      </c>
      <c r="F33" s="3">
        <v>0</v>
      </c>
      <c r="G33" s="70">
        <v>92441</v>
      </c>
      <c r="H33" s="70">
        <v>34915</v>
      </c>
      <c r="I33" s="3">
        <v>0</v>
      </c>
      <c r="J33" s="3">
        <v>602</v>
      </c>
      <c r="K33" s="3">
        <v>332183</v>
      </c>
      <c r="L33" s="3">
        <v>0</v>
      </c>
      <c r="M33" s="3">
        <v>18077</v>
      </c>
      <c r="N33" s="3">
        <v>7371</v>
      </c>
      <c r="O33" s="3">
        <v>0</v>
      </c>
      <c r="P33" s="3">
        <v>2543</v>
      </c>
      <c r="Q33" s="3">
        <v>18584</v>
      </c>
      <c r="R33" s="198">
        <f t="shared" si="5"/>
        <v>614146</v>
      </c>
      <c r="S33" s="5" t="b">
        <f t="shared" si="11"/>
        <v>1</v>
      </c>
      <c r="T33" s="5"/>
      <c r="U33" s="5"/>
      <c r="V33" s="155">
        <f t="shared" si="13"/>
        <v>92</v>
      </c>
      <c r="W33" s="155">
        <f t="shared" si="13"/>
        <v>15</v>
      </c>
      <c r="X33" s="155">
        <f t="shared" si="13"/>
        <v>139</v>
      </c>
      <c r="Y33" s="155">
        <f t="shared" si="13"/>
        <v>0</v>
      </c>
      <c r="Z33" s="155">
        <f t="shared" si="13"/>
        <v>779</v>
      </c>
      <c r="AA33" s="155">
        <f t="shared" si="13"/>
        <v>1077</v>
      </c>
      <c r="AB33" s="155">
        <f t="shared" si="13"/>
        <v>0</v>
      </c>
      <c r="AC33" s="155">
        <f t="shared" si="13"/>
        <v>10</v>
      </c>
      <c r="AD33" s="155">
        <f t="shared" si="13"/>
        <v>3551</v>
      </c>
      <c r="AE33" s="155">
        <f t="shared" si="13"/>
        <v>0</v>
      </c>
      <c r="AF33" s="155">
        <f t="shared" si="13"/>
        <v>-19</v>
      </c>
      <c r="AG33" s="155">
        <f t="shared" si="13"/>
        <v>-187</v>
      </c>
      <c r="AH33" s="155">
        <f t="shared" si="14"/>
        <v>-114</v>
      </c>
      <c r="AI33" s="155">
        <f t="shared" si="14"/>
        <v>270</v>
      </c>
      <c r="AJ33" s="155">
        <f t="shared" si="14"/>
        <v>5613</v>
      </c>
      <c r="AK33" s="158">
        <v>686134</v>
      </c>
      <c r="AL33" s="159">
        <f t="shared" si="9"/>
        <v>560120</v>
      </c>
      <c r="AM33" s="157">
        <v>614146</v>
      </c>
      <c r="AN33" s="154" t="b">
        <f t="shared" si="3"/>
        <v>1</v>
      </c>
    </row>
    <row r="34" spans="1:40" s="156" customFormat="1" hidden="1" x14ac:dyDescent="0.2">
      <c r="B34" s="197">
        <v>40878</v>
      </c>
      <c r="C34" s="3">
        <v>39843</v>
      </c>
      <c r="D34" s="3">
        <v>8355</v>
      </c>
      <c r="E34" s="3">
        <v>59384</v>
      </c>
      <c r="F34" s="3">
        <v>0</v>
      </c>
      <c r="G34" s="70">
        <v>94778</v>
      </c>
      <c r="H34" s="70">
        <v>34886</v>
      </c>
      <c r="I34" s="3">
        <v>0</v>
      </c>
      <c r="J34" s="3">
        <v>606</v>
      </c>
      <c r="K34" s="3">
        <v>336053</v>
      </c>
      <c r="L34" s="3">
        <v>0</v>
      </c>
      <c r="M34" s="3">
        <v>18172</v>
      </c>
      <c r="N34" s="3">
        <v>7333</v>
      </c>
      <c r="O34" s="3">
        <v>0</v>
      </c>
      <c r="P34" s="3">
        <v>2591</v>
      </c>
      <c r="Q34" s="3">
        <v>18798</v>
      </c>
      <c r="R34" s="198">
        <f t="shared" si="5"/>
        <v>620799</v>
      </c>
      <c r="S34" s="5" t="b">
        <f t="shared" si="11"/>
        <v>1</v>
      </c>
      <c r="T34" s="5"/>
      <c r="U34" s="5"/>
      <c r="V34" s="155">
        <f t="shared" si="13"/>
        <v>54</v>
      </c>
      <c r="W34" s="155">
        <f t="shared" si="13"/>
        <v>12</v>
      </c>
      <c r="X34" s="155">
        <f t="shared" si="13"/>
        <v>86</v>
      </c>
      <c r="Y34" s="155">
        <f t="shared" si="13"/>
        <v>0</v>
      </c>
      <c r="Z34" s="155">
        <f t="shared" si="13"/>
        <v>2337</v>
      </c>
      <c r="AA34" s="155">
        <f t="shared" si="13"/>
        <v>-29</v>
      </c>
      <c r="AB34" s="155">
        <f t="shared" si="13"/>
        <v>0</v>
      </c>
      <c r="AC34" s="155">
        <f t="shared" si="13"/>
        <v>4</v>
      </c>
      <c r="AD34" s="155">
        <f t="shared" si="13"/>
        <v>3870</v>
      </c>
      <c r="AE34" s="155">
        <f t="shared" si="13"/>
        <v>0</v>
      </c>
      <c r="AF34" s="155">
        <f t="shared" si="13"/>
        <v>95</v>
      </c>
      <c r="AG34" s="155">
        <f t="shared" si="13"/>
        <v>-38</v>
      </c>
      <c r="AH34" s="155">
        <f t="shared" si="14"/>
        <v>48</v>
      </c>
      <c r="AI34" s="155">
        <f t="shared" si="14"/>
        <v>214</v>
      </c>
      <c r="AJ34" s="155">
        <f t="shared" si="14"/>
        <v>6653</v>
      </c>
      <c r="AK34" s="158">
        <v>694829</v>
      </c>
      <c r="AL34" s="159">
        <f t="shared" si="9"/>
        <v>568449</v>
      </c>
      <c r="AM34" s="157">
        <v>620799</v>
      </c>
      <c r="AN34" s="154" t="b">
        <f t="shared" si="3"/>
        <v>1</v>
      </c>
    </row>
    <row r="35" spans="1:40" s="156" customFormat="1" hidden="1" x14ac:dyDescent="0.2">
      <c r="B35" s="197">
        <v>40909</v>
      </c>
      <c r="C35" s="3">
        <v>39742</v>
      </c>
      <c r="D35" s="3">
        <v>8373</v>
      </c>
      <c r="E35" s="3">
        <v>59709</v>
      </c>
      <c r="F35" s="3">
        <v>0</v>
      </c>
      <c r="G35" s="70">
        <v>93523</v>
      </c>
      <c r="H35" s="70">
        <v>35481</v>
      </c>
      <c r="I35" s="3">
        <v>0</v>
      </c>
      <c r="J35" s="3">
        <v>603</v>
      </c>
      <c r="K35" s="3">
        <v>336096</v>
      </c>
      <c r="L35" s="3">
        <v>0</v>
      </c>
      <c r="M35" s="3">
        <v>17968</v>
      </c>
      <c r="N35" s="3">
        <v>7445</v>
      </c>
      <c r="O35" s="3">
        <v>0</v>
      </c>
      <c r="P35" s="3">
        <v>2617</v>
      </c>
      <c r="Q35" s="3">
        <v>18985</v>
      </c>
      <c r="R35" s="198">
        <f t="shared" si="5"/>
        <v>620542</v>
      </c>
      <c r="S35" s="5" t="b">
        <f t="shared" si="11"/>
        <v>1</v>
      </c>
      <c r="T35" s="5"/>
      <c r="U35" s="5"/>
      <c r="V35" s="155">
        <f t="shared" si="13"/>
        <v>-101</v>
      </c>
      <c r="W35" s="155">
        <f t="shared" si="13"/>
        <v>18</v>
      </c>
      <c r="X35" s="155">
        <f t="shared" si="13"/>
        <v>325</v>
      </c>
      <c r="Y35" s="155">
        <f t="shared" si="13"/>
        <v>0</v>
      </c>
      <c r="Z35" s="155">
        <f t="shared" si="13"/>
        <v>-1255</v>
      </c>
      <c r="AA35" s="155">
        <f t="shared" si="13"/>
        <v>595</v>
      </c>
      <c r="AB35" s="155">
        <f t="shared" si="13"/>
        <v>0</v>
      </c>
      <c r="AC35" s="155">
        <f t="shared" si="13"/>
        <v>-3</v>
      </c>
      <c r="AD35" s="155">
        <f t="shared" si="13"/>
        <v>43</v>
      </c>
      <c r="AE35" s="155">
        <f t="shared" si="13"/>
        <v>0</v>
      </c>
      <c r="AF35" s="155">
        <f t="shared" si="13"/>
        <v>-204</v>
      </c>
      <c r="AG35" s="155">
        <f t="shared" si="13"/>
        <v>112</v>
      </c>
      <c r="AH35" s="155">
        <f t="shared" si="14"/>
        <v>26</v>
      </c>
      <c r="AI35" s="155">
        <f t="shared" si="14"/>
        <v>187</v>
      </c>
      <c r="AJ35" s="155">
        <f t="shared" si="14"/>
        <v>-257</v>
      </c>
      <c r="AK35" s="158">
        <v>699904</v>
      </c>
      <c r="AL35" s="159">
        <f t="shared" si="9"/>
        <v>573095</v>
      </c>
      <c r="AM35" s="157">
        <v>620542</v>
      </c>
      <c r="AN35" s="154" t="b">
        <f t="shared" si="3"/>
        <v>1</v>
      </c>
    </row>
    <row r="36" spans="1:40" s="156" customFormat="1" hidden="1" x14ac:dyDescent="0.2">
      <c r="B36" s="197">
        <v>40940</v>
      </c>
      <c r="C36" s="3">
        <v>39800</v>
      </c>
      <c r="D36" s="3">
        <v>8401</v>
      </c>
      <c r="E36" s="3">
        <v>59635</v>
      </c>
      <c r="F36" s="3">
        <v>0</v>
      </c>
      <c r="G36" s="70">
        <v>94868</v>
      </c>
      <c r="H36" s="70">
        <v>35962</v>
      </c>
      <c r="I36" s="3">
        <v>0</v>
      </c>
      <c r="J36" s="3">
        <v>604</v>
      </c>
      <c r="K36" s="3">
        <v>339523</v>
      </c>
      <c r="L36" s="3">
        <v>0</v>
      </c>
      <c r="M36" s="3">
        <v>17863</v>
      </c>
      <c r="N36" s="3">
        <v>7594</v>
      </c>
      <c r="O36" s="3">
        <v>0</v>
      </c>
      <c r="P36" s="3">
        <v>2636</v>
      </c>
      <c r="Q36" s="3">
        <v>19220</v>
      </c>
      <c r="R36" s="198">
        <f t="shared" si="5"/>
        <v>626106</v>
      </c>
      <c r="S36" s="5" t="b">
        <f t="shared" si="11"/>
        <v>1</v>
      </c>
      <c r="T36" s="5"/>
      <c r="U36" s="5"/>
      <c r="V36" s="155">
        <f t="shared" si="13"/>
        <v>58</v>
      </c>
      <c r="W36" s="155">
        <f t="shared" si="13"/>
        <v>28</v>
      </c>
      <c r="X36" s="155">
        <f t="shared" si="13"/>
        <v>-74</v>
      </c>
      <c r="Y36" s="155">
        <f t="shared" si="13"/>
        <v>0</v>
      </c>
      <c r="Z36" s="155">
        <f t="shared" si="13"/>
        <v>1345</v>
      </c>
      <c r="AA36" s="155">
        <f t="shared" si="13"/>
        <v>481</v>
      </c>
      <c r="AB36" s="155">
        <f t="shared" si="13"/>
        <v>0</v>
      </c>
      <c r="AC36" s="155">
        <f t="shared" si="13"/>
        <v>1</v>
      </c>
      <c r="AD36" s="155">
        <f t="shared" si="13"/>
        <v>3427</v>
      </c>
      <c r="AE36" s="155">
        <f t="shared" si="13"/>
        <v>0</v>
      </c>
      <c r="AF36" s="155">
        <f t="shared" si="13"/>
        <v>-105</v>
      </c>
      <c r="AG36" s="155">
        <f t="shared" si="13"/>
        <v>149</v>
      </c>
      <c r="AH36" s="155">
        <f t="shared" si="14"/>
        <v>19</v>
      </c>
      <c r="AI36" s="155">
        <f t="shared" si="14"/>
        <v>235</v>
      </c>
      <c r="AJ36" s="155">
        <f t="shared" si="14"/>
        <v>5564</v>
      </c>
      <c r="AK36" s="158">
        <v>707771</v>
      </c>
      <c r="AL36" s="159">
        <f t="shared" si="9"/>
        <v>580715</v>
      </c>
      <c r="AM36" s="157">
        <v>626106</v>
      </c>
      <c r="AN36" s="154" t="b">
        <f t="shared" si="3"/>
        <v>1</v>
      </c>
    </row>
    <row r="37" spans="1:40" s="156" customFormat="1" hidden="1" x14ac:dyDescent="0.2">
      <c r="B37" s="197">
        <v>40969</v>
      </c>
      <c r="C37" s="3">
        <v>39849</v>
      </c>
      <c r="D37" s="3">
        <v>8445</v>
      </c>
      <c r="E37" s="3">
        <v>59847</v>
      </c>
      <c r="F37" s="3">
        <v>51</v>
      </c>
      <c r="G37" s="70">
        <v>97318</v>
      </c>
      <c r="H37" s="70">
        <v>37141</v>
      </c>
      <c r="I37" s="3">
        <v>0</v>
      </c>
      <c r="J37" s="3">
        <v>604</v>
      </c>
      <c r="K37" s="3">
        <v>341274</v>
      </c>
      <c r="L37" s="3">
        <v>0</v>
      </c>
      <c r="M37" s="3">
        <v>17930</v>
      </c>
      <c r="N37" s="3">
        <v>7734</v>
      </c>
      <c r="O37" s="3">
        <v>0</v>
      </c>
      <c r="P37" s="3">
        <v>2852</v>
      </c>
      <c r="Q37" s="3">
        <v>19466</v>
      </c>
      <c r="R37" s="198">
        <f t="shared" si="5"/>
        <v>632511</v>
      </c>
      <c r="S37" s="5" t="b">
        <f t="shared" si="11"/>
        <v>1</v>
      </c>
      <c r="T37" s="5"/>
      <c r="U37" s="5"/>
      <c r="V37" s="155">
        <f t="shared" si="13"/>
        <v>49</v>
      </c>
      <c r="W37" s="155">
        <f t="shared" si="13"/>
        <v>44</v>
      </c>
      <c r="X37" s="155">
        <f t="shared" si="13"/>
        <v>212</v>
      </c>
      <c r="Y37" s="155">
        <f t="shared" si="13"/>
        <v>51</v>
      </c>
      <c r="Z37" s="155">
        <f t="shared" si="13"/>
        <v>2450</v>
      </c>
      <c r="AA37" s="155">
        <f t="shared" si="13"/>
        <v>1179</v>
      </c>
      <c r="AB37" s="155">
        <f t="shared" si="13"/>
        <v>0</v>
      </c>
      <c r="AC37" s="155">
        <f t="shared" si="13"/>
        <v>0</v>
      </c>
      <c r="AD37" s="155">
        <f t="shared" si="13"/>
        <v>1751</v>
      </c>
      <c r="AE37" s="155">
        <f t="shared" si="13"/>
        <v>0</v>
      </c>
      <c r="AF37" s="155">
        <f t="shared" si="13"/>
        <v>67</v>
      </c>
      <c r="AG37" s="155">
        <f t="shared" si="13"/>
        <v>140</v>
      </c>
      <c r="AH37" s="155">
        <f t="shared" si="14"/>
        <v>216</v>
      </c>
      <c r="AI37" s="155">
        <f t="shared" si="14"/>
        <v>246</v>
      </c>
      <c r="AJ37" s="155">
        <f t="shared" si="14"/>
        <v>6405</v>
      </c>
      <c r="AK37" s="158">
        <v>716599</v>
      </c>
      <c r="AL37" s="159">
        <f t="shared" si="9"/>
        <v>588992</v>
      </c>
      <c r="AM37" s="157">
        <v>632511</v>
      </c>
      <c r="AN37" s="154" t="b">
        <f t="shared" si="3"/>
        <v>1</v>
      </c>
    </row>
    <row r="38" spans="1:40" s="156" customFormat="1" hidden="1" x14ac:dyDescent="0.2">
      <c r="B38" s="197">
        <v>41000</v>
      </c>
      <c r="C38" s="3">
        <v>39837</v>
      </c>
      <c r="D38" s="3">
        <v>8507</v>
      </c>
      <c r="E38" s="3">
        <v>59970</v>
      </c>
      <c r="F38" s="3">
        <v>133</v>
      </c>
      <c r="G38" s="70">
        <v>94317</v>
      </c>
      <c r="H38" s="70">
        <v>37902</v>
      </c>
      <c r="I38" s="3">
        <v>0</v>
      </c>
      <c r="J38" s="3">
        <v>596</v>
      </c>
      <c r="K38" s="3">
        <v>341546</v>
      </c>
      <c r="L38" s="3">
        <v>0</v>
      </c>
      <c r="M38" s="3">
        <v>17944</v>
      </c>
      <c r="N38" s="3">
        <v>7705</v>
      </c>
      <c r="O38" s="3">
        <v>0</v>
      </c>
      <c r="P38" s="3">
        <v>2846</v>
      </c>
      <c r="Q38" s="3">
        <v>19396</v>
      </c>
      <c r="R38" s="198">
        <f t="shared" si="5"/>
        <v>630699</v>
      </c>
      <c r="S38" s="5" t="b">
        <f t="shared" si="11"/>
        <v>1</v>
      </c>
      <c r="T38" s="5"/>
      <c r="U38" s="5"/>
      <c r="V38" s="155">
        <f t="shared" si="13"/>
        <v>-12</v>
      </c>
      <c r="W38" s="155">
        <f t="shared" si="13"/>
        <v>62</v>
      </c>
      <c r="X38" s="155">
        <f t="shared" si="13"/>
        <v>123</v>
      </c>
      <c r="Y38" s="155">
        <f t="shared" si="13"/>
        <v>82</v>
      </c>
      <c r="Z38" s="155">
        <f t="shared" si="13"/>
        <v>-3001</v>
      </c>
      <c r="AA38" s="155">
        <f t="shared" si="13"/>
        <v>761</v>
      </c>
      <c r="AB38" s="155">
        <f t="shared" si="13"/>
        <v>0</v>
      </c>
      <c r="AC38" s="155">
        <f t="shared" si="13"/>
        <v>-8</v>
      </c>
      <c r="AD38" s="155">
        <f t="shared" si="13"/>
        <v>272</v>
      </c>
      <c r="AE38" s="155">
        <f t="shared" si="13"/>
        <v>0</v>
      </c>
      <c r="AF38" s="155">
        <f t="shared" si="13"/>
        <v>14</v>
      </c>
      <c r="AG38" s="155">
        <f t="shared" si="13"/>
        <v>-29</v>
      </c>
      <c r="AH38" s="155">
        <f t="shared" si="14"/>
        <v>-6</v>
      </c>
      <c r="AI38" s="155">
        <f t="shared" si="14"/>
        <v>-70</v>
      </c>
      <c r="AJ38" s="155">
        <f t="shared" si="14"/>
        <v>-1812</v>
      </c>
      <c r="AK38" s="158">
        <v>716981</v>
      </c>
      <c r="AL38" s="159">
        <f t="shared" si="9"/>
        <v>589271</v>
      </c>
      <c r="AM38" s="157">
        <v>630699</v>
      </c>
      <c r="AN38" s="154" t="b">
        <f t="shared" si="3"/>
        <v>1</v>
      </c>
    </row>
    <row r="39" spans="1:40" s="156" customFormat="1" hidden="1" x14ac:dyDescent="0.2">
      <c r="B39" s="197">
        <v>41030</v>
      </c>
      <c r="C39" s="3">
        <v>39924</v>
      </c>
      <c r="D39" s="3">
        <v>8600</v>
      </c>
      <c r="E39" s="3">
        <v>60167</v>
      </c>
      <c r="F39" s="3">
        <v>202</v>
      </c>
      <c r="G39" s="70">
        <v>95581</v>
      </c>
      <c r="H39" s="70">
        <v>38955</v>
      </c>
      <c r="I39" s="3">
        <v>5860</v>
      </c>
      <c r="J39" s="3">
        <v>597</v>
      </c>
      <c r="K39" s="3">
        <v>344523</v>
      </c>
      <c r="L39" s="3">
        <v>0</v>
      </c>
      <c r="M39" s="3">
        <v>18012</v>
      </c>
      <c r="N39" s="3">
        <v>7744</v>
      </c>
      <c r="O39" s="3">
        <v>0</v>
      </c>
      <c r="P39" s="3">
        <v>2844</v>
      </c>
      <c r="Q39" s="3">
        <v>19640</v>
      </c>
      <c r="R39" s="198">
        <f t="shared" si="5"/>
        <v>642649</v>
      </c>
      <c r="S39" s="5" t="b">
        <f t="shared" si="11"/>
        <v>1</v>
      </c>
      <c r="T39" s="5"/>
      <c r="U39" s="5"/>
      <c r="V39" s="155">
        <f t="shared" si="13"/>
        <v>87</v>
      </c>
      <c r="W39" s="155">
        <f t="shared" si="13"/>
        <v>93</v>
      </c>
      <c r="X39" s="155">
        <f t="shared" si="13"/>
        <v>197</v>
      </c>
      <c r="Y39" s="155">
        <f t="shared" si="13"/>
        <v>69</v>
      </c>
      <c r="Z39" s="155">
        <f t="shared" si="13"/>
        <v>1264</v>
      </c>
      <c r="AA39" s="155">
        <f t="shared" si="13"/>
        <v>1053</v>
      </c>
      <c r="AB39" s="155">
        <f t="shared" si="13"/>
        <v>5860</v>
      </c>
      <c r="AC39" s="155">
        <f t="shared" si="13"/>
        <v>1</v>
      </c>
      <c r="AD39" s="155">
        <f t="shared" si="13"/>
        <v>2977</v>
      </c>
      <c r="AE39" s="155">
        <f t="shared" si="13"/>
        <v>0</v>
      </c>
      <c r="AF39" s="155">
        <f t="shared" si="13"/>
        <v>68</v>
      </c>
      <c r="AG39" s="155">
        <f t="shared" si="13"/>
        <v>39</v>
      </c>
      <c r="AH39" s="155">
        <f t="shared" si="14"/>
        <v>-2</v>
      </c>
      <c r="AI39" s="155">
        <f t="shared" si="14"/>
        <v>244</v>
      </c>
      <c r="AJ39" s="155">
        <f t="shared" si="14"/>
        <v>11950</v>
      </c>
      <c r="AK39" s="158">
        <v>729170</v>
      </c>
      <c r="AL39" s="159">
        <f t="shared" si="9"/>
        <v>600839</v>
      </c>
      <c r="AM39" s="157">
        <v>642649</v>
      </c>
      <c r="AN39" s="154" t="b">
        <f t="shared" si="3"/>
        <v>1</v>
      </c>
    </row>
    <row r="40" spans="1:40" s="156" customFormat="1" hidden="1" x14ac:dyDescent="0.2">
      <c r="B40" s="197">
        <v>41061</v>
      </c>
      <c r="C40" s="3">
        <v>39923</v>
      </c>
      <c r="D40" s="3">
        <v>8605</v>
      </c>
      <c r="E40" s="3">
        <v>60091</v>
      </c>
      <c r="F40" s="3">
        <v>240</v>
      </c>
      <c r="G40" s="70">
        <v>98120</v>
      </c>
      <c r="H40" s="70">
        <v>38921</v>
      </c>
      <c r="I40" s="3">
        <v>7753</v>
      </c>
      <c r="J40" s="3">
        <v>601</v>
      </c>
      <c r="K40" s="3">
        <v>348253</v>
      </c>
      <c r="L40" s="3">
        <v>0</v>
      </c>
      <c r="M40" s="3">
        <v>18022</v>
      </c>
      <c r="N40" s="3">
        <v>7846</v>
      </c>
      <c r="O40" s="3">
        <v>0</v>
      </c>
      <c r="P40" s="3">
        <v>2818</v>
      </c>
      <c r="Q40" s="3">
        <v>19929</v>
      </c>
      <c r="R40" s="198">
        <f t="shared" si="5"/>
        <v>651122</v>
      </c>
      <c r="S40" s="5" t="b">
        <f t="shared" si="11"/>
        <v>1</v>
      </c>
      <c r="T40" s="5"/>
      <c r="U40" s="5"/>
      <c r="V40" s="155">
        <f t="shared" si="13"/>
        <v>-1</v>
      </c>
      <c r="W40" s="155">
        <f t="shared" si="13"/>
        <v>5</v>
      </c>
      <c r="X40" s="155">
        <f t="shared" si="13"/>
        <v>-76</v>
      </c>
      <c r="Y40" s="155">
        <f t="shared" si="13"/>
        <v>38</v>
      </c>
      <c r="Z40" s="155">
        <f t="shared" si="13"/>
        <v>2539</v>
      </c>
      <c r="AA40" s="155">
        <f t="shared" si="13"/>
        <v>-34</v>
      </c>
      <c r="AB40" s="155">
        <f t="shared" si="13"/>
        <v>1893</v>
      </c>
      <c r="AC40" s="155">
        <f t="shared" si="13"/>
        <v>4</v>
      </c>
      <c r="AD40" s="155">
        <f t="shared" si="13"/>
        <v>3730</v>
      </c>
      <c r="AE40" s="155">
        <f t="shared" si="13"/>
        <v>0</v>
      </c>
      <c r="AF40" s="155">
        <f t="shared" si="13"/>
        <v>10</v>
      </c>
      <c r="AG40" s="155">
        <f t="shared" si="13"/>
        <v>102</v>
      </c>
      <c r="AH40" s="155">
        <f t="shared" si="14"/>
        <v>-26</v>
      </c>
      <c r="AI40" s="155">
        <f t="shared" si="14"/>
        <v>289</v>
      </c>
      <c r="AJ40" s="155">
        <f>R40-R39</f>
        <v>8473</v>
      </c>
      <c r="AK40" s="158">
        <v>736157</v>
      </c>
      <c r="AL40" s="159">
        <f t="shared" si="9"/>
        <v>607609</v>
      </c>
      <c r="AM40" s="157">
        <v>651122</v>
      </c>
      <c r="AN40" s="154" t="b">
        <f t="shared" si="3"/>
        <v>1</v>
      </c>
    </row>
    <row r="41" spans="1:40" s="161" customFormat="1" hidden="1" x14ac:dyDescent="0.2">
      <c r="B41" s="201" t="s">
        <v>121</v>
      </c>
      <c r="C41" s="8">
        <f>ROUND(AVERAGE(C29:C40),0)</f>
        <v>39740</v>
      </c>
      <c r="D41" s="8">
        <f t="shared" ref="D41:Q41" si="15">ROUND(AVERAGE(D29:D40),0)</f>
        <v>8383</v>
      </c>
      <c r="E41" s="8">
        <f t="shared" si="15"/>
        <v>59434</v>
      </c>
      <c r="F41" s="8">
        <f t="shared" si="15"/>
        <v>52</v>
      </c>
      <c r="G41" s="8">
        <f t="shared" si="15"/>
        <v>93224</v>
      </c>
      <c r="H41" s="8">
        <f t="shared" si="15"/>
        <v>35461</v>
      </c>
      <c r="I41" s="8">
        <f>ROUND(AVERAGE(I29:I40),0)</f>
        <v>1134</v>
      </c>
      <c r="J41" s="8">
        <f>ROUND(AVERAGE(J29:J40),0)</f>
        <v>597</v>
      </c>
      <c r="K41" s="8">
        <f>ROUND(AVERAGE(K29:K40),0)</f>
        <v>334633</v>
      </c>
      <c r="L41" s="8">
        <f t="shared" si="15"/>
        <v>0</v>
      </c>
      <c r="M41" s="8">
        <f t="shared" si="15"/>
        <v>18034</v>
      </c>
      <c r="N41" s="8">
        <f t="shared" si="15"/>
        <v>7630</v>
      </c>
      <c r="O41" s="8">
        <f t="shared" si="15"/>
        <v>0</v>
      </c>
      <c r="P41" s="8">
        <f t="shared" si="15"/>
        <v>2770</v>
      </c>
      <c r="Q41" s="8">
        <f t="shared" si="15"/>
        <v>18871</v>
      </c>
      <c r="R41" s="202">
        <f t="shared" ref="R41:R67" si="16">SUM(C41:Q41)</f>
        <v>619963</v>
      </c>
      <c r="S41" s="5" t="b">
        <f t="shared" si="11"/>
        <v>1</v>
      </c>
      <c r="T41" s="5"/>
      <c r="U41" s="5"/>
      <c r="V41" s="160"/>
      <c r="W41" s="160"/>
      <c r="X41" s="160"/>
      <c r="Y41" s="160"/>
      <c r="Z41" s="160"/>
      <c r="AA41" s="160"/>
      <c r="AB41" s="160"/>
      <c r="AC41" s="160"/>
      <c r="AD41" s="160"/>
      <c r="AE41" s="160"/>
      <c r="AF41" s="160"/>
      <c r="AG41" s="160"/>
      <c r="AH41" s="160"/>
      <c r="AI41" s="160"/>
      <c r="AJ41" s="160">
        <f>AVERAGE(AJ29:AJ40)</f>
        <v>5183.083333333333</v>
      </c>
      <c r="AM41" s="162">
        <v>619963</v>
      </c>
      <c r="AN41" s="154" t="b">
        <f t="shared" si="3"/>
        <v>1</v>
      </c>
    </row>
    <row r="42" spans="1:40" s="156" customFormat="1" hidden="1" x14ac:dyDescent="0.2">
      <c r="A42" s="330">
        <f>IF(C42="",0,1)</f>
        <v>1</v>
      </c>
      <c r="B42" s="197">
        <v>41091</v>
      </c>
      <c r="C42" s="3">
        <v>40117</v>
      </c>
      <c r="D42" s="3">
        <v>8689</v>
      </c>
      <c r="E42" s="3">
        <v>60389</v>
      </c>
      <c r="F42" s="3">
        <v>338</v>
      </c>
      <c r="G42" s="70">
        <v>93088</v>
      </c>
      <c r="H42" s="70">
        <v>38961</v>
      </c>
      <c r="I42" s="3">
        <v>9652</v>
      </c>
      <c r="J42" s="3">
        <v>607</v>
      </c>
      <c r="K42" s="3">
        <v>348510</v>
      </c>
      <c r="L42" s="3">
        <v>0</v>
      </c>
      <c r="M42" s="3">
        <v>17959</v>
      </c>
      <c r="N42" s="3">
        <v>7824</v>
      </c>
      <c r="O42" s="3">
        <v>0</v>
      </c>
      <c r="P42" s="3">
        <v>2764</v>
      </c>
      <c r="Q42" s="3">
        <v>20117</v>
      </c>
      <c r="R42" s="198">
        <f t="shared" si="16"/>
        <v>649015</v>
      </c>
      <c r="S42" s="5" t="b">
        <f t="shared" si="11"/>
        <v>1</v>
      </c>
      <c r="T42" s="5"/>
      <c r="U42" s="5"/>
      <c r="V42" s="155">
        <f t="shared" ref="V42:AG42" si="17">C42-C40</f>
        <v>194</v>
      </c>
      <c r="W42" s="155">
        <f t="shared" si="17"/>
        <v>84</v>
      </c>
      <c r="X42" s="155">
        <f t="shared" si="17"/>
        <v>298</v>
      </c>
      <c r="Y42" s="155">
        <f t="shared" si="17"/>
        <v>98</v>
      </c>
      <c r="Z42" s="155">
        <f t="shared" si="17"/>
        <v>-5032</v>
      </c>
      <c r="AA42" s="155">
        <f t="shared" si="17"/>
        <v>40</v>
      </c>
      <c r="AB42" s="155">
        <f t="shared" si="17"/>
        <v>1899</v>
      </c>
      <c r="AC42" s="155">
        <f t="shared" si="17"/>
        <v>6</v>
      </c>
      <c r="AD42" s="155">
        <f t="shared" si="17"/>
        <v>257</v>
      </c>
      <c r="AE42" s="155">
        <f t="shared" si="17"/>
        <v>0</v>
      </c>
      <c r="AF42" s="155">
        <f t="shared" si="17"/>
        <v>-63</v>
      </c>
      <c r="AG42" s="155">
        <f t="shared" si="17"/>
        <v>-22</v>
      </c>
      <c r="AH42" s="155">
        <f>P42-P40</f>
        <v>-54</v>
      </c>
      <c r="AI42" s="155">
        <f>Q42-Q40</f>
        <v>188</v>
      </c>
      <c r="AJ42" s="155">
        <f>R42-R40</f>
        <v>-2107</v>
      </c>
      <c r="AK42" s="158">
        <v>734869</v>
      </c>
      <c r="AL42" s="159">
        <f t="shared" si="9"/>
        <v>605557</v>
      </c>
      <c r="AM42" s="157">
        <v>649015</v>
      </c>
      <c r="AN42" s="154" t="b">
        <f t="shared" si="3"/>
        <v>1</v>
      </c>
    </row>
    <row r="43" spans="1:40" s="156" customFormat="1" hidden="1" x14ac:dyDescent="0.2">
      <c r="A43" s="330">
        <f t="shared" ref="A43:A105" si="18">IF(C43="",0,1)</f>
        <v>1</v>
      </c>
      <c r="B43" s="197">
        <v>41122</v>
      </c>
      <c r="C43" s="3">
        <v>40460</v>
      </c>
      <c r="D43" s="3">
        <v>8771</v>
      </c>
      <c r="E43" s="3">
        <v>60680</v>
      </c>
      <c r="F43" s="3">
        <v>445</v>
      </c>
      <c r="G43" s="70">
        <v>94777</v>
      </c>
      <c r="H43" s="70">
        <v>39881</v>
      </c>
      <c r="I43" s="3">
        <v>9675</v>
      </c>
      <c r="J43" s="3">
        <v>612</v>
      </c>
      <c r="K43" s="3">
        <v>351537</v>
      </c>
      <c r="L43" s="3">
        <v>0</v>
      </c>
      <c r="M43" s="3">
        <v>17932</v>
      </c>
      <c r="N43" s="3">
        <v>7864</v>
      </c>
      <c r="O43" s="3">
        <v>0</v>
      </c>
      <c r="P43" s="3">
        <v>2744</v>
      </c>
      <c r="Q43" s="3">
        <v>20418</v>
      </c>
      <c r="R43" s="198">
        <f t="shared" si="16"/>
        <v>655796</v>
      </c>
      <c r="S43" s="5" t="b">
        <f t="shared" si="11"/>
        <v>1</v>
      </c>
      <c r="T43" s="5"/>
      <c r="U43" s="5"/>
      <c r="V43" s="155">
        <f t="shared" ref="V43:AG53" si="19">C43-C42</f>
        <v>343</v>
      </c>
      <c r="W43" s="155">
        <f t="shared" si="19"/>
        <v>82</v>
      </c>
      <c r="X43" s="155">
        <f t="shared" si="19"/>
        <v>291</v>
      </c>
      <c r="Y43" s="155">
        <f t="shared" si="19"/>
        <v>107</v>
      </c>
      <c r="Z43" s="155">
        <f t="shared" si="19"/>
        <v>1689</v>
      </c>
      <c r="AA43" s="155">
        <f t="shared" si="19"/>
        <v>920</v>
      </c>
      <c r="AB43" s="155">
        <f t="shared" si="19"/>
        <v>23</v>
      </c>
      <c r="AC43" s="155">
        <f t="shared" si="19"/>
        <v>5</v>
      </c>
      <c r="AD43" s="155">
        <f t="shared" si="19"/>
        <v>3027</v>
      </c>
      <c r="AE43" s="155">
        <f t="shared" si="19"/>
        <v>0</v>
      </c>
      <c r="AF43" s="155">
        <f t="shared" si="19"/>
        <v>-27</v>
      </c>
      <c r="AG43" s="155">
        <f t="shared" si="19"/>
        <v>40</v>
      </c>
      <c r="AH43" s="155">
        <f t="shared" ref="AH43:AJ53" si="20">P43-P42</f>
        <v>-20</v>
      </c>
      <c r="AI43" s="155">
        <f t="shared" si="20"/>
        <v>301</v>
      </c>
      <c r="AJ43" s="155">
        <f t="shared" si="20"/>
        <v>6781</v>
      </c>
      <c r="AK43" s="158">
        <v>741365</v>
      </c>
      <c r="AL43" s="159">
        <f t="shared" si="9"/>
        <v>611036</v>
      </c>
      <c r="AM43" s="157">
        <v>655796</v>
      </c>
      <c r="AN43" s="154" t="b">
        <f t="shared" si="3"/>
        <v>1</v>
      </c>
    </row>
    <row r="44" spans="1:40" s="156" customFormat="1" hidden="1" x14ac:dyDescent="0.2">
      <c r="A44" s="330">
        <f t="shared" si="18"/>
        <v>1</v>
      </c>
      <c r="B44" s="197">
        <v>41153</v>
      </c>
      <c r="C44" s="3">
        <v>40468</v>
      </c>
      <c r="D44" s="3">
        <v>8877</v>
      </c>
      <c r="E44" s="3">
        <v>60934</v>
      </c>
      <c r="F44" s="3">
        <v>539</v>
      </c>
      <c r="G44" s="70">
        <v>95151</v>
      </c>
      <c r="H44" s="70">
        <v>39689</v>
      </c>
      <c r="I44" s="3">
        <v>9880</v>
      </c>
      <c r="J44" s="3">
        <v>610</v>
      </c>
      <c r="K44" s="3">
        <v>355312</v>
      </c>
      <c r="L44" s="3">
        <v>0</v>
      </c>
      <c r="M44" s="3">
        <v>18004</v>
      </c>
      <c r="N44" s="3">
        <v>7677</v>
      </c>
      <c r="O44" s="3">
        <v>0</v>
      </c>
      <c r="P44" s="3">
        <v>2609</v>
      </c>
      <c r="Q44" s="3">
        <v>20615</v>
      </c>
      <c r="R44" s="198">
        <f t="shared" si="16"/>
        <v>660365</v>
      </c>
      <c r="S44" s="5" t="b">
        <f t="shared" si="11"/>
        <v>1</v>
      </c>
      <c r="T44" s="5"/>
      <c r="U44" s="5"/>
      <c r="V44" s="155">
        <f t="shared" si="19"/>
        <v>8</v>
      </c>
      <c r="W44" s="155">
        <f t="shared" si="19"/>
        <v>106</v>
      </c>
      <c r="X44" s="155">
        <f t="shared" si="19"/>
        <v>254</v>
      </c>
      <c r="Y44" s="155">
        <f t="shared" si="19"/>
        <v>94</v>
      </c>
      <c r="Z44" s="155">
        <f t="shared" si="19"/>
        <v>374</v>
      </c>
      <c r="AA44" s="155">
        <f t="shared" si="19"/>
        <v>-192</v>
      </c>
      <c r="AB44" s="155">
        <f t="shared" si="19"/>
        <v>205</v>
      </c>
      <c r="AC44" s="155">
        <f t="shared" si="19"/>
        <v>-2</v>
      </c>
      <c r="AD44" s="155">
        <f t="shared" si="19"/>
        <v>3775</v>
      </c>
      <c r="AE44" s="155">
        <f t="shared" si="19"/>
        <v>0</v>
      </c>
      <c r="AF44" s="155">
        <f t="shared" si="19"/>
        <v>72</v>
      </c>
      <c r="AG44" s="155">
        <f t="shared" si="19"/>
        <v>-187</v>
      </c>
      <c r="AH44" s="155">
        <f t="shared" si="20"/>
        <v>-135</v>
      </c>
      <c r="AI44" s="155">
        <f t="shared" si="20"/>
        <v>197</v>
      </c>
      <c r="AJ44" s="155">
        <f>R44-R43</f>
        <v>4569</v>
      </c>
      <c r="AK44" s="158">
        <v>744885</v>
      </c>
      <c r="AL44" s="159">
        <f t="shared" si="9"/>
        <v>613991</v>
      </c>
      <c r="AM44" s="157">
        <v>660365</v>
      </c>
      <c r="AN44" s="154" t="b">
        <f t="shared" si="3"/>
        <v>1</v>
      </c>
    </row>
    <row r="45" spans="1:40" s="156" customFormat="1" hidden="1" x14ac:dyDescent="0.2">
      <c r="A45" s="330">
        <f t="shared" si="18"/>
        <v>1</v>
      </c>
      <c r="B45" s="197">
        <v>41183</v>
      </c>
      <c r="C45" s="3">
        <v>40773</v>
      </c>
      <c r="D45" s="3">
        <v>8949</v>
      </c>
      <c r="E45" s="3">
        <v>61303</v>
      </c>
      <c r="F45" s="3">
        <v>640</v>
      </c>
      <c r="G45" s="70">
        <v>96113</v>
      </c>
      <c r="H45" s="70">
        <v>40302</v>
      </c>
      <c r="I45" s="3">
        <v>9969</v>
      </c>
      <c r="J45" s="3">
        <v>615</v>
      </c>
      <c r="K45" s="3">
        <v>353524</v>
      </c>
      <c r="L45" s="3">
        <v>0</v>
      </c>
      <c r="M45" s="3">
        <v>18000</v>
      </c>
      <c r="N45" s="3">
        <v>7691</v>
      </c>
      <c r="O45" s="3">
        <v>0</v>
      </c>
      <c r="P45" s="3">
        <v>2569</v>
      </c>
      <c r="Q45" s="3">
        <v>20766</v>
      </c>
      <c r="R45" s="198">
        <f t="shared" si="16"/>
        <v>661214</v>
      </c>
      <c r="S45" s="5" t="b">
        <f t="shared" si="11"/>
        <v>1</v>
      </c>
      <c r="T45" s="5"/>
      <c r="U45" s="5"/>
      <c r="V45" s="155">
        <f t="shared" si="19"/>
        <v>305</v>
      </c>
      <c r="W45" s="155">
        <f t="shared" si="19"/>
        <v>72</v>
      </c>
      <c r="X45" s="155">
        <f t="shared" si="19"/>
        <v>369</v>
      </c>
      <c r="Y45" s="155">
        <f t="shared" si="19"/>
        <v>101</v>
      </c>
      <c r="Z45" s="155">
        <f t="shared" si="19"/>
        <v>962</v>
      </c>
      <c r="AA45" s="155">
        <f t="shared" si="19"/>
        <v>613</v>
      </c>
      <c r="AB45" s="155">
        <f t="shared" si="19"/>
        <v>89</v>
      </c>
      <c r="AC45" s="155">
        <f t="shared" si="19"/>
        <v>5</v>
      </c>
      <c r="AD45" s="155">
        <f t="shared" si="19"/>
        <v>-1788</v>
      </c>
      <c r="AE45" s="155">
        <f t="shared" si="19"/>
        <v>0</v>
      </c>
      <c r="AF45" s="155">
        <f t="shared" si="19"/>
        <v>-4</v>
      </c>
      <c r="AG45" s="155">
        <f t="shared" si="19"/>
        <v>14</v>
      </c>
      <c r="AH45" s="155">
        <f t="shared" si="20"/>
        <v>-40</v>
      </c>
      <c r="AI45" s="155">
        <f t="shared" si="20"/>
        <v>151</v>
      </c>
      <c r="AJ45" s="155">
        <f>R45-R44</f>
        <v>849</v>
      </c>
      <c r="AK45" s="158">
        <v>746271</v>
      </c>
      <c r="AL45" s="159">
        <f t="shared" si="9"/>
        <v>614480</v>
      </c>
      <c r="AM45" s="157">
        <v>661214</v>
      </c>
      <c r="AN45" s="154" t="b">
        <f t="shared" si="3"/>
        <v>1</v>
      </c>
    </row>
    <row r="46" spans="1:40" s="156" customFormat="1" hidden="1" x14ac:dyDescent="0.2">
      <c r="A46" s="330">
        <f t="shared" si="18"/>
        <v>1</v>
      </c>
      <c r="B46" s="197">
        <v>41214</v>
      </c>
      <c r="C46" s="3">
        <v>41059</v>
      </c>
      <c r="D46" s="3">
        <v>8997</v>
      </c>
      <c r="E46" s="3">
        <v>61571</v>
      </c>
      <c r="F46" s="3">
        <v>753</v>
      </c>
      <c r="G46" s="70">
        <v>98333</v>
      </c>
      <c r="H46" s="70">
        <v>41895</v>
      </c>
      <c r="I46" s="3">
        <v>9972</v>
      </c>
      <c r="J46" s="3">
        <v>615</v>
      </c>
      <c r="K46" s="3">
        <v>356897</v>
      </c>
      <c r="L46" s="3">
        <v>0</v>
      </c>
      <c r="M46" s="3">
        <v>17967</v>
      </c>
      <c r="N46" s="3">
        <v>7600</v>
      </c>
      <c r="O46" s="3">
        <v>0</v>
      </c>
      <c r="P46" s="3">
        <v>2546</v>
      </c>
      <c r="Q46" s="3">
        <v>20998</v>
      </c>
      <c r="R46" s="198">
        <f t="shared" si="16"/>
        <v>669203</v>
      </c>
      <c r="S46" s="5" t="b">
        <f t="shared" si="11"/>
        <v>1</v>
      </c>
      <c r="T46" s="5"/>
      <c r="U46" s="5"/>
      <c r="V46" s="155">
        <f t="shared" si="19"/>
        <v>286</v>
      </c>
      <c r="W46" s="155">
        <f t="shared" si="19"/>
        <v>48</v>
      </c>
      <c r="X46" s="155">
        <f t="shared" si="19"/>
        <v>268</v>
      </c>
      <c r="Y46" s="155">
        <f t="shared" si="19"/>
        <v>113</v>
      </c>
      <c r="Z46" s="155">
        <f t="shared" si="19"/>
        <v>2220</v>
      </c>
      <c r="AA46" s="155">
        <f t="shared" si="19"/>
        <v>1593</v>
      </c>
      <c r="AB46" s="155">
        <f t="shared" si="19"/>
        <v>3</v>
      </c>
      <c r="AC46" s="155">
        <f t="shared" si="19"/>
        <v>0</v>
      </c>
      <c r="AD46" s="155">
        <f t="shared" si="19"/>
        <v>3373</v>
      </c>
      <c r="AE46" s="155">
        <f t="shared" si="19"/>
        <v>0</v>
      </c>
      <c r="AF46" s="155">
        <f t="shared" si="19"/>
        <v>-33</v>
      </c>
      <c r="AG46" s="155">
        <f t="shared" si="19"/>
        <v>-91</v>
      </c>
      <c r="AH46" s="155">
        <f t="shared" si="20"/>
        <v>-23</v>
      </c>
      <c r="AI46" s="155">
        <f t="shared" si="20"/>
        <v>232</v>
      </c>
      <c r="AJ46" s="155">
        <f>R46-R45</f>
        <v>7989</v>
      </c>
      <c r="AK46" s="158">
        <v>755665</v>
      </c>
      <c r="AL46" s="159">
        <f t="shared" si="9"/>
        <v>623040</v>
      </c>
      <c r="AM46" s="157">
        <v>669203</v>
      </c>
      <c r="AN46" s="154" t="b">
        <f t="shared" si="3"/>
        <v>1</v>
      </c>
    </row>
    <row r="47" spans="1:40" s="156" customFormat="1" hidden="1" x14ac:dyDescent="0.2">
      <c r="A47" s="330">
        <f t="shared" si="18"/>
        <v>1</v>
      </c>
      <c r="B47" s="197">
        <v>41244</v>
      </c>
      <c r="C47" s="3">
        <v>41034</v>
      </c>
      <c r="D47" s="3">
        <v>9077</v>
      </c>
      <c r="E47" s="3">
        <v>61699</v>
      </c>
      <c r="F47" s="3">
        <v>857</v>
      </c>
      <c r="G47" s="70">
        <v>97784</v>
      </c>
      <c r="H47" s="70">
        <v>40442</v>
      </c>
      <c r="I47" s="3">
        <v>9798</v>
      </c>
      <c r="J47" s="3">
        <v>616</v>
      </c>
      <c r="K47" s="3">
        <v>361446</v>
      </c>
      <c r="L47" s="3">
        <v>0</v>
      </c>
      <c r="M47" s="3">
        <v>17898</v>
      </c>
      <c r="N47" s="3">
        <v>7466</v>
      </c>
      <c r="O47" s="3">
        <v>0</v>
      </c>
      <c r="P47" s="3">
        <v>2541</v>
      </c>
      <c r="Q47" s="3">
        <v>21221</v>
      </c>
      <c r="R47" s="198">
        <f t="shared" si="16"/>
        <v>671879</v>
      </c>
      <c r="S47" s="5" t="b">
        <f t="shared" si="11"/>
        <v>1</v>
      </c>
      <c r="T47" s="5"/>
      <c r="U47" s="5"/>
      <c r="V47" s="155">
        <f t="shared" si="19"/>
        <v>-25</v>
      </c>
      <c r="W47" s="155">
        <f t="shared" si="19"/>
        <v>80</v>
      </c>
      <c r="X47" s="155">
        <f t="shared" si="19"/>
        <v>128</v>
      </c>
      <c r="Y47" s="155">
        <f t="shared" si="19"/>
        <v>104</v>
      </c>
      <c r="Z47" s="155">
        <f t="shared" si="19"/>
        <v>-549</v>
      </c>
      <c r="AA47" s="155">
        <f t="shared" si="19"/>
        <v>-1453</v>
      </c>
      <c r="AB47" s="155">
        <f t="shared" si="19"/>
        <v>-174</v>
      </c>
      <c r="AC47" s="155">
        <f t="shared" si="19"/>
        <v>1</v>
      </c>
      <c r="AD47" s="155">
        <f t="shared" si="19"/>
        <v>4549</v>
      </c>
      <c r="AE47" s="155">
        <f t="shared" si="19"/>
        <v>0</v>
      </c>
      <c r="AF47" s="155">
        <f t="shared" si="19"/>
        <v>-69</v>
      </c>
      <c r="AG47" s="155">
        <f t="shared" si="19"/>
        <v>-134</v>
      </c>
      <c r="AH47" s="155">
        <f t="shared" si="20"/>
        <v>-5</v>
      </c>
      <c r="AI47" s="155">
        <f t="shared" si="20"/>
        <v>223</v>
      </c>
      <c r="AJ47" s="155">
        <f t="shared" si="20"/>
        <v>2676</v>
      </c>
      <c r="AK47" s="158">
        <v>759046</v>
      </c>
      <c r="AL47" s="159">
        <f t="shared" si="9"/>
        <v>626015</v>
      </c>
      <c r="AM47" s="439">
        <v>671879</v>
      </c>
      <c r="AN47" s="154" t="b">
        <f t="shared" si="3"/>
        <v>1</v>
      </c>
    </row>
    <row r="48" spans="1:40" s="156" customFormat="1" hidden="1" x14ac:dyDescent="0.2">
      <c r="A48" s="330">
        <f t="shared" si="18"/>
        <v>1</v>
      </c>
      <c r="B48" s="197">
        <v>41275</v>
      </c>
      <c r="C48" s="3">
        <v>41066</v>
      </c>
      <c r="D48" s="3">
        <v>9096</v>
      </c>
      <c r="E48" s="3">
        <v>61803</v>
      </c>
      <c r="F48" s="3">
        <v>988</v>
      </c>
      <c r="G48" s="70">
        <v>99404</v>
      </c>
      <c r="H48" s="70">
        <v>40895</v>
      </c>
      <c r="I48" s="3">
        <v>9777</v>
      </c>
      <c r="J48" s="3">
        <v>613</v>
      </c>
      <c r="K48" s="70">
        <v>361220</v>
      </c>
      <c r="L48" s="70">
        <v>5223</v>
      </c>
      <c r="M48" s="3">
        <v>17720</v>
      </c>
      <c r="N48" s="70">
        <v>8250</v>
      </c>
      <c r="O48" s="70">
        <v>437</v>
      </c>
      <c r="P48" s="3">
        <v>2655</v>
      </c>
      <c r="Q48" s="3">
        <v>21366</v>
      </c>
      <c r="R48" s="198">
        <f t="shared" si="16"/>
        <v>680513</v>
      </c>
      <c r="S48" s="5" t="b">
        <f t="shared" si="11"/>
        <v>1</v>
      </c>
      <c r="T48" s="5"/>
      <c r="U48" s="5"/>
      <c r="V48" s="155">
        <f t="shared" si="19"/>
        <v>32</v>
      </c>
      <c r="W48" s="155">
        <f t="shared" si="19"/>
        <v>19</v>
      </c>
      <c r="X48" s="155">
        <f t="shared" si="19"/>
        <v>104</v>
      </c>
      <c r="Y48" s="155">
        <f t="shared" si="19"/>
        <v>131</v>
      </c>
      <c r="Z48" s="155">
        <f t="shared" si="19"/>
        <v>1620</v>
      </c>
      <c r="AA48" s="155">
        <f t="shared" si="19"/>
        <v>453</v>
      </c>
      <c r="AB48" s="155">
        <f t="shared" si="19"/>
        <v>-21</v>
      </c>
      <c r="AC48" s="155">
        <f t="shared" si="19"/>
        <v>-3</v>
      </c>
      <c r="AD48" s="155">
        <f t="shared" si="19"/>
        <v>-226</v>
      </c>
      <c r="AE48" s="155">
        <f t="shared" si="19"/>
        <v>5223</v>
      </c>
      <c r="AF48" s="155">
        <f t="shared" si="19"/>
        <v>-178</v>
      </c>
      <c r="AG48" s="155">
        <f t="shared" si="19"/>
        <v>784</v>
      </c>
      <c r="AH48" s="155">
        <f t="shared" si="20"/>
        <v>114</v>
      </c>
      <c r="AI48" s="155">
        <f t="shared" si="20"/>
        <v>145</v>
      </c>
      <c r="AJ48" s="155">
        <f t="shared" si="20"/>
        <v>8634</v>
      </c>
      <c r="AK48" s="158">
        <v>762860</v>
      </c>
      <c r="AL48" s="159">
        <f t="shared" si="9"/>
        <v>629529</v>
      </c>
      <c r="AM48" s="439">
        <v>680513</v>
      </c>
      <c r="AN48" s="154" t="b">
        <f t="shared" si="3"/>
        <v>1</v>
      </c>
    </row>
    <row r="49" spans="1:40" s="156" customFormat="1" hidden="1" x14ac:dyDescent="0.2">
      <c r="A49" s="330">
        <f t="shared" si="18"/>
        <v>1</v>
      </c>
      <c r="B49" s="197">
        <v>41306</v>
      </c>
      <c r="C49" s="3">
        <v>41093</v>
      </c>
      <c r="D49" s="3">
        <v>9152</v>
      </c>
      <c r="E49" s="3">
        <v>62245</v>
      </c>
      <c r="F49" s="3">
        <v>1056</v>
      </c>
      <c r="G49" s="70">
        <v>101305</v>
      </c>
      <c r="H49" s="70">
        <v>42236</v>
      </c>
      <c r="I49" s="3">
        <v>9959</v>
      </c>
      <c r="J49" s="3">
        <v>608</v>
      </c>
      <c r="K49" s="70">
        <v>362024</v>
      </c>
      <c r="L49" s="70">
        <v>13463</v>
      </c>
      <c r="M49" s="3">
        <v>17673</v>
      </c>
      <c r="N49" s="70">
        <v>8322</v>
      </c>
      <c r="O49" s="70">
        <v>531</v>
      </c>
      <c r="P49" s="3">
        <v>2666</v>
      </c>
      <c r="Q49" s="3">
        <v>21532</v>
      </c>
      <c r="R49" s="198">
        <f t="shared" si="16"/>
        <v>693865</v>
      </c>
      <c r="S49" s="5" t="b">
        <f t="shared" si="11"/>
        <v>1</v>
      </c>
      <c r="T49" s="5"/>
      <c r="U49" s="5"/>
      <c r="V49" s="155">
        <f t="shared" si="19"/>
        <v>27</v>
      </c>
      <c r="W49" s="155">
        <f t="shared" si="19"/>
        <v>56</v>
      </c>
      <c r="X49" s="155">
        <f t="shared" si="19"/>
        <v>442</v>
      </c>
      <c r="Y49" s="155">
        <f t="shared" si="19"/>
        <v>68</v>
      </c>
      <c r="Z49" s="155">
        <f t="shared" si="19"/>
        <v>1901</v>
      </c>
      <c r="AA49" s="155">
        <f t="shared" si="19"/>
        <v>1341</v>
      </c>
      <c r="AB49" s="155">
        <f t="shared" si="19"/>
        <v>182</v>
      </c>
      <c r="AC49" s="155">
        <f t="shared" si="19"/>
        <v>-5</v>
      </c>
      <c r="AD49" s="155">
        <f t="shared" si="19"/>
        <v>804</v>
      </c>
      <c r="AE49" s="155">
        <f>L49-L48</f>
        <v>8240</v>
      </c>
      <c r="AF49" s="155">
        <f t="shared" si="19"/>
        <v>-47</v>
      </c>
      <c r="AG49" s="155">
        <f t="shared" si="19"/>
        <v>72</v>
      </c>
      <c r="AH49" s="155">
        <f t="shared" si="20"/>
        <v>11</v>
      </c>
      <c r="AI49" s="155">
        <f t="shared" si="20"/>
        <v>166</v>
      </c>
      <c r="AJ49" s="155">
        <f t="shared" si="20"/>
        <v>13352</v>
      </c>
      <c r="AK49" s="158">
        <v>770690</v>
      </c>
      <c r="AL49" s="159">
        <f t="shared" si="9"/>
        <v>636668</v>
      </c>
      <c r="AM49" s="439">
        <v>693865</v>
      </c>
      <c r="AN49" s="154" t="b">
        <f t="shared" si="3"/>
        <v>1</v>
      </c>
    </row>
    <row r="50" spans="1:40" s="156" customFormat="1" hidden="1" x14ac:dyDescent="0.2">
      <c r="A50" s="330">
        <f t="shared" si="18"/>
        <v>1</v>
      </c>
      <c r="B50" s="197">
        <v>41334</v>
      </c>
      <c r="C50" s="3">
        <v>40697</v>
      </c>
      <c r="D50" s="3">
        <v>9130</v>
      </c>
      <c r="E50" s="3">
        <v>62485</v>
      </c>
      <c r="F50" s="3">
        <v>1125</v>
      </c>
      <c r="G50" s="70">
        <v>100247</v>
      </c>
      <c r="H50" s="70">
        <v>42110</v>
      </c>
      <c r="I50" s="3">
        <v>9621</v>
      </c>
      <c r="J50" s="3">
        <v>618</v>
      </c>
      <c r="K50" s="70">
        <v>363012</v>
      </c>
      <c r="L50" s="70">
        <v>18263</v>
      </c>
      <c r="M50" s="3">
        <v>17619</v>
      </c>
      <c r="N50" s="70">
        <v>8311</v>
      </c>
      <c r="O50" s="70">
        <v>636</v>
      </c>
      <c r="P50" s="3">
        <v>2733</v>
      </c>
      <c r="Q50" s="3">
        <v>21530</v>
      </c>
      <c r="R50" s="198">
        <f t="shared" si="16"/>
        <v>698137</v>
      </c>
      <c r="S50" s="5" t="b">
        <f t="shared" si="11"/>
        <v>1</v>
      </c>
      <c r="T50" s="5"/>
      <c r="U50" s="5"/>
      <c r="V50" s="155">
        <f t="shared" si="19"/>
        <v>-396</v>
      </c>
      <c r="W50" s="155">
        <f t="shared" si="19"/>
        <v>-22</v>
      </c>
      <c r="X50" s="155">
        <f t="shared" si="19"/>
        <v>240</v>
      </c>
      <c r="Y50" s="155">
        <f t="shared" si="19"/>
        <v>69</v>
      </c>
      <c r="Z50" s="155">
        <f t="shared" si="19"/>
        <v>-1058</v>
      </c>
      <c r="AA50" s="155">
        <f t="shared" si="19"/>
        <v>-126</v>
      </c>
      <c r="AB50" s="155">
        <f t="shared" si="19"/>
        <v>-338</v>
      </c>
      <c r="AC50" s="155">
        <f t="shared" si="19"/>
        <v>10</v>
      </c>
      <c r="AD50" s="155">
        <f t="shared" si="19"/>
        <v>988</v>
      </c>
      <c r="AE50" s="155">
        <f t="shared" si="19"/>
        <v>4800</v>
      </c>
      <c r="AF50" s="155">
        <f t="shared" si="19"/>
        <v>-54</v>
      </c>
      <c r="AG50" s="155">
        <f t="shared" si="19"/>
        <v>-11</v>
      </c>
      <c r="AH50" s="155">
        <f t="shared" si="20"/>
        <v>67</v>
      </c>
      <c r="AI50" s="155">
        <f t="shared" si="20"/>
        <v>-2</v>
      </c>
      <c r="AJ50" s="155">
        <f t="shared" si="20"/>
        <v>4272</v>
      </c>
      <c r="AK50" s="158">
        <v>770719</v>
      </c>
      <c r="AL50" s="159">
        <f t="shared" si="9"/>
        <v>636877</v>
      </c>
      <c r="AM50" s="439">
        <v>698137</v>
      </c>
      <c r="AN50" s="154" t="b">
        <f t="shared" si="3"/>
        <v>1</v>
      </c>
    </row>
    <row r="51" spans="1:40" s="156" customFormat="1" hidden="1" x14ac:dyDescent="0.2">
      <c r="A51" s="330">
        <f t="shared" si="18"/>
        <v>1</v>
      </c>
      <c r="B51" s="197">
        <v>41365</v>
      </c>
      <c r="C51" s="3">
        <v>40898</v>
      </c>
      <c r="D51" s="3">
        <v>9222</v>
      </c>
      <c r="E51" s="3">
        <v>62976</v>
      </c>
      <c r="F51" s="3">
        <v>1232</v>
      </c>
      <c r="G51" s="70">
        <v>101576</v>
      </c>
      <c r="H51" s="70">
        <v>42997</v>
      </c>
      <c r="I51" s="3">
        <v>12076</v>
      </c>
      <c r="J51" s="3">
        <v>639</v>
      </c>
      <c r="K51" s="70">
        <v>364317</v>
      </c>
      <c r="L51" s="70">
        <v>20016</v>
      </c>
      <c r="M51" s="3">
        <v>17598</v>
      </c>
      <c r="N51" s="70">
        <v>8477</v>
      </c>
      <c r="O51" s="70">
        <v>730</v>
      </c>
      <c r="P51" s="3">
        <v>2798</v>
      </c>
      <c r="Q51" s="3">
        <v>21738</v>
      </c>
      <c r="R51" s="198">
        <f t="shared" si="16"/>
        <v>707290</v>
      </c>
      <c r="S51" s="5" t="b">
        <f t="shared" si="11"/>
        <v>1</v>
      </c>
      <c r="T51" s="5"/>
      <c r="U51" s="5"/>
      <c r="V51" s="155">
        <f t="shared" si="19"/>
        <v>201</v>
      </c>
      <c r="W51" s="155">
        <f t="shared" si="19"/>
        <v>92</v>
      </c>
      <c r="X51" s="155">
        <f t="shared" si="19"/>
        <v>491</v>
      </c>
      <c r="Y51" s="155">
        <f>F51-F50</f>
        <v>107</v>
      </c>
      <c r="Z51" s="155">
        <f t="shared" si="19"/>
        <v>1329</v>
      </c>
      <c r="AA51" s="155">
        <f t="shared" si="19"/>
        <v>887</v>
      </c>
      <c r="AB51" s="155">
        <f t="shared" si="19"/>
        <v>2455</v>
      </c>
      <c r="AC51" s="155">
        <f>J51-J50</f>
        <v>21</v>
      </c>
      <c r="AD51" s="155">
        <f t="shared" si="19"/>
        <v>1305</v>
      </c>
      <c r="AE51" s="155">
        <f t="shared" si="19"/>
        <v>1753</v>
      </c>
      <c r="AF51" s="155">
        <f t="shared" si="19"/>
        <v>-21</v>
      </c>
      <c r="AG51" s="155">
        <f t="shared" si="19"/>
        <v>166</v>
      </c>
      <c r="AH51" s="155">
        <f t="shared" si="20"/>
        <v>65</v>
      </c>
      <c r="AI51" s="155">
        <f t="shared" si="20"/>
        <v>208</v>
      </c>
      <c r="AJ51" s="155">
        <f>R51-R50</f>
        <v>9153</v>
      </c>
      <c r="AK51" s="158">
        <v>779640</v>
      </c>
      <c r="AL51" s="159">
        <f t="shared" si="9"/>
        <v>644806</v>
      </c>
      <c r="AM51" s="439">
        <v>707290</v>
      </c>
      <c r="AN51" s="154" t="b">
        <f t="shared" si="3"/>
        <v>1</v>
      </c>
    </row>
    <row r="52" spans="1:40" s="156" customFormat="1" hidden="1" x14ac:dyDescent="0.2">
      <c r="A52" s="330">
        <f t="shared" si="18"/>
        <v>1</v>
      </c>
      <c r="B52" s="197">
        <v>41395</v>
      </c>
      <c r="C52" s="3">
        <v>41108</v>
      </c>
      <c r="D52" s="3">
        <v>9295</v>
      </c>
      <c r="E52" s="3">
        <v>63416</v>
      </c>
      <c r="F52" s="3">
        <v>1318</v>
      </c>
      <c r="G52" s="70">
        <v>106147</v>
      </c>
      <c r="H52" s="70">
        <v>45535</v>
      </c>
      <c r="I52" s="3">
        <v>12462</v>
      </c>
      <c r="J52" s="3">
        <v>659</v>
      </c>
      <c r="K52" s="70">
        <v>366710</v>
      </c>
      <c r="L52" s="70">
        <v>21546</v>
      </c>
      <c r="M52" s="3">
        <v>17257</v>
      </c>
      <c r="N52" s="70">
        <v>8346</v>
      </c>
      <c r="O52" s="70">
        <v>938</v>
      </c>
      <c r="P52" s="3">
        <v>2848</v>
      </c>
      <c r="Q52" s="3">
        <v>22000</v>
      </c>
      <c r="R52" s="198">
        <f t="shared" si="16"/>
        <v>719585</v>
      </c>
      <c r="S52" s="5" t="b">
        <f>R52=SUM(C52:Q52)</f>
        <v>1</v>
      </c>
      <c r="T52" s="5"/>
      <c r="U52" s="5"/>
      <c r="V52" s="155">
        <f t="shared" si="19"/>
        <v>210</v>
      </c>
      <c r="W52" s="155">
        <f t="shared" si="19"/>
        <v>73</v>
      </c>
      <c r="X52" s="155">
        <f t="shared" si="19"/>
        <v>440</v>
      </c>
      <c r="Y52" s="155">
        <f t="shared" si="19"/>
        <v>86</v>
      </c>
      <c r="Z52" s="155">
        <f t="shared" si="19"/>
        <v>4571</v>
      </c>
      <c r="AA52" s="155">
        <f t="shared" si="19"/>
        <v>2538</v>
      </c>
      <c r="AB52" s="155">
        <f t="shared" si="19"/>
        <v>386</v>
      </c>
      <c r="AC52" s="155">
        <f t="shared" si="19"/>
        <v>20</v>
      </c>
      <c r="AD52" s="155">
        <f t="shared" si="19"/>
        <v>2393</v>
      </c>
      <c r="AE52" s="155">
        <f t="shared" si="19"/>
        <v>1530</v>
      </c>
      <c r="AF52" s="155">
        <f t="shared" si="19"/>
        <v>-341</v>
      </c>
      <c r="AG52" s="155">
        <f t="shared" si="19"/>
        <v>-131</v>
      </c>
      <c r="AH52" s="155">
        <f t="shared" si="20"/>
        <v>50</v>
      </c>
      <c r="AI52" s="155">
        <f t="shared" si="20"/>
        <v>262</v>
      </c>
      <c r="AJ52" s="155">
        <f>R52-R51</f>
        <v>12295</v>
      </c>
      <c r="AK52" s="158">
        <v>788091</v>
      </c>
      <c r="AL52" s="159">
        <f t="shared" si="9"/>
        <v>652272</v>
      </c>
      <c r="AM52" s="439">
        <v>719585</v>
      </c>
      <c r="AN52" s="154" t="b">
        <f t="shared" si="3"/>
        <v>1</v>
      </c>
    </row>
    <row r="53" spans="1:40" s="156" customFormat="1" hidden="1" x14ac:dyDescent="0.2">
      <c r="A53" s="330">
        <f t="shared" si="18"/>
        <v>1</v>
      </c>
      <c r="B53" s="197">
        <v>41426</v>
      </c>
      <c r="C53" s="3">
        <v>41153</v>
      </c>
      <c r="D53" s="3">
        <v>9358</v>
      </c>
      <c r="E53" s="3">
        <v>63540</v>
      </c>
      <c r="F53" s="3">
        <v>1368</v>
      </c>
      <c r="G53" s="70">
        <v>108773</v>
      </c>
      <c r="H53" s="70">
        <v>43600</v>
      </c>
      <c r="I53" s="3">
        <v>14772</v>
      </c>
      <c r="J53" s="3">
        <v>659</v>
      </c>
      <c r="K53" s="70">
        <v>373604</v>
      </c>
      <c r="L53" s="70">
        <v>20327</v>
      </c>
      <c r="M53" s="3">
        <v>17691</v>
      </c>
      <c r="N53" s="70">
        <v>8457</v>
      </c>
      <c r="O53" s="70">
        <v>863</v>
      </c>
      <c r="P53" s="3">
        <v>2739</v>
      </c>
      <c r="Q53" s="3">
        <v>22170</v>
      </c>
      <c r="R53" s="198">
        <f t="shared" si="16"/>
        <v>729074</v>
      </c>
      <c r="S53" s="5" t="b">
        <f>R53=SUM(C53:Q53)</f>
        <v>1</v>
      </c>
      <c r="T53" s="5"/>
      <c r="U53" s="5"/>
      <c r="V53" s="155">
        <f t="shared" si="19"/>
        <v>45</v>
      </c>
      <c r="W53" s="155">
        <f t="shared" si="19"/>
        <v>63</v>
      </c>
      <c r="X53" s="155">
        <f t="shared" si="19"/>
        <v>124</v>
      </c>
      <c r="Y53" s="155">
        <f t="shared" si="19"/>
        <v>50</v>
      </c>
      <c r="Z53" s="155">
        <f t="shared" si="19"/>
        <v>2626</v>
      </c>
      <c r="AA53" s="155">
        <f t="shared" si="19"/>
        <v>-1935</v>
      </c>
      <c r="AB53" s="155">
        <f t="shared" si="19"/>
        <v>2310</v>
      </c>
      <c r="AC53" s="155">
        <f t="shared" si="19"/>
        <v>0</v>
      </c>
      <c r="AD53" s="155">
        <f t="shared" si="19"/>
        <v>6894</v>
      </c>
      <c r="AE53" s="155">
        <f t="shared" si="19"/>
        <v>-1219</v>
      </c>
      <c r="AF53" s="155">
        <f t="shared" si="19"/>
        <v>434</v>
      </c>
      <c r="AG53" s="155">
        <f t="shared" si="19"/>
        <v>111</v>
      </c>
      <c r="AH53" s="155">
        <f t="shared" si="20"/>
        <v>-109</v>
      </c>
      <c r="AI53" s="155">
        <f t="shared" si="20"/>
        <v>170</v>
      </c>
      <c r="AJ53" s="155">
        <f>R53-R52</f>
        <v>9489</v>
      </c>
      <c r="AK53" s="158">
        <v>795193</v>
      </c>
      <c r="AL53" s="159">
        <f t="shared" si="9"/>
        <v>658972</v>
      </c>
      <c r="AM53" s="439">
        <v>729074</v>
      </c>
      <c r="AN53" s="154" t="b">
        <f t="shared" si="3"/>
        <v>1</v>
      </c>
    </row>
    <row r="54" spans="1:40" s="156" customFormat="1" hidden="1" x14ac:dyDescent="0.2">
      <c r="A54" s="330">
        <f t="shared" si="18"/>
        <v>1</v>
      </c>
      <c r="B54" s="201" t="s">
        <v>124</v>
      </c>
      <c r="C54" s="8">
        <f>ROUND(AVERAGE(C42:C53),0)</f>
        <v>40827</v>
      </c>
      <c r="D54" s="8">
        <f t="shared" ref="D54:Q54" si="21">ROUND(AVERAGE(D42:D53),0)</f>
        <v>9051</v>
      </c>
      <c r="E54" s="8">
        <f t="shared" si="21"/>
        <v>61920</v>
      </c>
      <c r="F54" s="8">
        <f t="shared" si="21"/>
        <v>888</v>
      </c>
      <c r="G54" s="8">
        <f t="shared" si="21"/>
        <v>99392</v>
      </c>
      <c r="H54" s="8">
        <f t="shared" si="21"/>
        <v>41545</v>
      </c>
      <c r="I54" s="8">
        <f>ROUND(AVERAGE(I42:I53),0)</f>
        <v>10634</v>
      </c>
      <c r="J54" s="8">
        <f>ROUND(AVERAGE(J42:J53),0)</f>
        <v>623</v>
      </c>
      <c r="K54" s="8">
        <f>ROUND(AVERAGE(K42:K53),0)</f>
        <v>359843</v>
      </c>
      <c r="L54" s="8">
        <f>ROUND(AVERAGE(L42:L53),0)-1</f>
        <v>8236</v>
      </c>
      <c r="M54" s="8">
        <f t="shared" si="21"/>
        <v>17777</v>
      </c>
      <c r="N54" s="8">
        <f t="shared" si="21"/>
        <v>8024</v>
      </c>
      <c r="O54" s="8">
        <f>ROUND(AVERAGE(O42:O53),0)-1</f>
        <v>344</v>
      </c>
      <c r="P54" s="8">
        <f t="shared" si="21"/>
        <v>2684</v>
      </c>
      <c r="Q54" s="8">
        <f t="shared" si="21"/>
        <v>21206</v>
      </c>
      <c r="R54" s="202">
        <f>SUM(C54:Q54)</f>
        <v>682994</v>
      </c>
      <c r="S54" s="5" t="b">
        <f>R54=SUM(C54:Q54)</f>
        <v>1</v>
      </c>
      <c r="T54" s="5"/>
      <c r="U54" s="5"/>
      <c r="V54" s="155"/>
      <c r="W54" s="155"/>
      <c r="X54" s="155"/>
      <c r="Y54" s="155"/>
      <c r="Z54" s="155"/>
      <c r="AA54" s="155"/>
      <c r="AB54" s="155"/>
      <c r="AC54" s="155"/>
      <c r="AD54" s="155"/>
      <c r="AE54" s="155"/>
      <c r="AF54" s="155"/>
      <c r="AG54" s="155"/>
      <c r="AH54" s="155"/>
      <c r="AI54" s="155"/>
      <c r="AJ54" s="160">
        <f>AVERAGE(AJ42:AJ53)</f>
        <v>6496</v>
      </c>
      <c r="AK54" s="158"/>
      <c r="AL54" s="159"/>
      <c r="AM54" s="439">
        <v>682994</v>
      </c>
      <c r="AN54" s="154" t="b">
        <f t="shared" si="3"/>
        <v>1</v>
      </c>
    </row>
    <row r="55" spans="1:40" s="156" customFormat="1" hidden="1" x14ac:dyDescent="0.2">
      <c r="A55" s="330">
        <f t="shared" si="18"/>
        <v>1</v>
      </c>
      <c r="B55" s="203">
        <v>41456</v>
      </c>
      <c r="C55" s="192">
        <v>41243</v>
      </c>
      <c r="D55" s="192">
        <v>9466</v>
      </c>
      <c r="E55" s="192">
        <v>63919</v>
      </c>
      <c r="F55" s="192">
        <v>1494</v>
      </c>
      <c r="G55" s="193">
        <v>105843</v>
      </c>
      <c r="H55" s="193">
        <v>43321</v>
      </c>
      <c r="I55" s="193">
        <v>16073</v>
      </c>
      <c r="J55" s="193">
        <v>660</v>
      </c>
      <c r="K55" s="193">
        <v>379057</v>
      </c>
      <c r="L55" s="193">
        <v>11487</v>
      </c>
      <c r="M55" s="192">
        <v>17652</v>
      </c>
      <c r="N55" s="193">
        <v>9053</v>
      </c>
      <c r="O55" s="193">
        <v>334</v>
      </c>
      <c r="P55" s="192">
        <v>2754</v>
      </c>
      <c r="Q55" s="192">
        <v>22368</v>
      </c>
      <c r="R55" s="204">
        <f t="shared" si="16"/>
        <v>724724</v>
      </c>
      <c r="S55" s="5" t="b">
        <f t="shared" ref="S55:S66" si="22">R55=SUM(C55:Q55)</f>
        <v>1</v>
      </c>
      <c r="T55" s="5"/>
      <c r="U55" s="5"/>
      <c r="V55" s="155">
        <f t="shared" ref="V55:AG55" si="23">C55-C53</f>
        <v>90</v>
      </c>
      <c r="W55" s="155">
        <f t="shared" si="23"/>
        <v>108</v>
      </c>
      <c r="X55" s="155">
        <f t="shared" si="23"/>
        <v>379</v>
      </c>
      <c r="Y55" s="155">
        <f t="shared" si="23"/>
        <v>126</v>
      </c>
      <c r="Z55" s="155">
        <f t="shared" si="23"/>
        <v>-2930</v>
      </c>
      <c r="AA55" s="155">
        <f t="shared" si="23"/>
        <v>-279</v>
      </c>
      <c r="AB55" s="155">
        <f t="shared" si="23"/>
        <v>1301</v>
      </c>
      <c r="AC55" s="155">
        <f t="shared" si="23"/>
        <v>1</v>
      </c>
      <c r="AD55" s="155">
        <f t="shared" si="23"/>
        <v>5453</v>
      </c>
      <c r="AE55" s="155">
        <f t="shared" si="23"/>
        <v>-8840</v>
      </c>
      <c r="AF55" s="155">
        <f t="shared" si="23"/>
        <v>-39</v>
      </c>
      <c r="AG55" s="155">
        <f t="shared" si="23"/>
        <v>596</v>
      </c>
      <c r="AH55" s="155">
        <f>P55-P53</f>
        <v>15</v>
      </c>
      <c r="AI55" s="155">
        <f>Q55-Q53</f>
        <v>198</v>
      </c>
      <c r="AJ55" s="155">
        <f>R55-R53</f>
        <v>-4350</v>
      </c>
      <c r="AK55" s="158">
        <v>794409</v>
      </c>
      <c r="AL55" s="159">
        <f t="shared" ref="AL55:AL62" si="24">AK55-Q55-C55-D55-E55</f>
        <v>657413</v>
      </c>
      <c r="AM55" s="439">
        <v>724724</v>
      </c>
      <c r="AN55" s="154" t="b">
        <f t="shared" si="3"/>
        <v>1</v>
      </c>
    </row>
    <row r="56" spans="1:40" s="156" customFormat="1" hidden="1" x14ac:dyDescent="0.2">
      <c r="A56" s="330">
        <f t="shared" si="18"/>
        <v>1</v>
      </c>
      <c r="B56" s="197">
        <v>41487</v>
      </c>
      <c r="C56" s="3">
        <v>41540</v>
      </c>
      <c r="D56" s="3">
        <v>9538</v>
      </c>
      <c r="E56" s="3">
        <v>64281</v>
      </c>
      <c r="F56" s="3">
        <v>1616</v>
      </c>
      <c r="G56" s="70">
        <v>106672</v>
      </c>
      <c r="H56" s="70">
        <v>45336</v>
      </c>
      <c r="I56" s="70">
        <v>17388</v>
      </c>
      <c r="J56" s="70">
        <v>648</v>
      </c>
      <c r="K56" s="70">
        <v>382925</v>
      </c>
      <c r="L56" s="70">
        <v>8984</v>
      </c>
      <c r="M56" s="3">
        <v>17659</v>
      </c>
      <c r="N56" s="70">
        <v>9219</v>
      </c>
      <c r="O56" s="70">
        <v>186</v>
      </c>
      <c r="P56" s="3">
        <v>2562</v>
      </c>
      <c r="Q56" s="3">
        <v>22539</v>
      </c>
      <c r="R56" s="198">
        <f t="shared" si="16"/>
        <v>731093</v>
      </c>
      <c r="S56" s="5" t="b">
        <f t="shared" si="22"/>
        <v>1</v>
      </c>
      <c r="T56" s="5"/>
      <c r="U56" s="5"/>
      <c r="V56" s="155">
        <f t="shared" ref="V56:AG62" si="25">C56-C55</f>
        <v>297</v>
      </c>
      <c r="W56" s="155">
        <f t="shared" si="25"/>
        <v>72</v>
      </c>
      <c r="X56" s="155">
        <f t="shared" si="25"/>
        <v>362</v>
      </c>
      <c r="Y56" s="155">
        <f t="shared" si="25"/>
        <v>122</v>
      </c>
      <c r="Z56" s="155">
        <f t="shared" si="25"/>
        <v>829</v>
      </c>
      <c r="AA56" s="155">
        <f t="shared" si="25"/>
        <v>2015</v>
      </c>
      <c r="AB56" s="155">
        <f t="shared" si="25"/>
        <v>1315</v>
      </c>
      <c r="AC56" s="155">
        <f t="shared" si="25"/>
        <v>-12</v>
      </c>
      <c r="AD56" s="155">
        <f t="shared" si="25"/>
        <v>3868</v>
      </c>
      <c r="AE56" s="155">
        <f t="shared" si="25"/>
        <v>-2503</v>
      </c>
      <c r="AF56" s="155">
        <f t="shared" si="25"/>
        <v>7</v>
      </c>
      <c r="AG56" s="155">
        <f t="shared" si="25"/>
        <v>166</v>
      </c>
      <c r="AH56" s="155">
        <f t="shared" ref="AH56:AJ62" si="26">P56-P55</f>
        <v>-192</v>
      </c>
      <c r="AI56" s="155">
        <f t="shared" si="26"/>
        <v>171</v>
      </c>
      <c r="AJ56" s="155">
        <f t="shared" si="26"/>
        <v>6369</v>
      </c>
      <c r="AK56" s="158">
        <v>800180</v>
      </c>
      <c r="AL56" s="159">
        <f t="shared" si="24"/>
        <v>662282</v>
      </c>
      <c r="AM56" s="439">
        <v>731093</v>
      </c>
      <c r="AN56" s="154" t="b">
        <f t="shared" si="3"/>
        <v>1</v>
      </c>
    </row>
    <row r="57" spans="1:40" s="156" customFormat="1" hidden="1" x14ac:dyDescent="0.2">
      <c r="A57" s="330">
        <f t="shared" si="18"/>
        <v>1</v>
      </c>
      <c r="B57" s="197">
        <v>41518</v>
      </c>
      <c r="C57" s="3">
        <v>41696</v>
      </c>
      <c r="D57" s="3">
        <v>9641</v>
      </c>
      <c r="E57" s="3">
        <v>64309</v>
      </c>
      <c r="F57" s="3">
        <v>1692</v>
      </c>
      <c r="G57" s="70">
        <v>110929</v>
      </c>
      <c r="H57" s="70">
        <v>43247</v>
      </c>
      <c r="I57" s="70">
        <v>20951</v>
      </c>
      <c r="J57" s="70">
        <v>645</v>
      </c>
      <c r="K57" s="70">
        <v>394462</v>
      </c>
      <c r="L57" s="70">
        <v>4348</v>
      </c>
      <c r="M57" s="3">
        <v>17619</v>
      </c>
      <c r="N57" s="70">
        <v>9240</v>
      </c>
      <c r="O57" s="70">
        <v>105</v>
      </c>
      <c r="P57" s="3">
        <v>2511</v>
      </c>
      <c r="Q57" s="3">
        <v>22690</v>
      </c>
      <c r="R57" s="198">
        <f t="shared" si="16"/>
        <v>744085</v>
      </c>
      <c r="S57" s="5" t="b">
        <f t="shared" si="22"/>
        <v>1</v>
      </c>
      <c r="T57" s="5"/>
      <c r="U57" s="5"/>
      <c r="V57" s="155">
        <f t="shared" si="25"/>
        <v>156</v>
      </c>
      <c r="W57" s="155">
        <f t="shared" si="25"/>
        <v>103</v>
      </c>
      <c r="X57" s="155">
        <f t="shared" si="25"/>
        <v>28</v>
      </c>
      <c r="Y57" s="155">
        <f t="shared" si="25"/>
        <v>76</v>
      </c>
      <c r="Z57" s="155">
        <f t="shared" si="25"/>
        <v>4257</v>
      </c>
      <c r="AA57" s="155">
        <f t="shared" si="25"/>
        <v>-2089</v>
      </c>
      <c r="AB57" s="155">
        <f t="shared" si="25"/>
        <v>3563</v>
      </c>
      <c r="AC57" s="155">
        <f t="shared" si="25"/>
        <v>-3</v>
      </c>
      <c r="AD57" s="155">
        <f t="shared" si="25"/>
        <v>11537</v>
      </c>
      <c r="AE57" s="155">
        <f t="shared" si="25"/>
        <v>-4636</v>
      </c>
      <c r="AF57" s="155">
        <f t="shared" si="25"/>
        <v>-40</v>
      </c>
      <c r="AG57" s="155">
        <f t="shared" si="25"/>
        <v>21</v>
      </c>
      <c r="AH57" s="155">
        <f t="shared" si="26"/>
        <v>-51</v>
      </c>
      <c r="AI57" s="155">
        <f t="shared" si="26"/>
        <v>151</v>
      </c>
      <c r="AJ57" s="155">
        <f t="shared" si="26"/>
        <v>12992</v>
      </c>
      <c r="AK57" s="158">
        <v>812105</v>
      </c>
      <c r="AL57" s="159">
        <f t="shared" si="24"/>
        <v>673769</v>
      </c>
      <c r="AM57" s="439">
        <v>744085</v>
      </c>
      <c r="AN57" s="154" t="b">
        <f t="shared" si="3"/>
        <v>1</v>
      </c>
    </row>
    <row r="58" spans="1:40" s="156" customFormat="1" hidden="1" x14ac:dyDescent="0.2">
      <c r="A58" s="330">
        <f t="shared" si="18"/>
        <v>1</v>
      </c>
      <c r="B58" s="197">
        <v>41548</v>
      </c>
      <c r="C58" s="3">
        <v>41861</v>
      </c>
      <c r="D58" s="3">
        <v>9709</v>
      </c>
      <c r="E58" s="3">
        <v>64151</v>
      </c>
      <c r="F58" s="3">
        <v>2200</v>
      </c>
      <c r="G58" s="70">
        <v>111274</v>
      </c>
      <c r="H58" s="70">
        <v>37094</v>
      </c>
      <c r="I58" s="70">
        <v>19168</v>
      </c>
      <c r="J58" s="70">
        <v>639</v>
      </c>
      <c r="K58" s="70">
        <v>382709</v>
      </c>
      <c r="L58" s="70">
        <v>11153</v>
      </c>
      <c r="M58" s="3">
        <v>17675</v>
      </c>
      <c r="N58" s="70">
        <v>13079</v>
      </c>
      <c r="O58" s="3">
        <v>549</v>
      </c>
      <c r="P58" s="3">
        <v>2392</v>
      </c>
      <c r="Q58" s="3">
        <v>22299</v>
      </c>
      <c r="R58" s="198">
        <f t="shared" si="16"/>
        <v>735952</v>
      </c>
      <c r="S58" s="5" t="b">
        <f t="shared" si="22"/>
        <v>1</v>
      </c>
      <c r="T58" s="5"/>
      <c r="U58" s="5"/>
      <c r="V58" s="155">
        <f t="shared" si="25"/>
        <v>165</v>
      </c>
      <c r="W58" s="155">
        <f t="shared" si="25"/>
        <v>68</v>
      </c>
      <c r="X58" s="155">
        <f t="shared" si="25"/>
        <v>-158</v>
      </c>
      <c r="Y58" s="155">
        <f t="shared" si="25"/>
        <v>508</v>
      </c>
      <c r="Z58" s="155">
        <f t="shared" si="25"/>
        <v>345</v>
      </c>
      <c r="AA58" s="155">
        <f t="shared" si="25"/>
        <v>-6153</v>
      </c>
      <c r="AB58" s="155">
        <f t="shared" si="25"/>
        <v>-1783</v>
      </c>
      <c r="AC58" s="155">
        <f t="shared" si="25"/>
        <v>-6</v>
      </c>
      <c r="AD58" s="155">
        <f t="shared" si="25"/>
        <v>-11753</v>
      </c>
      <c r="AE58" s="155">
        <f t="shared" si="25"/>
        <v>6805</v>
      </c>
      <c r="AF58" s="155">
        <f t="shared" si="25"/>
        <v>56</v>
      </c>
      <c r="AG58" s="155">
        <f t="shared" si="25"/>
        <v>3839</v>
      </c>
      <c r="AH58" s="155">
        <f t="shared" si="26"/>
        <v>-119</v>
      </c>
      <c r="AI58" s="155">
        <f t="shared" si="26"/>
        <v>-391</v>
      </c>
      <c r="AJ58" s="155">
        <f t="shared" si="26"/>
        <v>-8133</v>
      </c>
      <c r="AK58" s="158">
        <v>800997</v>
      </c>
      <c r="AL58" s="159">
        <f t="shared" si="24"/>
        <v>662977</v>
      </c>
      <c r="AM58" s="439">
        <v>735952</v>
      </c>
      <c r="AN58" s="154" t="b">
        <f t="shared" si="3"/>
        <v>1</v>
      </c>
    </row>
    <row r="59" spans="1:40" s="156" customFormat="1" hidden="1" x14ac:dyDescent="0.2">
      <c r="A59" s="330">
        <f t="shared" si="18"/>
        <v>1</v>
      </c>
      <c r="B59" s="197">
        <v>41579</v>
      </c>
      <c r="C59" s="3">
        <v>42098</v>
      </c>
      <c r="D59" s="3">
        <v>9748</v>
      </c>
      <c r="E59" s="3">
        <v>64396</v>
      </c>
      <c r="F59" s="3">
        <v>2749</v>
      </c>
      <c r="G59" s="70">
        <v>112290</v>
      </c>
      <c r="H59" s="70">
        <v>41332</v>
      </c>
      <c r="I59" s="70">
        <v>17976</v>
      </c>
      <c r="J59" s="70">
        <v>547</v>
      </c>
      <c r="K59" s="70">
        <v>386326</v>
      </c>
      <c r="L59" s="70">
        <v>18980</v>
      </c>
      <c r="M59" s="3">
        <v>17712</v>
      </c>
      <c r="N59" s="70">
        <v>13740</v>
      </c>
      <c r="O59" s="3">
        <v>1022</v>
      </c>
      <c r="P59" s="3">
        <v>2352</v>
      </c>
      <c r="Q59" s="3">
        <v>22539</v>
      </c>
      <c r="R59" s="198">
        <f t="shared" si="16"/>
        <v>753807</v>
      </c>
      <c r="S59" s="5" t="b">
        <f t="shared" si="22"/>
        <v>1</v>
      </c>
      <c r="T59" s="5"/>
      <c r="U59" s="5"/>
      <c r="V59" s="155">
        <f t="shared" si="25"/>
        <v>237</v>
      </c>
      <c r="W59" s="155">
        <f t="shared" si="25"/>
        <v>39</v>
      </c>
      <c r="X59" s="155">
        <f t="shared" si="25"/>
        <v>245</v>
      </c>
      <c r="Y59" s="155">
        <f t="shared" si="25"/>
        <v>549</v>
      </c>
      <c r="Z59" s="155">
        <f t="shared" si="25"/>
        <v>1016</v>
      </c>
      <c r="AA59" s="155">
        <f t="shared" si="25"/>
        <v>4238</v>
      </c>
      <c r="AB59" s="155">
        <f t="shared" si="25"/>
        <v>-1192</v>
      </c>
      <c r="AC59" s="155">
        <f t="shared" si="25"/>
        <v>-92</v>
      </c>
      <c r="AD59" s="155">
        <f t="shared" si="25"/>
        <v>3617</v>
      </c>
      <c r="AE59" s="155">
        <f t="shared" si="25"/>
        <v>7827</v>
      </c>
      <c r="AF59" s="155">
        <f t="shared" si="25"/>
        <v>37</v>
      </c>
      <c r="AG59" s="155">
        <f t="shared" si="25"/>
        <v>661</v>
      </c>
      <c r="AH59" s="155">
        <f t="shared" si="26"/>
        <v>-40</v>
      </c>
      <c r="AI59" s="155">
        <f t="shared" si="26"/>
        <v>240</v>
      </c>
      <c r="AJ59" s="155">
        <f t="shared" si="26"/>
        <v>17855</v>
      </c>
      <c r="AK59" s="158">
        <v>814028</v>
      </c>
      <c r="AL59" s="159">
        <f t="shared" si="24"/>
        <v>675247</v>
      </c>
      <c r="AM59" s="439">
        <v>753807</v>
      </c>
      <c r="AN59" s="154" t="b">
        <f t="shared" si="3"/>
        <v>1</v>
      </c>
    </row>
    <row r="60" spans="1:40" s="156" customFormat="1" hidden="1" x14ac:dyDescent="0.2">
      <c r="A60" s="330">
        <f t="shared" si="18"/>
        <v>1</v>
      </c>
      <c r="B60" s="197">
        <v>41609</v>
      </c>
      <c r="C60" s="3">
        <v>42265</v>
      </c>
      <c r="D60" s="3">
        <v>9797</v>
      </c>
      <c r="E60" s="3">
        <v>64478</v>
      </c>
      <c r="F60" s="3">
        <v>2690</v>
      </c>
      <c r="G60" s="70">
        <v>119836</v>
      </c>
      <c r="H60" s="70">
        <v>40228</v>
      </c>
      <c r="I60" s="70">
        <v>17092</v>
      </c>
      <c r="J60" s="70">
        <v>540</v>
      </c>
      <c r="K60" s="70">
        <v>389900</v>
      </c>
      <c r="L60" s="70">
        <v>28057</v>
      </c>
      <c r="M60" s="3">
        <v>17793</v>
      </c>
      <c r="N60" s="70">
        <v>14140</v>
      </c>
      <c r="O60" s="3">
        <v>1293</v>
      </c>
      <c r="P60" s="3">
        <v>2311</v>
      </c>
      <c r="Q60" s="3">
        <v>22534</v>
      </c>
      <c r="R60" s="198">
        <f t="shared" si="16"/>
        <v>772954</v>
      </c>
      <c r="S60" s="5" t="b">
        <f t="shared" si="22"/>
        <v>1</v>
      </c>
      <c r="T60" s="5"/>
      <c r="U60" s="5"/>
      <c r="V60" s="155">
        <f t="shared" si="25"/>
        <v>167</v>
      </c>
      <c r="W60" s="155">
        <f t="shared" si="25"/>
        <v>49</v>
      </c>
      <c r="X60" s="155">
        <f t="shared" si="25"/>
        <v>82</v>
      </c>
      <c r="Y60" s="155">
        <f t="shared" si="25"/>
        <v>-59</v>
      </c>
      <c r="Z60" s="155">
        <f t="shared" si="25"/>
        <v>7546</v>
      </c>
      <c r="AA60" s="155">
        <f t="shared" si="25"/>
        <v>-1104</v>
      </c>
      <c r="AB60" s="155">
        <f t="shared" si="25"/>
        <v>-884</v>
      </c>
      <c r="AC60" s="155">
        <f t="shared" si="25"/>
        <v>-7</v>
      </c>
      <c r="AD60" s="155">
        <f t="shared" si="25"/>
        <v>3574</v>
      </c>
      <c r="AE60" s="155">
        <f t="shared" si="25"/>
        <v>9077</v>
      </c>
      <c r="AF60" s="155">
        <f t="shared" si="25"/>
        <v>81</v>
      </c>
      <c r="AG60" s="155">
        <f t="shared" si="25"/>
        <v>400</v>
      </c>
      <c r="AH60" s="155">
        <f t="shared" si="26"/>
        <v>-41</v>
      </c>
      <c r="AI60" s="155">
        <f t="shared" si="26"/>
        <v>-5</v>
      </c>
      <c r="AJ60" s="155">
        <f t="shared" si="26"/>
        <v>19147</v>
      </c>
      <c r="AK60" s="158">
        <v>834374</v>
      </c>
      <c r="AL60" s="159">
        <f t="shared" si="24"/>
        <v>695300</v>
      </c>
      <c r="AM60" s="439">
        <v>772954</v>
      </c>
      <c r="AN60" s="154" t="b">
        <f t="shared" si="3"/>
        <v>1</v>
      </c>
    </row>
    <row r="61" spans="1:40" s="156" customFormat="1" hidden="1" x14ac:dyDescent="0.2">
      <c r="A61" s="330">
        <f t="shared" si="18"/>
        <v>1</v>
      </c>
      <c r="B61" s="197">
        <v>41640</v>
      </c>
      <c r="C61" s="3">
        <v>41861</v>
      </c>
      <c r="D61" s="3">
        <v>9838</v>
      </c>
      <c r="E61" s="3">
        <v>64838</v>
      </c>
      <c r="F61" s="3">
        <v>2217</v>
      </c>
      <c r="G61" s="70">
        <v>122548</v>
      </c>
      <c r="H61" s="70">
        <v>40659</v>
      </c>
      <c r="I61" s="70">
        <v>120068</v>
      </c>
      <c r="J61" s="70">
        <v>543</v>
      </c>
      <c r="K61" s="70">
        <v>398421</v>
      </c>
      <c r="L61" s="70">
        <v>29967</v>
      </c>
      <c r="M61" s="3">
        <v>17684</v>
      </c>
      <c r="N61" s="70">
        <v>14582</v>
      </c>
      <c r="O61" s="3">
        <v>1390</v>
      </c>
      <c r="P61" s="3">
        <v>2309</v>
      </c>
      <c r="Q61" s="3">
        <v>22740</v>
      </c>
      <c r="R61" s="198">
        <f t="shared" si="16"/>
        <v>889665</v>
      </c>
      <c r="S61" s="5" t="b">
        <f t="shared" si="22"/>
        <v>1</v>
      </c>
      <c r="T61" s="5"/>
      <c r="U61" s="5"/>
      <c r="V61" s="155">
        <f t="shared" si="25"/>
        <v>-404</v>
      </c>
      <c r="W61" s="155">
        <f t="shared" si="25"/>
        <v>41</v>
      </c>
      <c r="X61" s="155">
        <f t="shared" si="25"/>
        <v>360</v>
      </c>
      <c r="Y61" s="155">
        <f t="shared" si="25"/>
        <v>-473</v>
      </c>
      <c r="Z61" s="155">
        <f t="shared" si="25"/>
        <v>2712</v>
      </c>
      <c r="AA61" s="155">
        <f t="shared" si="25"/>
        <v>431</v>
      </c>
      <c r="AB61" s="155">
        <f t="shared" si="25"/>
        <v>102976</v>
      </c>
      <c r="AC61" s="155">
        <f t="shared" si="25"/>
        <v>3</v>
      </c>
      <c r="AD61" s="155">
        <f t="shared" si="25"/>
        <v>8521</v>
      </c>
      <c r="AE61" s="155">
        <f t="shared" si="25"/>
        <v>1910</v>
      </c>
      <c r="AF61" s="155">
        <f t="shared" si="25"/>
        <v>-109</v>
      </c>
      <c r="AG61" s="155">
        <f t="shared" si="25"/>
        <v>442</v>
      </c>
      <c r="AH61" s="155">
        <f t="shared" si="26"/>
        <v>-2</v>
      </c>
      <c r="AI61" s="155">
        <f t="shared" si="26"/>
        <v>206</v>
      </c>
      <c r="AJ61" s="155">
        <f t="shared" si="26"/>
        <v>116711</v>
      </c>
      <c r="AK61" s="158">
        <v>950784</v>
      </c>
      <c r="AL61" s="159">
        <f t="shared" si="24"/>
        <v>811507</v>
      </c>
      <c r="AM61" s="439">
        <v>889665</v>
      </c>
      <c r="AN61" s="154" t="b">
        <f t="shared" si="3"/>
        <v>1</v>
      </c>
    </row>
    <row r="62" spans="1:40" s="156" customFormat="1" hidden="1" x14ac:dyDescent="0.2">
      <c r="A62" s="330">
        <f t="shared" si="18"/>
        <v>1</v>
      </c>
      <c r="B62" s="197">
        <v>41671</v>
      </c>
      <c r="C62" s="3">
        <v>42003</v>
      </c>
      <c r="D62" s="3">
        <v>9919</v>
      </c>
      <c r="E62" s="3">
        <v>64798</v>
      </c>
      <c r="F62" s="3">
        <v>3146</v>
      </c>
      <c r="G62" s="194">
        <v>129759</v>
      </c>
      <c r="H62" s="194">
        <v>51272</v>
      </c>
      <c r="I62" s="70">
        <v>125369</v>
      </c>
      <c r="J62" s="70">
        <v>527</v>
      </c>
      <c r="K62" s="70">
        <v>403888</v>
      </c>
      <c r="L62" s="70">
        <v>33263</v>
      </c>
      <c r="M62" s="3">
        <v>17744</v>
      </c>
      <c r="N62" s="70">
        <v>14691</v>
      </c>
      <c r="O62" s="3">
        <v>1471</v>
      </c>
      <c r="P62" s="3">
        <v>2374</v>
      </c>
      <c r="Q62" s="3">
        <v>23302</v>
      </c>
      <c r="R62" s="198">
        <f t="shared" si="16"/>
        <v>923526</v>
      </c>
      <c r="S62" s="5" t="b">
        <f t="shared" si="22"/>
        <v>1</v>
      </c>
      <c r="T62" s="5"/>
      <c r="U62" s="5"/>
      <c r="V62" s="155">
        <f t="shared" si="25"/>
        <v>142</v>
      </c>
      <c r="W62" s="155">
        <f t="shared" si="25"/>
        <v>81</v>
      </c>
      <c r="X62" s="155">
        <f t="shared" si="25"/>
        <v>-40</v>
      </c>
      <c r="Y62" s="155">
        <f t="shared" si="25"/>
        <v>929</v>
      </c>
      <c r="Z62" s="155">
        <f t="shared" si="25"/>
        <v>7211</v>
      </c>
      <c r="AA62" s="155">
        <f t="shared" si="25"/>
        <v>10613</v>
      </c>
      <c r="AB62" s="155">
        <f t="shared" si="25"/>
        <v>5301</v>
      </c>
      <c r="AC62" s="155">
        <f t="shared" si="25"/>
        <v>-16</v>
      </c>
      <c r="AD62" s="155">
        <f t="shared" si="25"/>
        <v>5467</v>
      </c>
      <c r="AE62" s="155">
        <f t="shared" si="25"/>
        <v>3296</v>
      </c>
      <c r="AF62" s="155">
        <f t="shared" si="25"/>
        <v>60</v>
      </c>
      <c r="AG62" s="155">
        <f t="shared" si="25"/>
        <v>109</v>
      </c>
      <c r="AH62" s="155">
        <f t="shared" si="26"/>
        <v>65</v>
      </c>
      <c r="AI62" s="155">
        <f t="shared" si="26"/>
        <v>562</v>
      </c>
      <c r="AJ62" s="155">
        <f>R62-R61</f>
        <v>33861</v>
      </c>
      <c r="AK62" s="158">
        <v>980932</v>
      </c>
      <c r="AL62" s="159">
        <f t="shared" si="24"/>
        <v>840910</v>
      </c>
      <c r="AM62" s="439">
        <v>923526</v>
      </c>
      <c r="AN62" s="154" t="b">
        <f t="shared" si="3"/>
        <v>1</v>
      </c>
    </row>
    <row r="63" spans="1:40" s="156" customFormat="1" hidden="1" x14ac:dyDescent="0.2">
      <c r="A63" s="330">
        <f t="shared" si="18"/>
        <v>1</v>
      </c>
      <c r="B63" s="197">
        <v>41699</v>
      </c>
      <c r="C63" s="3">
        <v>42145</v>
      </c>
      <c r="D63" s="3">
        <v>10027</v>
      </c>
      <c r="E63" s="3">
        <v>64312</v>
      </c>
      <c r="F63" s="3">
        <v>3188</v>
      </c>
      <c r="G63" s="194">
        <v>138165</v>
      </c>
      <c r="H63" s="194">
        <v>53923</v>
      </c>
      <c r="I63" s="70">
        <v>157246</v>
      </c>
      <c r="J63" s="70">
        <v>498</v>
      </c>
      <c r="K63" s="70">
        <v>408290</v>
      </c>
      <c r="L63" s="70">
        <v>38398</v>
      </c>
      <c r="M63" s="3">
        <v>17704</v>
      </c>
      <c r="N63" s="70">
        <v>14991</v>
      </c>
      <c r="O63" s="3">
        <v>1596</v>
      </c>
      <c r="P63" s="3">
        <v>2426</v>
      </c>
      <c r="Q63" s="3">
        <v>24063</v>
      </c>
      <c r="R63" s="198">
        <f t="shared" si="16"/>
        <v>976972</v>
      </c>
      <c r="S63" s="5" t="b">
        <f t="shared" si="22"/>
        <v>1</v>
      </c>
      <c r="T63" s="5"/>
      <c r="U63" s="5"/>
      <c r="V63" s="155"/>
      <c r="W63" s="155"/>
      <c r="X63" s="163"/>
      <c r="Y63" s="155"/>
      <c r="Z63" s="155"/>
      <c r="AA63" s="155"/>
      <c r="AB63" s="155"/>
      <c r="AC63" s="155">
        <f>J63-J62</f>
        <v>-29</v>
      </c>
      <c r="AD63" s="155"/>
      <c r="AE63" s="155"/>
      <c r="AF63" s="155"/>
      <c r="AG63" s="155"/>
      <c r="AH63" s="155"/>
      <c r="AI63" s="155"/>
      <c r="AJ63" s="155">
        <f>R63-R62</f>
        <v>53446</v>
      </c>
      <c r="AK63" s="158"/>
      <c r="AL63" s="159"/>
      <c r="AM63" s="439">
        <v>976972</v>
      </c>
      <c r="AN63" s="154" t="b">
        <f t="shared" si="3"/>
        <v>1</v>
      </c>
    </row>
    <row r="64" spans="1:40" s="156" customFormat="1" hidden="1" x14ac:dyDescent="0.2">
      <c r="A64" s="330">
        <f t="shared" si="18"/>
        <v>1</v>
      </c>
      <c r="B64" s="197">
        <v>41730</v>
      </c>
      <c r="C64" s="3">
        <v>41762</v>
      </c>
      <c r="D64" s="3">
        <v>10129</v>
      </c>
      <c r="E64" s="3">
        <v>64148</v>
      </c>
      <c r="F64" s="3">
        <v>3288</v>
      </c>
      <c r="G64" s="194">
        <v>144089</v>
      </c>
      <c r="H64" s="194">
        <v>55524</v>
      </c>
      <c r="I64" s="70">
        <v>171950</v>
      </c>
      <c r="J64" s="70">
        <v>492</v>
      </c>
      <c r="K64" s="70">
        <v>415666</v>
      </c>
      <c r="L64" s="70">
        <v>39128</v>
      </c>
      <c r="M64" s="3">
        <v>19526</v>
      </c>
      <c r="N64" s="70">
        <v>15093</v>
      </c>
      <c r="O64" s="3">
        <v>1559</v>
      </c>
      <c r="P64" s="3">
        <v>2467</v>
      </c>
      <c r="Q64" s="3">
        <v>24662</v>
      </c>
      <c r="R64" s="198">
        <f t="shared" si="16"/>
        <v>1009483</v>
      </c>
      <c r="S64" s="5" t="b">
        <f>R64=1009483</f>
        <v>1</v>
      </c>
      <c r="T64" s="5"/>
      <c r="U64" s="5"/>
      <c r="V64" s="155"/>
      <c r="W64" s="155"/>
      <c r="X64" s="155"/>
      <c r="Y64" s="155"/>
      <c r="Z64" s="155"/>
      <c r="AA64" s="155"/>
      <c r="AB64" s="155"/>
      <c r="AC64" s="155">
        <f>J64-J63</f>
        <v>-6</v>
      </c>
      <c r="AD64" s="155"/>
      <c r="AE64" s="155"/>
      <c r="AF64" s="155"/>
      <c r="AG64" s="155"/>
      <c r="AH64" s="155"/>
      <c r="AI64" s="155"/>
      <c r="AJ64" s="155">
        <f>R64-R63</f>
        <v>32511</v>
      </c>
      <c r="AK64" s="158"/>
      <c r="AL64" s="159"/>
      <c r="AM64" s="439">
        <v>1009483</v>
      </c>
      <c r="AN64" s="154" t="b">
        <f t="shared" si="3"/>
        <v>1</v>
      </c>
    </row>
    <row r="65" spans="1:40" s="156" customFormat="1" hidden="1" x14ac:dyDescent="0.2">
      <c r="A65" s="330">
        <f t="shared" si="18"/>
        <v>1</v>
      </c>
      <c r="B65" s="197">
        <v>41760</v>
      </c>
      <c r="C65" s="3">
        <v>41991</v>
      </c>
      <c r="D65" s="3">
        <v>10162</v>
      </c>
      <c r="E65" s="3">
        <v>64492</v>
      </c>
      <c r="F65" s="3">
        <v>3257</v>
      </c>
      <c r="G65" s="194">
        <v>145211</v>
      </c>
      <c r="H65" s="194">
        <v>54497</v>
      </c>
      <c r="I65" s="70">
        <v>176827</v>
      </c>
      <c r="J65" s="70">
        <v>488</v>
      </c>
      <c r="K65" s="70">
        <v>420786</v>
      </c>
      <c r="L65" s="70">
        <v>39624</v>
      </c>
      <c r="M65" s="3">
        <v>20168</v>
      </c>
      <c r="N65" s="70">
        <v>15086</v>
      </c>
      <c r="O65" s="3">
        <v>1549</v>
      </c>
      <c r="P65" s="3">
        <v>2487</v>
      </c>
      <c r="Q65" s="3">
        <v>25120</v>
      </c>
      <c r="R65" s="198">
        <f t="shared" si="16"/>
        <v>1021745</v>
      </c>
      <c r="S65" s="5" t="b">
        <f t="shared" si="22"/>
        <v>1</v>
      </c>
      <c r="T65" s="5"/>
      <c r="U65" s="5"/>
      <c r="V65" s="155"/>
      <c r="W65" s="155"/>
      <c r="X65" s="155"/>
      <c r="Y65" s="155"/>
      <c r="Z65" s="155"/>
      <c r="AA65" s="155"/>
      <c r="AB65" s="155"/>
      <c r="AC65" s="155">
        <f>J65-J64</f>
        <v>-4</v>
      </c>
      <c r="AD65" s="155"/>
      <c r="AE65" s="155"/>
      <c r="AF65" s="155"/>
      <c r="AG65" s="155"/>
      <c r="AH65" s="155"/>
      <c r="AI65" s="155"/>
      <c r="AJ65" s="155">
        <f>R65-R64</f>
        <v>12262</v>
      </c>
      <c r="AK65" s="158"/>
      <c r="AL65" s="159"/>
      <c r="AM65" s="439">
        <v>1021745</v>
      </c>
      <c r="AN65" s="154" t="b">
        <f t="shared" si="3"/>
        <v>1</v>
      </c>
    </row>
    <row r="66" spans="1:40" s="156" customFormat="1" hidden="1" x14ac:dyDescent="0.2">
      <c r="A66" s="330">
        <f t="shared" si="18"/>
        <v>1</v>
      </c>
      <c r="B66" s="197">
        <v>41791</v>
      </c>
      <c r="C66" s="3">
        <v>41564</v>
      </c>
      <c r="D66" s="3">
        <v>10263</v>
      </c>
      <c r="E66" s="3">
        <v>64968</v>
      </c>
      <c r="F66" s="3">
        <v>3186</v>
      </c>
      <c r="G66" s="194">
        <v>149545</v>
      </c>
      <c r="H66" s="194">
        <v>58549</v>
      </c>
      <c r="I66" s="70">
        <v>186802</v>
      </c>
      <c r="J66" s="70">
        <v>477</v>
      </c>
      <c r="K66" s="70">
        <v>425952</v>
      </c>
      <c r="L66" s="70">
        <v>40754</v>
      </c>
      <c r="M66" s="3">
        <v>20268</v>
      </c>
      <c r="N66" s="70">
        <v>15007</v>
      </c>
      <c r="O66" s="3">
        <v>1634</v>
      </c>
      <c r="P66" s="3">
        <v>2821</v>
      </c>
      <c r="Q66" s="3">
        <v>25676</v>
      </c>
      <c r="R66" s="198">
        <f t="shared" si="16"/>
        <v>1047466</v>
      </c>
      <c r="S66" s="5" t="b">
        <f t="shared" si="22"/>
        <v>1</v>
      </c>
      <c r="T66" s="5"/>
      <c r="U66" s="5"/>
      <c r="V66" s="155"/>
      <c r="W66" s="155"/>
      <c r="X66" s="155"/>
      <c r="Y66" s="155"/>
      <c r="Z66" s="155"/>
      <c r="AA66" s="155"/>
      <c r="AB66" s="155"/>
      <c r="AC66" s="155"/>
      <c r="AD66" s="155"/>
      <c r="AE66" s="155"/>
      <c r="AF66" s="155"/>
      <c r="AG66" s="155"/>
      <c r="AH66" s="155"/>
      <c r="AI66" s="155"/>
      <c r="AJ66" s="155">
        <f>R66-R65</f>
        <v>25721</v>
      </c>
      <c r="AK66" s="158"/>
      <c r="AL66" s="159"/>
      <c r="AM66" s="439">
        <v>1047466</v>
      </c>
      <c r="AN66" s="154" t="b">
        <f t="shared" si="3"/>
        <v>1</v>
      </c>
    </row>
    <row r="67" spans="1:40" s="156" customFormat="1" hidden="1" x14ac:dyDescent="0.2">
      <c r="A67" s="330">
        <f t="shared" si="18"/>
        <v>1</v>
      </c>
      <c r="B67" s="201" t="s">
        <v>133</v>
      </c>
      <c r="C67" s="8">
        <f>ROUND(AVERAGE(C55:C66),0)</f>
        <v>41836</v>
      </c>
      <c r="D67" s="8">
        <f t="shared" ref="D67:Q67" si="27">ROUND(AVERAGE(D55:D66),0)</f>
        <v>9853</v>
      </c>
      <c r="E67" s="8">
        <f t="shared" si="27"/>
        <v>64424</v>
      </c>
      <c r="F67" s="8">
        <f t="shared" si="27"/>
        <v>2560</v>
      </c>
      <c r="G67" s="8">
        <f t="shared" si="27"/>
        <v>124680</v>
      </c>
      <c r="H67" s="8">
        <f t="shared" si="27"/>
        <v>47082</v>
      </c>
      <c r="I67" s="8">
        <f>ROUND(AVERAGE(I55:I66),0)</f>
        <v>87243</v>
      </c>
      <c r="J67" s="8">
        <f>ROUND(AVERAGE(J55:J66),0)</f>
        <v>559</v>
      </c>
      <c r="K67" s="8">
        <f>ROUND(AVERAGE(K55:K66),0)</f>
        <v>399032</v>
      </c>
      <c r="L67" s="8">
        <f t="shared" si="27"/>
        <v>25345</v>
      </c>
      <c r="M67" s="8">
        <f t="shared" si="27"/>
        <v>18267</v>
      </c>
      <c r="N67" s="8">
        <f t="shared" si="27"/>
        <v>13160</v>
      </c>
      <c r="O67" s="8">
        <f t="shared" si="27"/>
        <v>1057</v>
      </c>
      <c r="P67" s="8">
        <f t="shared" si="27"/>
        <v>2481</v>
      </c>
      <c r="Q67" s="8">
        <f t="shared" si="27"/>
        <v>23378</v>
      </c>
      <c r="R67" s="202">
        <f t="shared" si="16"/>
        <v>860957</v>
      </c>
      <c r="S67" s="5" t="b">
        <f>R67=SUM(C67:Q67)</f>
        <v>1</v>
      </c>
      <c r="T67" s="5"/>
      <c r="U67" s="5"/>
      <c r="V67" s="155"/>
      <c r="W67" s="155"/>
      <c r="X67" s="155"/>
      <c r="Y67" s="155"/>
      <c r="Z67" s="155"/>
      <c r="AA67" s="155"/>
      <c r="AB67" s="155"/>
      <c r="AC67" s="155"/>
      <c r="AD67" s="155"/>
      <c r="AE67" s="155"/>
      <c r="AF67" s="155"/>
      <c r="AG67" s="155"/>
      <c r="AH67" s="155"/>
      <c r="AI67" s="155"/>
      <c r="AJ67" s="155">
        <f>ROUND(AVERAGE(AJ55:AJ66),0)</f>
        <v>26533</v>
      </c>
      <c r="AK67" s="158"/>
      <c r="AL67" s="159"/>
      <c r="AM67" s="439">
        <v>858697</v>
      </c>
      <c r="AN67" s="154" t="b">
        <f t="shared" si="3"/>
        <v>0</v>
      </c>
    </row>
    <row r="68" spans="1:40" s="156" customFormat="1" x14ac:dyDescent="0.2">
      <c r="A68" s="330">
        <f t="shared" si="18"/>
        <v>1</v>
      </c>
      <c r="B68" s="203">
        <v>41821</v>
      </c>
      <c r="C68" s="192">
        <v>41551</v>
      </c>
      <c r="D68" s="192">
        <v>10346</v>
      </c>
      <c r="E68" s="192">
        <v>65459</v>
      </c>
      <c r="F68" s="192">
        <v>3065</v>
      </c>
      <c r="G68" s="192">
        <v>153837</v>
      </c>
      <c r="H68" s="192">
        <v>60981</v>
      </c>
      <c r="I68" s="192">
        <v>194454</v>
      </c>
      <c r="J68" s="192">
        <v>472</v>
      </c>
      <c r="K68" s="193">
        <v>431203</v>
      </c>
      <c r="L68" s="193">
        <v>41550</v>
      </c>
      <c r="M68" s="192">
        <v>20190</v>
      </c>
      <c r="N68" s="192">
        <v>15038</v>
      </c>
      <c r="O68" s="192">
        <v>1672</v>
      </c>
      <c r="P68" s="192">
        <v>2551</v>
      </c>
      <c r="Q68" s="192">
        <v>25963</v>
      </c>
      <c r="R68" s="204">
        <v>1068332</v>
      </c>
      <c r="S68" s="5"/>
      <c r="T68" s="5"/>
      <c r="U68" s="5"/>
      <c r="V68" s="155"/>
      <c r="W68" s="155"/>
      <c r="X68" s="155"/>
      <c r="Y68" s="155"/>
      <c r="Z68" s="155"/>
      <c r="AA68" s="155"/>
      <c r="AB68" s="155"/>
      <c r="AC68" s="155"/>
      <c r="AD68" s="155"/>
      <c r="AE68" s="155"/>
      <c r="AF68" s="155"/>
      <c r="AG68" s="155"/>
      <c r="AH68" s="155"/>
      <c r="AI68" s="155"/>
      <c r="AJ68" s="155"/>
      <c r="AK68" s="155"/>
      <c r="AL68" s="159"/>
      <c r="AM68" s="439"/>
      <c r="AN68" s="440"/>
    </row>
    <row r="69" spans="1:40" s="156" customFormat="1" x14ac:dyDescent="0.2">
      <c r="A69" s="330">
        <f t="shared" si="18"/>
        <v>1</v>
      </c>
      <c r="B69" s="197">
        <v>41852</v>
      </c>
      <c r="C69" s="3">
        <v>42513</v>
      </c>
      <c r="D69" s="3">
        <v>10350</v>
      </c>
      <c r="E69" s="3">
        <v>65785</v>
      </c>
      <c r="F69" s="3">
        <v>2971</v>
      </c>
      <c r="G69" s="3">
        <v>156343</v>
      </c>
      <c r="H69" s="3">
        <v>62711</v>
      </c>
      <c r="I69" s="3">
        <v>202825</v>
      </c>
      <c r="J69" s="3">
        <v>463</v>
      </c>
      <c r="K69" s="70">
        <v>436077</v>
      </c>
      <c r="L69" s="70">
        <v>42750</v>
      </c>
      <c r="M69" s="3">
        <v>20213</v>
      </c>
      <c r="N69" s="3">
        <v>15436</v>
      </c>
      <c r="O69" s="3">
        <v>1800</v>
      </c>
      <c r="P69" s="3">
        <v>2494</v>
      </c>
      <c r="Q69" s="3">
        <v>26347</v>
      </c>
      <c r="R69" s="198">
        <v>1089078</v>
      </c>
      <c r="S69" s="5"/>
      <c r="T69" s="5"/>
      <c r="U69" s="5"/>
      <c r="V69" s="155"/>
      <c r="W69" s="155"/>
      <c r="X69" s="155"/>
      <c r="Y69" s="155"/>
      <c r="Z69" s="155"/>
      <c r="AA69" s="155"/>
      <c r="AB69" s="155"/>
      <c r="AC69" s="155"/>
      <c r="AD69" s="155"/>
      <c r="AE69" s="155"/>
      <c r="AF69" s="155"/>
      <c r="AG69" s="155"/>
      <c r="AH69" s="155"/>
      <c r="AI69" s="155"/>
      <c r="AJ69" s="155"/>
      <c r="AK69" s="155"/>
      <c r="AL69" s="159"/>
      <c r="AM69" s="440"/>
      <c r="AN69" s="440"/>
    </row>
    <row r="70" spans="1:40" s="156" customFormat="1" x14ac:dyDescent="0.2">
      <c r="A70" s="330">
        <f t="shared" si="18"/>
        <v>1</v>
      </c>
      <c r="B70" s="197">
        <v>41883</v>
      </c>
      <c r="C70" s="3">
        <v>42643</v>
      </c>
      <c r="D70" s="3">
        <v>10362</v>
      </c>
      <c r="E70" s="3">
        <v>66054</v>
      </c>
      <c r="F70" s="3">
        <v>2925</v>
      </c>
      <c r="G70" s="3">
        <v>159740</v>
      </c>
      <c r="H70" s="3">
        <v>63847</v>
      </c>
      <c r="I70" s="3">
        <v>210970</v>
      </c>
      <c r="J70" s="3">
        <v>439</v>
      </c>
      <c r="K70" s="70">
        <v>438991</v>
      </c>
      <c r="L70" s="70">
        <v>44001</v>
      </c>
      <c r="M70" s="3">
        <v>20124</v>
      </c>
      <c r="N70" s="3">
        <v>15386</v>
      </c>
      <c r="O70" s="3">
        <v>1854</v>
      </c>
      <c r="P70" s="3">
        <v>2474</v>
      </c>
      <c r="Q70" s="3">
        <v>26787</v>
      </c>
      <c r="R70" s="198">
        <v>1106597</v>
      </c>
      <c r="S70" s="5"/>
      <c r="T70" s="5"/>
      <c r="U70" s="5"/>
      <c r="V70" s="155"/>
      <c r="W70" s="155"/>
      <c r="X70" s="155"/>
      <c r="Y70" s="155"/>
      <c r="Z70" s="155"/>
      <c r="AA70" s="155"/>
      <c r="AB70" s="155"/>
      <c r="AC70" s="155"/>
      <c r="AD70" s="155"/>
      <c r="AE70" s="155"/>
      <c r="AF70" s="155"/>
      <c r="AG70" s="155"/>
      <c r="AH70" s="155"/>
      <c r="AI70" s="155"/>
      <c r="AJ70" s="155"/>
      <c r="AK70" s="155"/>
      <c r="AL70" s="159"/>
      <c r="AM70" s="440"/>
      <c r="AN70" s="440"/>
    </row>
    <row r="71" spans="1:40" s="156" customFormat="1" x14ac:dyDescent="0.2">
      <c r="A71" s="330">
        <f t="shared" si="18"/>
        <v>1</v>
      </c>
      <c r="B71" s="197">
        <v>41913</v>
      </c>
      <c r="C71" s="3">
        <v>41763</v>
      </c>
      <c r="D71" s="3">
        <v>10355</v>
      </c>
      <c r="E71" s="3">
        <v>66009</v>
      </c>
      <c r="F71" s="3">
        <v>2927</v>
      </c>
      <c r="G71" s="3">
        <v>160707</v>
      </c>
      <c r="H71" s="3">
        <v>65552</v>
      </c>
      <c r="I71" s="3">
        <v>218403</v>
      </c>
      <c r="J71" s="3">
        <v>424</v>
      </c>
      <c r="K71" s="70">
        <v>442075</v>
      </c>
      <c r="L71" s="70">
        <v>45249</v>
      </c>
      <c r="M71" s="3">
        <v>20187</v>
      </c>
      <c r="N71" s="3">
        <v>14938</v>
      </c>
      <c r="O71" s="3">
        <v>1769</v>
      </c>
      <c r="P71" s="3">
        <v>2533</v>
      </c>
      <c r="Q71" s="3">
        <v>27229</v>
      </c>
      <c r="R71" s="198">
        <v>1120120</v>
      </c>
      <c r="S71" s="5"/>
      <c r="T71" s="5"/>
      <c r="U71" s="5"/>
      <c r="V71" s="155"/>
      <c r="W71" s="155"/>
      <c r="X71" s="155"/>
      <c r="Y71" s="155"/>
      <c r="Z71" s="155"/>
      <c r="AA71" s="155"/>
      <c r="AB71" s="155"/>
      <c r="AC71" s="155"/>
      <c r="AD71" s="155"/>
      <c r="AE71" s="155"/>
      <c r="AF71" s="155"/>
      <c r="AG71" s="155"/>
      <c r="AH71" s="155"/>
      <c r="AI71" s="155"/>
      <c r="AJ71" s="155"/>
      <c r="AK71" s="155"/>
      <c r="AL71" s="159"/>
      <c r="AM71" s="440"/>
      <c r="AN71" s="440"/>
    </row>
    <row r="72" spans="1:40" s="156" customFormat="1" x14ac:dyDescent="0.2">
      <c r="A72" s="330">
        <f t="shared" si="18"/>
        <v>1</v>
      </c>
      <c r="B72" s="197">
        <v>41944</v>
      </c>
      <c r="C72" s="3">
        <v>41918</v>
      </c>
      <c r="D72" s="3">
        <v>10341</v>
      </c>
      <c r="E72" s="3">
        <v>66343</v>
      </c>
      <c r="F72" s="3">
        <v>3023</v>
      </c>
      <c r="G72" s="3">
        <v>158375</v>
      </c>
      <c r="H72" s="3">
        <v>66811</v>
      </c>
      <c r="I72" s="3">
        <v>222465</v>
      </c>
      <c r="J72" s="3">
        <v>425</v>
      </c>
      <c r="K72" s="70">
        <v>442141</v>
      </c>
      <c r="L72" s="70">
        <v>46654</v>
      </c>
      <c r="M72" s="3">
        <v>20140</v>
      </c>
      <c r="N72" s="3">
        <v>14691</v>
      </c>
      <c r="O72" s="3">
        <v>1733</v>
      </c>
      <c r="P72" s="3">
        <v>2444</v>
      </c>
      <c r="Q72" s="3">
        <v>27601</v>
      </c>
      <c r="R72" s="198">
        <v>1125105</v>
      </c>
      <c r="S72" s="5"/>
      <c r="T72" s="5"/>
      <c r="U72" s="5"/>
      <c r="V72" s="155"/>
      <c r="W72" s="155"/>
      <c r="X72" s="155"/>
      <c r="Y72" s="155"/>
      <c r="Z72" s="155"/>
      <c r="AA72" s="155"/>
      <c r="AB72" s="155"/>
      <c r="AC72" s="155"/>
      <c r="AD72" s="155"/>
      <c r="AE72" s="155"/>
      <c r="AF72" s="155"/>
      <c r="AG72" s="155"/>
      <c r="AH72" s="155"/>
      <c r="AI72" s="155"/>
      <c r="AJ72" s="155"/>
      <c r="AK72" s="155"/>
      <c r="AL72" s="159"/>
      <c r="AM72" s="440"/>
      <c r="AN72" s="440"/>
    </row>
    <row r="73" spans="1:40" s="156" customFormat="1" x14ac:dyDescent="0.2">
      <c r="A73" s="330">
        <f t="shared" si="18"/>
        <v>1</v>
      </c>
      <c r="B73" s="197">
        <v>41974</v>
      </c>
      <c r="C73" s="3">
        <v>41927</v>
      </c>
      <c r="D73" s="3">
        <v>10404</v>
      </c>
      <c r="E73" s="3">
        <v>66441</v>
      </c>
      <c r="F73" s="3">
        <v>3556</v>
      </c>
      <c r="G73" s="3">
        <v>162727</v>
      </c>
      <c r="H73" s="3">
        <v>70288</v>
      </c>
      <c r="I73" s="3">
        <v>237045</v>
      </c>
      <c r="J73" s="3">
        <v>396</v>
      </c>
      <c r="K73" s="70">
        <v>446354</v>
      </c>
      <c r="L73" s="70">
        <v>47275</v>
      </c>
      <c r="M73" s="3">
        <v>20056</v>
      </c>
      <c r="N73" s="3">
        <v>14542</v>
      </c>
      <c r="O73" s="3">
        <v>1675</v>
      </c>
      <c r="P73" s="3">
        <v>2541</v>
      </c>
      <c r="Q73" s="3">
        <v>27944</v>
      </c>
      <c r="R73" s="198">
        <v>1153171</v>
      </c>
      <c r="S73" s="5"/>
      <c r="T73" s="5"/>
      <c r="U73" s="5"/>
      <c r="V73" s="155"/>
      <c r="W73" s="155"/>
      <c r="X73" s="155"/>
      <c r="Y73" s="155"/>
      <c r="Z73" s="155"/>
      <c r="AA73" s="155"/>
      <c r="AB73" s="155"/>
      <c r="AC73" s="155"/>
      <c r="AD73" s="155"/>
      <c r="AE73" s="155"/>
      <c r="AF73" s="155"/>
      <c r="AG73" s="155"/>
      <c r="AH73" s="155"/>
      <c r="AI73" s="155"/>
      <c r="AJ73" s="155"/>
      <c r="AK73" s="155"/>
      <c r="AL73" s="159"/>
      <c r="AM73" s="440"/>
      <c r="AN73" s="440"/>
    </row>
    <row r="74" spans="1:40" s="156" customFormat="1" x14ac:dyDescent="0.2">
      <c r="A74" s="330">
        <f t="shared" si="18"/>
        <v>1</v>
      </c>
      <c r="B74" s="197">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198">
        <v>1172532</v>
      </c>
      <c r="S74" s="5"/>
      <c r="T74" s="5"/>
      <c r="U74" s="5"/>
      <c r="V74" s="155"/>
      <c r="W74" s="155"/>
      <c r="X74" s="155"/>
      <c r="Y74" s="155"/>
      <c r="Z74" s="155"/>
      <c r="AA74" s="155"/>
      <c r="AB74" s="155"/>
      <c r="AC74" s="155"/>
      <c r="AD74" s="155"/>
      <c r="AE74" s="155"/>
      <c r="AF74" s="155"/>
      <c r="AG74" s="155"/>
      <c r="AH74" s="155"/>
      <c r="AI74" s="155"/>
      <c r="AJ74" s="155"/>
      <c r="AK74" s="155"/>
      <c r="AL74" s="159"/>
      <c r="AM74" s="440"/>
      <c r="AN74" s="440"/>
    </row>
    <row r="75" spans="1:40" s="156" customFormat="1" x14ac:dyDescent="0.2">
      <c r="A75" s="330">
        <f t="shared" si="18"/>
        <v>1</v>
      </c>
      <c r="B75" s="197">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198">
        <v>1194129</v>
      </c>
      <c r="S75" s="5"/>
      <c r="T75" s="5"/>
      <c r="U75" s="5"/>
      <c r="V75" s="155"/>
      <c r="W75" s="155"/>
      <c r="X75" s="155"/>
      <c r="Y75" s="155"/>
      <c r="Z75" s="155"/>
      <c r="AA75" s="155"/>
      <c r="AB75" s="155"/>
      <c r="AC75" s="155"/>
      <c r="AD75" s="155"/>
      <c r="AE75" s="155"/>
      <c r="AF75" s="155"/>
      <c r="AG75" s="155"/>
      <c r="AH75" s="155"/>
      <c r="AI75" s="155"/>
      <c r="AJ75" s="155"/>
      <c r="AK75" s="155"/>
      <c r="AL75" s="159"/>
      <c r="AM75" s="440"/>
      <c r="AN75" s="440"/>
    </row>
    <row r="76" spans="1:40" s="156" customFormat="1" x14ac:dyDescent="0.2">
      <c r="A76" s="330">
        <f t="shared" si="18"/>
        <v>1</v>
      </c>
      <c r="B76" s="197">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198">
        <v>1209912</v>
      </c>
      <c r="S76" s="5"/>
      <c r="T76" s="5"/>
      <c r="U76" s="5"/>
      <c r="V76" s="155"/>
      <c r="W76" s="155"/>
      <c r="X76" s="155"/>
      <c r="Y76" s="155"/>
      <c r="Z76" s="155"/>
      <c r="AA76" s="155"/>
      <c r="AB76" s="155"/>
      <c r="AC76" s="155"/>
      <c r="AD76" s="155"/>
      <c r="AE76" s="155"/>
      <c r="AF76" s="155"/>
      <c r="AG76" s="155"/>
      <c r="AH76" s="155"/>
      <c r="AI76" s="155"/>
      <c r="AJ76" s="155"/>
      <c r="AK76" s="155"/>
      <c r="AL76" s="158"/>
      <c r="AM76" s="440"/>
      <c r="AN76" s="440"/>
    </row>
    <row r="77" spans="1:40" s="156" customFormat="1" x14ac:dyDescent="0.2">
      <c r="A77" s="330">
        <f t="shared" si="18"/>
        <v>1</v>
      </c>
      <c r="B77" s="197">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198">
        <v>1221991</v>
      </c>
      <c r="S77" s="5"/>
      <c r="T77" s="5"/>
      <c r="U77" s="5"/>
      <c r="V77" s="155"/>
      <c r="W77" s="155"/>
      <c r="X77" s="155"/>
      <c r="Y77" s="155"/>
      <c r="Z77" s="155"/>
      <c r="AA77" s="155"/>
      <c r="AB77" s="155"/>
      <c r="AC77" s="155"/>
      <c r="AD77" s="155"/>
      <c r="AE77" s="155"/>
      <c r="AF77" s="155"/>
      <c r="AG77" s="155"/>
      <c r="AH77" s="155"/>
      <c r="AI77" s="155"/>
      <c r="AJ77" s="155"/>
      <c r="AK77" s="155"/>
      <c r="AL77" s="158"/>
      <c r="AM77" s="440"/>
      <c r="AN77" s="440"/>
    </row>
    <row r="78" spans="1:40" s="156" customFormat="1" x14ac:dyDescent="0.2">
      <c r="A78" s="330">
        <f t="shared" si="18"/>
        <v>1</v>
      </c>
      <c r="B78" s="197">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198">
        <v>1232065</v>
      </c>
      <c r="S78" s="5"/>
      <c r="T78" s="441"/>
      <c r="U78" s="5"/>
      <c r="V78" s="155"/>
      <c r="W78" s="155"/>
      <c r="X78" s="155"/>
      <c r="Y78" s="155"/>
      <c r="Z78" s="155"/>
      <c r="AA78" s="155"/>
      <c r="AB78" s="155"/>
      <c r="AC78" s="155"/>
      <c r="AD78" s="155"/>
      <c r="AE78" s="155"/>
      <c r="AF78" s="155"/>
      <c r="AG78" s="155"/>
      <c r="AH78" s="155"/>
      <c r="AI78" s="155"/>
      <c r="AJ78" s="155"/>
      <c r="AK78" s="155"/>
      <c r="AL78" s="158"/>
      <c r="AM78" s="440"/>
      <c r="AN78" s="440"/>
    </row>
    <row r="79" spans="1:40" s="156" customFormat="1" x14ac:dyDescent="0.2">
      <c r="A79" s="330">
        <f t="shared" si="18"/>
        <v>1</v>
      </c>
      <c r="B79" s="197">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198">
        <v>1241434</v>
      </c>
      <c r="S79" s="5"/>
      <c r="T79" s="441"/>
      <c r="U79" s="5"/>
      <c r="V79" s="155"/>
      <c r="W79" s="155"/>
      <c r="X79" s="155"/>
      <c r="Y79" s="155"/>
      <c r="Z79" s="155"/>
      <c r="AA79" s="155"/>
      <c r="AB79" s="155"/>
      <c r="AC79" s="155"/>
      <c r="AD79" s="155"/>
      <c r="AE79" s="155"/>
      <c r="AF79" s="155"/>
      <c r="AG79" s="155"/>
      <c r="AH79" s="155"/>
      <c r="AI79" s="155"/>
      <c r="AJ79" s="155"/>
      <c r="AK79" s="155"/>
      <c r="AL79" s="159"/>
      <c r="AM79" s="440"/>
      <c r="AN79" s="440"/>
    </row>
    <row r="80" spans="1:40" s="156" customFormat="1" x14ac:dyDescent="0.2">
      <c r="A80" s="330">
        <f t="shared" si="18"/>
        <v>1</v>
      </c>
      <c r="B80" s="201" t="s">
        <v>257</v>
      </c>
      <c r="C80" s="8">
        <v>41817</v>
      </c>
      <c r="D80" s="8">
        <v>10466</v>
      </c>
      <c r="E80" s="8">
        <v>66548</v>
      </c>
      <c r="F80" s="8">
        <v>3627</v>
      </c>
      <c r="G80" s="8">
        <v>161682</v>
      </c>
      <c r="H80" s="8">
        <v>71989</v>
      </c>
      <c r="I80" s="8">
        <v>241392</v>
      </c>
      <c r="J80" s="8">
        <v>400</v>
      </c>
      <c r="K80" s="8">
        <v>445723</v>
      </c>
      <c r="L80" s="8">
        <v>50113</v>
      </c>
      <c r="M80" s="8">
        <v>20036</v>
      </c>
      <c r="N80" s="8">
        <v>14897</v>
      </c>
      <c r="O80" s="8">
        <v>1749</v>
      </c>
      <c r="P80" s="8">
        <v>2722</v>
      </c>
      <c r="Q80" s="8">
        <v>28045</v>
      </c>
      <c r="R80" s="202">
        <v>1161206</v>
      </c>
      <c r="S80" s="5"/>
      <c r="T80" s="441"/>
      <c r="U80" s="5"/>
      <c r="V80" s="155"/>
      <c r="W80" s="155"/>
      <c r="X80" s="155"/>
      <c r="Y80" s="155"/>
      <c r="Z80" s="155"/>
      <c r="AA80" s="155"/>
      <c r="AB80" s="155"/>
      <c r="AC80" s="155"/>
      <c r="AD80" s="155"/>
      <c r="AE80" s="155"/>
      <c r="AF80" s="155"/>
      <c r="AG80" s="155"/>
      <c r="AH80" s="155"/>
      <c r="AI80" s="155"/>
      <c r="AJ80" s="155"/>
      <c r="AK80" s="155"/>
      <c r="AL80" s="159"/>
      <c r="AM80" s="440"/>
      <c r="AN80" s="440"/>
    </row>
    <row r="81" spans="1:40" s="156" customFormat="1" x14ac:dyDescent="0.2">
      <c r="A81" s="330">
        <f t="shared" si="18"/>
        <v>1</v>
      </c>
      <c r="B81" s="197">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198">
        <v>1247541</v>
      </c>
      <c r="S81" s="5"/>
      <c r="T81" s="442"/>
      <c r="U81" s="5"/>
      <c r="V81" s="155"/>
      <c r="W81" s="155"/>
      <c r="X81" s="155"/>
      <c r="Y81" s="155"/>
      <c r="Z81" s="155"/>
      <c r="AA81" s="155"/>
      <c r="AB81" s="155"/>
      <c r="AC81" s="155"/>
      <c r="AD81" s="155"/>
      <c r="AE81" s="155"/>
      <c r="AF81" s="155"/>
      <c r="AG81" s="155"/>
      <c r="AH81" s="155"/>
      <c r="AI81" s="155"/>
      <c r="AJ81" s="155"/>
      <c r="AK81" s="155"/>
      <c r="AL81" s="159"/>
      <c r="AM81" s="440"/>
      <c r="AN81" s="440"/>
    </row>
    <row r="82" spans="1:40" s="156" customFormat="1" x14ac:dyDescent="0.2">
      <c r="A82" s="330">
        <f t="shared" si="18"/>
        <v>1</v>
      </c>
      <c r="B82" s="197">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198">
        <v>1261268</v>
      </c>
      <c r="S82" s="5"/>
      <c r="T82" s="442"/>
      <c r="U82" s="5"/>
      <c r="V82" s="155"/>
      <c r="W82" s="155"/>
      <c r="X82" s="155"/>
      <c r="Y82" s="155"/>
      <c r="Z82" s="155"/>
      <c r="AA82" s="155"/>
      <c r="AB82" s="155"/>
      <c r="AC82" s="155"/>
      <c r="AD82" s="155"/>
      <c r="AE82" s="155"/>
      <c r="AF82" s="155"/>
      <c r="AG82" s="155"/>
      <c r="AH82" s="155"/>
      <c r="AI82" s="155"/>
      <c r="AJ82" s="155"/>
      <c r="AK82" s="155"/>
      <c r="AL82" s="159"/>
      <c r="AM82" s="440"/>
      <c r="AN82" s="440"/>
    </row>
    <row r="83" spans="1:40" s="156" customFormat="1" x14ac:dyDescent="0.2">
      <c r="A83" s="330">
        <f t="shared" si="18"/>
        <v>1</v>
      </c>
      <c r="B83" s="197">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198">
        <v>1269735</v>
      </c>
      <c r="S83" s="5"/>
      <c r="T83" s="442"/>
      <c r="U83" s="5"/>
      <c r="V83" s="155"/>
      <c r="W83" s="155"/>
      <c r="X83" s="155"/>
      <c r="Y83" s="155"/>
      <c r="Z83" s="155"/>
      <c r="AA83" s="155"/>
      <c r="AB83" s="155"/>
      <c r="AC83" s="155"/>
      <c r="AD83" s="155"/>
      <c r="AE83" s="155"/>
      <c r="AF83" s="155"/>
      <c r="AG83" s="155"/>
      <c r="AH83" s="155"/>
      <c r="AI83" s="155"/>
      <c r="AJ83" s="155"/>
      <c r="AK83" s="155"/>
      <c r="AL83" s="159"/>
      <c r="AM83" s="440"/>
      <c r="AN83" s="440"/>
    </row>
    <row r="84" spans="1:40" s="156" customFormat="1" x14ac:dyDescent="0.2">
      <c r="A84" s="330">
        <f t="shared" si="18"/>
        <v>1</v>
      </c>
      <c r="B84" s="197">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198">
        <v>1272951</v>
      </c>
      <c r="S84" s="5"/>
      <c r="T84" s="442"/>
      <c r="U84" s="5"/>
      <c r="V84" s="155"/>
      <c r="W84" s="155"/>
      <c r="X84" s="155"/>
      <c r="Y84" s="155"/>
      <c r="Z84" s="155"/>
      <c r="AA84" s="155"/>
      <c r="AB84" s="155"/>
      <c r="AC84" s="155"/>
      <c r="AD84" s="155"/>
      <c r="AE84" s="155"/>
      <c r="AF84" s="155"/>
      <c r="AG84" s="155"/>
      <c r="AH84" s="155"/>
      <c r="AI84" s="155"/>
      <c r="AJ84" s="155"/>
      <c r="AK84" s="155"/>
      <c r="AL84" s="159"/>
      <c r="AM84" s="440"/>
      <c r="AN84" s="440"/>
    </row>
    <row r="85" spans="1:40" s="156" customFormat="1" x14ac:dyDescent="0.2">
      <c r="A85" s="330">
        <f t="shared" si="18"/>
        <v>1</v>
      </c>
      <c r="B85" s="197">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198">
        <v>1283903</v>
      </c>
      <c r="S85" s="5"/>
      <c r="T85" s="442"/>
      <c r="U85" s="5"/>
      <c r="V85" s="155"/>
      <c r="W85" s="155"/>
      <c r="X85" s="155"/>
      <c r="Y85" s="155"/>
      <c r="Z85" s="155"/>
      <c r="AA85" s="155"/>
      <c r="AB85" s="155"/>
      <c r="AC85" s="155"/>
      <c r="AD85" s="155"/>
      <c r="AE85" s="155"/>
      <c r="AF85" s="155"/>
      <c r="AG85" s="155"/>
      <c r="AH85" s="155"/>
      <c r="AI85" s="155"/>
      <c r="AJ85" s="155"/>
      <c r="AK85" s="155"/>
      <c r="AL85" s="159"/>
      <c r="AM85" s="440"/>
      <c r="AN85" s="440"/>
    </row>
    <row r="86" spans="1:40" s="156" customFormat="1" x14ac:dyDescent="0.2">
      <c r="A86" s="330">
        <f t="shared" si="18"/>
        <v>1</v>
      </c>
      <c r="B86" s="197">
        <v>42339</v>
      </c>
      <c r="C86" s="3">
        <v>42628</v>
      </c>
      <c r="D86" s="3">
        <v>10451</v>
      </c>
      <c r="E86" s="3">
        <v>68813</v>
      </c>
      <c r="F86" s="3">
        <v>5717</v>
      </c>
      <c r="G86" s="3">
        <v>163088</v>
      </c>
      <c r="H86" s="3">
        <v>87548</v>
      </c>
      <c r="I86" s="3">
        <v>320093</v>
      </c>
      <c r="J86" s="3">
        <v>318</v>
      </c>
      <c r="K86" s="3">
        <v>469009</v>
      </c>
      <c r="L86" s="3">
        <v>59867</v>
      </c>
      <c r="M86" s="3">
        <v>19975</v>
      </c>
      <c r="N86" s="3">
        <v>14252</v>
      </c>
      <c r="O86" s="3">
        <v>1846</v>
      </c>
      <c r="P86" s="3">
        <v>2616</v>
      </c>
      <c r="Q86" s="3">
        <v>32143</v>
      </c>
      <c r="R86" s="198">
        <v>1298364</v>
      </c>
      <c r="S86" s="5"/>
      <c r="T86" s="442"/>
      <c r="U86" s="5"/>
      <c r="V86" s="155"/>
      <c r="W86" s="155"/>
      <c r="X86" s="155"/>
      <c r="Y86" s="155"/>
      <c r="Z86" s="155"/>
      <c r="AA86" s="155"/>
      <c r="AB86" s="155"/>
      <c r="AC86" s="155"/>
      <c r="AD86" s="155"/>
      <c r="AE86" s="155"/>
      <c r="AF86" s="155"/>
      <c r="AG86" s="155"/>
      <c r="AH86" s="155"/>
      <c r="AI86" s="155"/>
      <c r="AJ86" s="155"/>
      <c r="AK86" s="155"/>
      <c r="AL86" s="159"/>
      <c r="AM86" s="440"/>
      <c r="AN86" s="440"/>
    </row>
    <row r="87" spans="1:40" s="156" customFormat="1" x14ac:dyDescent="0.2">
      <c r="A87" s="330">
        <f t="shared" si="18"/>
        <v>1</v>
      </c>
      <c r="B87" s="197">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198">
        <v>1308021</v>
      </c>
      <c r="S87" s="5"/>
      <c r="T87" s="442"/>
      <c r="U87" s="5"/>
      <c r="V87" s="155"/>
      <c r="W87" s="155"/>
      <c r="X87" s="155"/>
      <c r="Y87" s="155"/>
      <c r="Z87" s="155"/>
      <c r="AA87" s="155"/>
      <c r="AB87" s="155"/>
      <c r="AC87" s="155"/>
      <c r="AD87" s="155"/>
      <c r="AE87" s="155"/>
      <c r="AF87" s="155"/>
      <c r="AG87" s="155"/>
      <c r="AH87" s="155"/>
      <c r="AI87" s="155"/>
      <c r="AJ87" s="155"/>
      <c r="AK87" s="155"/>
      <c r="AL87" s="159"/>
      <c r="AM87" s="440"/>
      <c r="AN87" s="440"/>
    </row>
    <row r="88" spans="1:40" s="156" customFormat="1" x14ac:dyDescent="0.2">
      <c r="A88" s="330">
        <f t="shared" si="18"/>
        <v>1</v>
      </c>
      <c r="B88" s="197">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198">
        <v>1313386</v>
      </c>
      <c r="S88" s="5"/>
      <c r="T88" s="442"/>
      <c r="U88" s="5"/>
      <c r="V88" s="155"/>
      <c r="W88" s="155"/>
      <c r="X88" s="155"/>
      <c r="Y88" s="155"/>
      <c r="Z88" s="155"/>
      <c r="AA88" s="155"/>
      <c r="AB88" s="155"/>
      <c r="AC88" s="155"/>
      <c r="AD88" s="155"/>
      <c r="AE88" s="155"/>
      <c r="AF88" s="155"/>
      <c r="AG88" s="155"/>
      <c r="AH88" s="155"/>
      <c r="AI88" s="155"/>
      <c r="AJ88" s="155"/>
      <c r="AK88" s="155"/>
      <c r="AL88" s="159"/>
      <c r="AM88" s="440"/>
      <c r="AN88" s="440"/>
    </row>
    <row r="89" spans="1:40" s="156" customFormat="1" x14ac:dyDescent="0.2">
      <c r="A89" s="330">
        <f t="shared" si="18"/>
        <v>1</v>
      </c>
      <c r="B89" s="197">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198">
        <v>1321725</v>
      </c>
      <c r="S89" s="5"/>
      <c r="T89" s="442"/>
      <c r="U89" s="5"/>
      <c r="V89" s="155"/>
      <c r="W89" s="155"/>
      <c r="X89" s="155"/>
      <c r="Y89" s="155"/>
      <c r="Z89" s="155"/>
      <c r="AA89" s="155"/>
      <c r="AB89" s="155"/>
      <c r="AC89" s="155"/>
      <c r="AD89" s="155"/>
      <c r="AE89" s="155"/>
      <c r="AF89" s="155"/>
      <c r="AG89" s="155"/>
      <c r="AH89" s="155"/>
      <c r="AI89" s="155"/>
      <c r="AJ89" s="155"/>
      <c r="AK89" s="155"/>
      <c r="AL89" s="159"/>
      <c r="AM89" s="440"/>
      <c r="AN89" s="440"/>
    </row>
    <row r="90" spans="1:40" s="156" customFormat="1" x14ac:dyDescent="0.2">
      <c r="A90" s="330">
        <f t="shared" si="18"/>
        <v>1</v>
      </c>
      <c r="B90" s="197">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198">
        <v>1326889</v>
      </c>
      <c r="S90" s="5"/>
      <c r="T90" s="442"/>
      <c r="U90" s="5"/>
      <c r="V90" s="155"/>
      <c r="W90" s="155"/>
      <c r="X90" s="155"/>
      <c r="Y90" s="155"/>
      <c r="Z90" s="155"/>
      <c r="AA90" s="155"/>
      <c r="AB90" s="155"/>
      <c r="AC90" s="155"/>
      <c r="AD90" s="155"/>
      <c r="AE90" s="155"/>
      <c r="AF90" s="155"/>
      <c r="AG90" s="155"/>
      <c r="AH90" s="155"/>
      <c r="AI90" s="155"/>
      <c r="AJ90" s="155"/>
      <c r="AK90" s="155"/>
      <c r="AL90" s="159"/>
      <c r="AM90" s="440"/>
      <c r="AN90" s="440"/>
    </row>
    <row r="91" spans="1:40" s="156" customFormat="1" x14ac:dyDescent="0.2">
      <c r="A91" s="330">
        <f t="shared" si="18"/>
        <v>1</v>
      </c>
      <c r="B91" s="197">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198">
        <v>1329076</v>
      </c>
      <c r="S91" s="5"/>
      <c r="T91" s="442"/>
      <c r="U91" s="5"/>
      <c r="V91" s="155"/>
      <c r="W91" s="155"/>
      <c r="X91" s="155"/>
      <c r="Y91" s="155"/>
      <c r="Z91" s="155"/>
      <c r="AA91" s="155"/>
      <c r="AB91" s="155"/>
      <c r="AC91" s="155"/>
      <c r="AD91" s="155"/>
      <c r="AE91" s="155"/>
      <c r="AF91" s="155"/>
      <c r="AG91" s="155"/>
      <c r="AH91" s="155"/>
      <c r="AI91" s="155"/>
      <c r="AJ91" s="155"/>
      <c r="AK91" s="155"/>
      <c r="AL91" s="159"/>
      <c r="AM91" s="440"/>
      <c r="AN91" s="440"/>
    </row>
    <row r="92" spans="1:40" s="156" customFormat="1" x14ac:dyDescent="0.2">
      <c r="A92" s="330">
        <f t="shared" si="18"/>
        <v>1</v>
      </c>
      <c r="B92" s="197">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198">
        <v>1330977</v>
      </c>
      <c r="S92" s="5"/>
      <c r="T92" s="442"/>
      <c r="U92" s="5"/>
      <c r="V92" s="155"/>
      <c r="W92" s="155"/>
      <c r="X92" s="155"/>
      <c r="Y92" s="155"/>
      <c r="Z92" s="155"/>
      <c r="AA92" s="155"/>
      <c r="AB92" s="155"/>
      <c r="AC92" s="155"/>
      <c r="AD92" s="155"/>
      <c r="AE92" s="155"/>
      <c r="AF92" s="155"/>
      <c r="AG92" s="155"/>
      <c r="AH92" s="155"/>
      <c r="AI92" s="155"/>
      <c r="AJ92" s="155"/>
      <c r="AK92" s="155"/>
      <c r="AL92" s="159"/>
      <c r="AM92" s="440"/>
      <c r="AN92" s="440"/>
    </row>
    <row r="93" spans="1:40" s="156" customFormat="1" x14ac:dyDescent="0.2">
      <c r="A93" s="330">
        <f t="shared" si="18"/>
        <v>1</v>
      </c>
      <c r="B93" s="201" t="s">
        <v>309</v>
      </c>
      <c r="C93" s="8">
        <v>42403</v>
      </c>
      <c r="D93" s="8">
        <v>10529</v>
      </c>
      <c r="E93" s="8">
        <v>68800</v>
      </c>
      <c r="F93" s="8">
        <v>6217</v>
      </c>
      <c r="G93" s="8">
        <v>163342</v>
      </c>
      <c r="H93" s="8">
        <v>86964</v>
      </c>
      <c r="I93" s="8">
        <v>320374</v>
      </c>
      <c r="J93" s="8">
        <v>322</v>
      </c>
      <c r="K93" s="8">
        <v>467193</v>
      </c>
      <c r="L93" s="8">
        <v>59501</v>
      </c>
      <c r="M93" s="8">
        <v>19935</v>
      </c>
      <c r="N93" s="8">
        <v>14413</v>
      </c>
      <c r="O93" s="8">
        <v>1759</v>
      </c>
      <c r="P93" s="8">
        <v>2649</v>
      </c>
      <c r="Q93" s="8">
        <v>32585</v>
      </c>
      <c r="R93" s="202">
        <v>1296986</v>
      </c>
      <c r="S93" s="5"/>
      <c r="T93" s="441"/>
      <c r="U93" s="5"/>
      <c r="V93" s="155"/>
      <c r="W93" s="155"/>
      <c r="X93" s="155"/>
      <c r="Y93" s="155"/>
      <c r="Z93" s="155"/>
      <c r="AA93" s="155"/>
      <c r="AB93" s="155"/>
      <c r="AC93" s="155"/>
      <c r="AD93" s="155"/>
      <c r="AE93" s="155"/>
      <c r="AF93" s="155"/>
      <c r="AG93" s="155"/>
      <c r="AH93" s="155"/>
      <c r="AI93" s="155"/>
      <c r="AJ93" s="155"/>
      <c r="AK93" s="155"/>
      <c r="AL93" s="159"/>
      <c r="AM93" s="440"/>
      <c r="AN93" s="440"/>
    </row>
    <row r="94" spans="1:40" s="156" customFormat="1" x14ac:dyDescent="0.2">
      <c r="A94" s="330">
        <f t="shared" si="18"/>
        <v>1</v>
      </c>
      <c r="B94" s="197">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198">
        <v>1327920</v>
      </c>
      <c r="S94" s="5"/>
      <c r="T94" s="442"/>
      <c r="U94" s="5"/>
      <c r="V94" s="155"/>
      <c r="W94" s="155"/>
      <c r="X94" s="155"/>
      <c r="Y94" s="155"/>
      <c r="Z94" s="155"/>
      <c r="AA94" s="155"/>
      <c r="AB94" s="155"/>
      <c r="AC94" s="155"/>
      <c r="AD94" s="155"/>
      <c r="AE94" s="155"/>
      <c r="AF94" s="155"/>
      <c r="AG94" s="155"/>
      <c r="AH94" s="155"/>
      <c r="AI94" s="155"/>
      <c r="AJ94" s="155"/>
      <c r="AK94" s="155"/>
      <c r="AL94" s="159"/>
      <c r="AM94" s="440"/>
      <c r="AN94" s="440"/>
    </row>
    <row r="95" spans="1:40" s="156" customFormat="1" x14ac:dyDescent="0.2">
      <c r="A95" s="330">
        <f t="shared" si="18"/>
        <v>1</v>
      </c>
      <c r="B95" s="197">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198">
        <v>1338692</v>
      </c>
      <c r="S95" s="5"/>
      <c r="T95" s="442"/>
      <c r="U95" s="5"/>
      <c r="V95" s="155"/>
      <c r="W95" s="155"/>
      <c r="X95" s="155"/>
      <c r="Y95" s="155"/>
      <c r="Z95" s="155"/>
      <c r="AA95" s="155"/>
      <c r="AB95" s="155"/>
      <c r="AC95" s="155"/>
      <c r="AD95" s="155"/>
      <c r="AE95" s="155"/>
      <c r="AF95" s="155"/>
      <c r="AG95" s="155"/>
      <c r="AH95" s="155"/>
      <c r="AI95" s="155"/>
      <c r="AJ95" s="155"/>
      <c r="AK95" s="155"/>
      <c r="AL95" s="159"/>
      <c r="AM95" s="440"/>
      <c r="AN95" s="440"/>
    </row>
    <row r="96" spans="1:40" s="156" customFormat="1" x14ac:dyDescent="0.2">
      <c r="A96" s="330">
        <f t="shared" si="18"/>
        <v>1</v>
      </c>
      <c r="B96" s="197">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198">
        <v>1334903</v>
      </c>
      <c r="S96" s="5"/>
      <c r="T96" s="442"/>
      <c r="U96" s="5"/>
      <c r="V96" s="155"/>
      <c r="W96" s="155"/>
      <c r="X96" s="155"/>
      <c r="Y96" s="155"/>
      <c r="Z96" s="155"/>
      <c r="AA96" s="155"/>
      <c r="AB96" s="155"/>
      <c r="AC96" s="155"/>
      <c r="AD96" s="155"/>
      <c r="AE96" s="155"/>
      <c r="AF96" s="155"/>
      <c r="AG96" s="155"/>
      <c r="AH96" s="155"/>
      <c r="AI96" s="155"/>
      <c r="AJ96" s="155"/>
      <c r="AK96" s="155"/>
      <c r="AL96" s="159"/>
      <c r="AM96" s="440"/>
      <c r="AN96" s="440"/>
    </row>
    <row r="97" spans="1:40" s="156" customFormat="1" x14ac:dyDescent="0.2">
      <c r="A97" s="330">
        <f t="shared" si="18"/>
        <v>1</v>
      </c>
      <c r="B97" s="197">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198">
        <v>1332134</v>
      </c>
      <c r="S97" s="5"/>
      <c r="T97" s="442"/>
      <c r="U97" s="5"/>
      <c r="V97" s="155"/>
      <c r="W97" s="155"/>
      <c r="X97" s="155"/>
      <c r="Y97" s="155"/>
      <c r="Z97" s="155"/>
      <c r="AA97" s="155"/>
      <c r="AB97" s="155"/>
      <c r="AC97" s="155"/>
      <c r="AD97" s="155"/>
      <c r="AE97" s="155"/>
      <c r="AF97" s="155"/>
      <c r="AG97" s="155"/>
      <c r="AH97" s="155"/>
      <c r="AI97" s="155"/>
      <c r="AJ97" s="155"/>
      <c r="AK97" s="155"/>
      <c r="AL97" s="159"/>
      <c r="AM97" s="440"/>
      <c r="AN97" s="440"/>
    </row>
    <row r="98" spans="1:40" s="156" customFormat="1" x14ac:dyDescent="0.2">
      <c r="A98" s="330">
        <f t="shared" si="18"/>
        <v>1</v>
      </c>
      <c r="B98" s="197">
        <v>42675</v>
      </c>
      <c r="C98" s="70">
        <v>43913</v>
      </c>
      <c r="D98" s="70">
        <v>11233</v>
      </c>
      <c r="E98" s="70">
        <v>67914</v>
      </c>
      <c r="F98" s="70">
        <v>5918</v>
      </c>
      <c r="G98" s="70">
        <v>155687</v>
      </c>
      <c r="H98" s="70">
        <v>90158</v>
      </c>
      <c r="I98" s="70">
        <v>358986</v>
      </c>
      <c r="J98" s="70">
        <v>306</v>
      </c>
      <c r="K98" s="70">
        <v>473863</v>
      </c>
      <c r="L98" s="70">
        <v>61650</v>
      </c>
      <c r="M98" s="70">
        <v>20306</v>
      </c>
      <c r="N98" s="70">
        <v>13876</v>
      </c>
      <c r="O98" s="70">
        <v>1738</v>
      </c>
      <c r="P98" s="70">
        <v>2434</v>
      </c>
      <c r="Q98" s="70">
        <v>33416</v>
      </c>
      <c r="R98" s="198">
        <v>1341398</v>
      </c>
      <c r="S98" s="5"/>
      <c r="T98" s="442"/>
      <c r="U98" s="5"/>
      <c r="V98" s="155"/>
      <c r="W98" s="155"/>
      <c r="X98" s="155"/>
      <c r="Y98" s="155"/>
      <c r="Z98" s="155"/>
      <c r="AA98" s="155"/>
      <c r="AB98" s="155"/>
      <c r="AC98" s="155"/>
      <c r="AD98" s="155"/>
      <c r="AE98" s="155"/>
      <c r="AF98" s="155"/>
      <c r="AG98" s="155"/>
      <c r="AH98" s="155"/>
      <c r="AI98" s="155"/>
      <c r="AJ98" s="155"/>
      <c r="AK98" s="155"/>
      <c r="AL98" s="159"/>
      <c r="AM98" s="440"/>
      <c r="AN98" s="440"/>
    </row>
    <row r="99" spans="1:40" s="156" customFormat="1" x14ac:dyDescent="0.2">
      <c r="A99" s="330">
        <f t="shared" si="18"/>
        <v>1</v>
      </c>
      <c r="B99" s="197">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198">
        <v>1343704</v>
      </c>
      <c r="S99" s="5"/>
      <c r="T99" s="442"/>
      <c r="U99" s="5"/>
      <c r="V99" s="155"/>
      <c r="W99" s="155"/>
      <c r="X99" s="155"/>
      <c r="Y99" s="155"/>
      <c r="Z99" s="155"/>
      <c r="AA99" s="155"/>
      <c r="AB99" s="155"/>
      <c r="AC99" s="155"/>
      <c r="AD99" s="155"/>
      <c r="AE99" s="155"/>
      <c r="AF99" s="155"/>
      <c r="AG99" s="155"/>
      <c r="AH99" s="155"/>
      <c r="AI99" s="155"/>
      <c r="AJ99" s="155"/>
      <c r="AK99" s="155"/>
      <c r="AL99" s="159"/>
      <c r="AM99" s="440"/>
      <c r="AN99" s="440"/>
    </row>
    <row r="100" spans="1:40" s="156" customFormat="1" x14ac:dyDescent="0.2">
      <c r="A100" s="330">
        <f t="shared" si="18"/>
        <v>1</v>
      </c>
      <c r="B100" s="197">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198">
        <v>1343979</v>
      </c>
      <c r="S100" s="5"/>
      <c r="T100" s="442"/>
      <c r="U100" s="5"/>
      <c r="V100" s="155"/>
      <c r="W100" s="155"/>
      <c r="X100" s="155"/>
      <c r="Y100" s="155"/>
      <c r="Z100" s="155"/>
      <c r="AA100" s="155"/>
      <c r="AB100" s="155"/>
      <c r="AC100" s="155"/>
      <c r="AD100" s="155"/>
      <c r="AE100" s="155"/>
      <c r="AF100" s="155"/>
      <c r="AG100" s="155"/>
      <c r="AH100" s="155"/>
      <c r="AI100" s="155"/>
      <c r="AJ100" s="155"/>
      <c r="AK100" s="155"/>
      <c r="AL100" s="159"/>
      <c r="AM100" s="440"/>
      <c r="AN100" s="440"/>
    </row>
    <row r="101" spans="1:40" s="156" customFormat="1" x14ac:dyDescent="0.2">
      <c r="A101" s="330">
        <f t="shared" si="18"/>
        <v>1</v>
      </c>
      <c r="B101" s="197">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198">
        <v>1340089</v>
      </c>
      <c r="S101" s="5"/>
      <c r="T101" s="442"/>
      <c r="U101" s="5"/>
      <c r="V101" s="155"/>
      <c r="W101" s="155"/>
      <c r="X101" s="155"/>
      <c r="Y101" s="155"/>
      <c r="Z101" s="155"/>
      <c r="AA101" s="155"/>
      <c r="AB101" s="155"/>
      <c r="AC101" s="155"/>
      <c r="AD101" s="155"/>
      <c r="AE101" s="155"/>
      <c r="AF101" s="155"/>
      <c r="AG101" s="155"/>
      <c r="AH101" s="155"/>
      <c r="AI101" s="155"/>
      <c r="AJ101" s="155"/>
      <c r="AK101" s="155"/>
      <c r="AL101" s="159"/>
      <c r="AM101" s="440"/>
      <c r="AN101" s="440"/>
    </row>
    <row r="102" spans="1:40" s="156" customFormat="1" x14ac:dyDescent="0.2">
      <c r="A102" s="330">
        <f t="shared" si="18"/>
        <v>1</v>
      </c>
      <c r="B102" s="197">
        <v>42795</v>
      </c>
      <c r="C102" s="562">
        <v>44727</v>
      </c>
      <c r="D102" s="562">
        <v>11405</v>
      </c>
      <c r="E102" s="562">
        <v>67488</v>
      </c>
      <c r="F102" s="562">
        <v>7041</v>
      </c>
      <c r="G102" s="562">
        <v>164597</v>
      </c>
      <c r="H102" s="677">
        <v>453131</v>
      </c>
      <c r="I102" s="677"/>
      <c r="J102" s="562">
        <v>255</v>
      </c>
      <c r="K102" s="562">
        <v>466487</v>
      </c>
      <c r="L102" s="562">
        <v>69067</v>
      </c>
      <c r="M102" s="562">
        <v>18987</v>
      </c>
      <c r="N102" s="562">
        <v>12097</v>
      </c>
      <c r="O102" s="562">
        <v>2580</v>
      </c>
      <c r="P102" s="562">
        <v>3035</v>
      </c>
      <c r="Q102" s="562">
        <v>34258</v>
      </c>
      <c r="R102" s="198">
        <v>1355155</v>
      </c>
      <c r="S102" s="5"/>
      <c r="T102" s="442"/>
      <c r="U102" s="5"/>
      <c r="V102" s="155"/>
      <c r="W102" s="155"/>
      <c r="X102" s="155"/>
      <c r="Y102" s="155"/>
      <c r="Z102" s="155"/>
      <c r="AA102" s="155"/>
      <c r="AB102" s="155"/>
      <c r="AC102" s="155"/>
      <c r="AD102" s="155"/>
      <c r="AE102" s="155"/>
      <c r="AF102" s="155"/>
      <c r="AG102" s="155"/>
      <c r="AH102" s="155"/>
      <c r="AI102" s="155"/>
      <c r="AJ102" s="155"/>
      <c r="AK102" s="155"/>
      <c r="AL102" s="159"/>
      <c r="AM102" s="440"/>
      <c r="AN102" s="440"/>
    </row>
    <row r="103" spans="1:40" s="156" customFormat="1" x14ac:dyDescent="0.2">
      <c r="A103" s="330">
        <f t="shared" si="18"/>
        <v>1</v>
      </c>
      <c r="B103" s="197">
        <v>42826</v>
      </c>
      <c r="C103" s="562">
        <v>44637</v>
      </c>
      <c r="D103" s="562">
        <v>11381</v>
      </c>
      <c r="E103" s="562">
        <v>67367</v>
      </c>
      <c r="F103" s="562">
        <v>7018</v>
      </c>
      <c r="G103" s="562">
        <v>172849</v>
      </c>
      <c r="H103" s="677">
        <v>450885</v>
      </c>
      <c r="I103" s="677"/>
      <c r="J103" s="562">
        <v>251</v>
      </c>
      <c r="K103" s="562">
        <v>467753</v>
      </c>
      <c r="L103" s="562">
        <v>68125</v>
      </c>
      <c r="M103" s="562">
        <v>20433</v>
      </c>
      <c r="N103" s="562">
        <v>12012</v>
      </c>
      <c r="O103" s="562">
        <v>2472</v>
      </c>
      <c r="P103" s="562">
        <v>2868</v>
      </c>
      <c r="Q103" s="562">
        <v>34407</v>
      </c>
      <c r="R103" s="198">
        <v>1362458</v>
      </c>
      <c r="S103" s="5"/>
      <c r="T103" s="442"/>
      <c r="U103" s="5"/>
      <c r="V103" s="155"/>
      <c r="W103" s="155"/>
      <c r="X103" s="155"/>
      <c r="Y103" s="155"/>
      <c r="Z103" s="155"/>
      <c r="AA103" s="155"/>
      <c r="AB103" s="155"/>
      <c r="AC103" s="155"/>
      <c r="AD103" s="155"/>
      <c r="AE103" s="155"/>
      <c r="AF103" s="155"/>
      <c r="AG103" s="155"/>
      <c r="AH103" s="155"/>
      <c r="AI103" s="155"/>
      <c r="AJ103" s="155"/>
      <c r="AK103" s="155"/>
      <c r="AL103" s="159"/>
      <c r="AM103" s="440"/>
      <c r="AN103" s="440"/>
    </row>
    <row r="104" spans="1:40" s="156" customFormat="1" x14ac:dyDescent="0.2">
      <c r="A104" s="330">
        <f t="shared" si="18"/>
        <v>1</v>
      </c>
      <c r="B104" s="197">
        <v>42856</v>
      </c>
      <c r="C104" s="562">
        <v>44815</v>
      </c>
      <c r="D104" s="562">
        <v>11398</v>
      </c>
      <c r="E104" s="562">
        <v>67185</v>
      </c>
      <c r="F104" s="562">
        <v>7043</v>
      </c>
      <c r="G104" s="562">
        <v>178431</v>
      </c>
      <c r="H104" s="677">
        <v>450380</v>
      </c>
      <c r="I104" s="677"/>
      <c r="J104" s="562">
        <v>253</v>
      </c>
      <c r="K104" s="562">
        <v>469043</v>
      </c>
      <c r="L104" s="562">
        <v>67709</v>
      </c>
      <c r="M104" s="562">
        <v>20673</v>
      </c>
      <c r="N104" s="562">
        <v>11960</v>
      </c>
      <c r="O104" s="562">
        <v>2416</v>
      </c>
      <c r="P104" s="562">
        <v>2992</v>
      </c>
      <c r="Q104" s="562">
        <v>34806</v>
      </c>
      <c r="R104" s="198">
        <v>1369104</v>
      </c>
      <c r="S104" s="5"/>
      <c r="T104" s="442"/>
      <c r="U104" s="5"/>
      <c r="V104" s="155"/>
      <c r="W104" s="155"/>
      <c r="X104" s="155"/>
      <c r="Y104" s="155"/>
      <c r="Z104" s="155"/>
      <c r="AA104" s="155"/>
      <c r="AB104" s="155"/>
      <c r="AC104" s="155"/>
      <c r="AD104" s="155"/>
      <c r="AE104" s="155"/>
      <c r="AF104" s="155"/>
      <c r="AG104" s="155"/>
      <c r="AH104" s="155"/>
      <c r="AI104" s="155"/>
      <c r="AJ104" s="155"/>
      <c r="AK104" s="155"/>
      <c r="AL104" s="159"/>
      <c r="AM104" s="440"/>
      <c r="AN104" s="440"/>
    </row>
    <row r="105" spans="1:40" s="156" customFormat="1" x14ac:dyDescent="0.2">
      <c r="A105" s="330">
        <f t="shared" si="18"/>
        <v>0</v>
      </c>
      <c r="B105" s="197">
        <v>42887</v>
      </c>
      <c r="C105" s="3"/>
      <c r="D105" s="3"/>
      <c r="E105" s="3"/>
      <c r="F105" s="3"/>
      <c r="G105" s="3"/>
      <c r="H105" s="3"/>
      <c r="I105" s="3"/>
      <c r="J105" s="3"/>
      <c r="K105" s="3"/>
      <c r="L105" s="3"/>
      <c r="M105" s="3"/>
      <c r="N105" s="3"/>
      <c r="O105" s="3"/>
      <c r="P105" s="3"/>
      <c r="Q105" s="3"/>
      <c r="R105" s="198"/>
      <c r="S105" s="5"/>
      <c r="T105" s="441"/>
      <c r="U105" s="5"/>
      <c r="V105" s="155"/>
      <c r="W105" s="155"/>
      <c r="X105" s="155"/>
      <c r="Y105" s="155"/>
      <c r="Z105" s="155"/>
      <c r="AA105" s="155"/>
      <c r="AB105" s="155"/>
      <c r="AC105" s="155"/>
      <c r="AD105" s="155"/>
      <c r="AE105" s="155"/>
      <c r="AF105" s="155"/>
      <c r="AG105" s="155"/>
      <c r="AH105" s="155"/>
      <c r="AI105" s="155"/>
      <c r="AJ105" s="155"/>
      <c r="AK105" s="155"/>
      <c r="AL105" s="159"/>
      <c r="AM105" s="440"/>
      <c r="AN105" s="440"/>
    </row>
    <row r="106" spans="1:40" s="156" customFormat="1" x14ac:dyDescent="0.2">
      <c r="A106" s="330"/>
      <c r="B106" s="197"/>
      <c r="C106" s="3"/>
      <c r="D106" s="3"/>
      <c r="E106" s="3"/>
      <c r="F106" s="3"/>
      <c r="G106" s="3"/>
      <c r="H106" s="3"/>
      <c r="I106" s="3"/>
      <c r="J106" s="3"/>
      <c r="K106" s="3"/>
      <c r="L106" s="3"/>
      <c r="M106" s="3"/>
      <c r="N106" s="3"/>
      <c r="O106" s="3"/>
      <c r="P106" s="3"/>
      <c r="Q106" s="3"/>
      <c r="R106" s="198"/>
      <c r="S106" s="5"/>
      <c r="T106" s="442"/>
      <c r="U106" s="5"/>
      <c r="V106" s="155"/>
      <c r="W106" s="155"/>
      <c r="X106" s="155"/>
      <c r="Y106" s="155"/>
      <c r="Z106" s="155"/>
      <c r="AA106" s="155"/>
      <c r="AB106" s="155"/>
      <c r="AC106" s="155"/>
      <c r="AD106" s="155"/>
      <c r="AE106" s="155"/>
      <c r="AF106" s="155"/>
      <c r="AG106" s="155"/>
      <c r="AH106" s="155"/>
      <c r="AI106" s="155"/>
      <c r="AJ106" s="155"/>
      <c r="AK106" s="155"/>
      <c r="AL106" s="159"/>
      <c r="AM106" s="440"/>
      <c r="AN106" s="440"/>
    </row>
    <row r="107" spans="1:40" s="156" customFormat="1" x14ac:dyDescent="0.25">
      <c r="B107" s="205" t="s">
        <v>310</v>
      </c>
      <c r="C107" s="5">
        <f>ROUND(+AVERAGE(C94:C105),0)</f>
        <v>43904</v>
      </c>
      <c r="D107" s="5">
        <f t="shared" ref="D107:P107" si="28">ROUND(+AVERAGE(D94:D105),0)</f>
        <v>11225</v>
      </c>
      <c r="E107" s="5">
        <f t="shared" si="28"/>
        <v>67659</v>
      </c>
      <c r="F107" s="5">
        <f t="shared" si="28"/>
        <v>6181</v>
      </c>
      <c r="G107" s="5">
        <f>ROUND(+AVERAGE(G94:G105),0)</f>
        <v>159298</v>
      </c>
      <c r="H107" s="678">
        <f>AVERAGE((H94+I94),(H95+I95),(H96+I96),(H97+I97),(H98+I98),(H99+I99),(H100+I100),(H101+I101),H102,H103,H104)</f>
        <v>448773.27272727271</v>
      </c>
      <c r="I107" s="678"/>
      <c r="J107" s="5">
        <f t="shared" si="28"/>
        <v>290</v>
      </c>
      <c r="K107" s="5">
        <f>ROUNDDOWN(+AVERAGE(K94:K105),0)</f>
        <v>470252</v>
      </c>
      <c r="L107" s="5">
        <f>ROUND(+AVERAGE(L94:L105),0)</f>
        <v>64910</v>
      </c>
      <c r="M107" s="5">
        <f t="shared" si="28"/>
        <v>20191</v>
      </c>
      <c r="N107" s="5">
        <f t="shared" si="28"/>
        <v>13483</v>
      </c>
      <c r="O107" s="5">
        <f t="shared" si="28"/>
        <v>1988</v>
      </c>
      <c r="P107" s="5">
        <f t="shared" si="28"/>
        <v>2635</v>
      </c>
      <c r="Q107" s="5">
        <f>ROUND(+AVERAGE(Q94:Q105),0)</f>
        <v>33714</v>
      </c>
      <c r="R107" s="206">
        <f>ROUND(SUM(C107:H107,J107:Q107),0)</f>
        <v>1344503</v>
      </c>
      <c r="S107" s="5"/>
      <c r="T107" s="5"/>
      <c r="U107" s="5"/>
      <c r="V107" s="155"/>
      <c r="W107" s="155"/>
      <c r="X107" s="155"/>
      <c r="Y107" s="155"/>
      <c r="Z107" s="155"/>
      <c r="AA107" s="155"/>
      <c r="AB107" s="155"/>
      <c r="AC107" s="155"/>
      <c r="AD107" s="155"/>
      <c r="AE107" s="155"/>
      <c r="AF107" s="155"/>
      <c r="AG107" s="155"/>
      <c r="AH107" s="155"/>
      <c r="AI107" s="155"/>
      <c r="AJ107" s="155"/>
      <c r="AK107" s="155"/>
      <c r="AL107" s="155"/>
      <c r="AM107" s="440"/>
      <c r="AN107" s="440"/>
    </row>
    <row r="108" spans="1:40" s="156" customFormat="1" ht="15.75" customHeight="1" x14ac:dyDescent="0.25">
      <c r="B108" s="205" t="s">
        <v>311</v>
      </c>
      <c r="C108" s="5">
        <v>43599</v>
      </c>
      <c r="D108" s="5">
        <v>11200</v>
      </c>
      <c r="E108" s="5">
        <v>67760</v>
      </c>
      <c r="F108" s="5">
        <v>6095</v>
      </c>
      <c r="G108" s="5">
        <v>164461</v>
      </c>
      <c r="H108" s="678">
        <v>449667</v>
      </c>
      <c r="I108" s="678"/>
      <c r="J108" s="5">
        <v>318</v>
      </c>
      <c r="K108" s="5">
        <v>473394</v>
      </c>
      <c r="L108" s="5">
        <v>63858</v>
      </c>
      <c r="M108" s="5">
        <v>20276</v>
      </c>
      <c r="N108" s="5">
        <v>14131</v>
      </c>
      <c r="O108" s="5">
        <v>1791</v>
      </c>
      <c r="P108" s="5">
        <v>2553</v>
      </c>
      <c r="Q108" s="5">
        <v>33967</v>
      </c>
      <c r="R108" s="206">
        <v>1353070</v>
      </c>
      <c r="S108" s="5"/>
      <c r="T108" s="5"/>
      <c r="U108" s="5"/>
      <c r="V108" s="158"/>
      <c r="W108" s="155"/>
      <c r="X108" s="158"/>
      <c r="AJ108" s="160"/>
      <c r="AM108" s="440"/>
      <c r="AN108" s="440"/>
    </row>
    <row r="109" spans="1:40" s="156" customFormat="1" x14ac:dyDescent="0.2">
      <c r="B109" s="207" t="s">
        <v>18</v>
      </c>
      <c r="C109" s="3">
        <f t="array" ref="C109">IF(TEXT(MAX(IF($A$94:$A$105=1,$B$94:$B$105)),"mmmm")="July",C94-C92,INDEX(C$94:C$105,MATCH(TEXT(MAX(IF($A$94:$A$105=1,$B$94:$B$105)),"mmmm"),TEXT($B$94:$B$105,"mmmm"),0))-INDEX(C$94:C$105,MATCH(TEXT(MAX(IF($A$94:$A$105=1,$B$94:$B$105)),"mmmm"),TEXT($B$94:$B$105,"mmmm"),0)-1))</f>
        <v>178</v>
      </c>
      <c r="D109" s="3">
        <f t="array" ref="D109">IF(TEXT(MAX(IF($A$94:$A$105=1,$B$94:$B$105)),"mmmm")="July",D94-D92,INDEX(D$94:D$105,MATCH(TEXT(MAX(IF($A$94:$A$105=1,$B$94:$B$105)),"mmmm"),TEXT($B$94:$B$105,"mmmm"),0))-INDEX(D$94:D$105,MATCH(TEXT(MAX(IF($A$94:$A$105=1,$B$94:$B$105)),"mmmm"),TEXT($B$94:$B$105,"mmmm"),0)-1))</f>
        <v>17</v>
      </c>
      <c r="E109" s="3">
        <f t="array" ref="E109">IF(TEXT(MAX(IF($A$94:$A$105=1,$B$94:$B$105)),"mmmm")="July",E94-E92,INDEX(E$94:E$105,MATCH(TEXT(MAX(IF($A$94:$A$105=1,$B$94:$B$105)),"mmmm"),TEXT($B$94:$B$105,"mmmm"),0))-INDEX(E$94:E$105,MATCH(TEXT(MAX(IF($A$94:$A$105=1,$B$94:$B$105)),"mmmm"),TEXT($B$94:$B$105,"mmmm"),0)-1))</f>
        <v>-182</v>
      </c>
      <c r="F109" s="3">
        <f t="array" ref="F109">IF(TEXT(MAX(IF($A$94:$A$105=1,$B$94:$B$105)),"mmmm")="July",F94-F92,INDEX(F$94:F$105,MATCH(TEXT(MAX(IF($A$94:$A$105=1,$B$94:$B$105)),"mmmm"),TEXT($B$94:$B$105,"mmmm"),0))-INDEX(F$94:F$105,MATCH(TEXT(MAX(IF($A$94:$A$105=1,$B$94:$B$105)),"mmmm"),TEXT($B$94:$B$105,"mmmm"),0)-1))</f>
        <v>25</v>
      </c>
      <c r="G109" s="3">
        <f t="array" ref="G109">IF(TEXT(MAX(IF($A$94:$A$105=1,$B$94:$B$105)),"mmmm")="July",G94-G92,INDEX(G$94:G$105,MATCH(TEXT(MAX(IF($A$94:$A$105=1,$B$94:$B$105)),"mmmm"),TEXT($B$94:$B$105,"mmmm"),0))-INDEX(G$94:G$105,MATCH(TEXT(MAX(IF($A$94:$A$105=1,$B$94:$B$105)),"mmmm"),TEXT($B$94:$B$105,"mmmm"),0)-1))</f>
        <v>5582</v>
      </c>
      <c r="H109" s="679">
        <f t="array" ref="H109">IF(TEXT(MAX(IF($A$94:$A$105=1,$B$94:$B$105)),"mmmm")="July",H94-H92,INDEX(H$94:H$105,MATCH(TEXT(MAX(IF($A$94:$A$105=1,$B$94:$B$105)),"mmmm"),TEXT($B$94:$B$105,"mmmm"),0))-INDEX(H$94:H$105,MATCH(TEXT(MAX(IF($A$94:$A$105=1,$B$94:$B$105)),"mmmm"),TEXT($B$94:$B$105,"mmmm"),0)-1))</f>
        <v>-505</v>
      </c>
      <c r="I109" s="679"/>
      <c r="J109" s="3">
        <f t="array" ref="J109">IF(TEXT(MAX(IF($A$94:$A$105=1,$B$94:$B$105)),"mmmm")="July",J94-J92,INDEX(J$94:J$105,MATCH(TEXT(MAX(IF($A$94:$A$105=1,$B$94:$B$105)),"mmmm"),TEXT($B$94:$B$105,"mmmm"),0))-INDEX(J$94:J$105,MATCH(TEXT(MAX(IF($A$94:$A$105=1,$B$94:$B$105)),"mmmm"),TEXT($B$94:$B$105,"mmmm"),0)-1))</f>
        <v>2</v>
      </c>
      <c r="K109" s="3">
        <f t="array" ref="K109">IF(TEXT(MAX(IF($A$94:$A$105=1,$B$94:$B$105)),"mmmm")="July",K94-K92,INDEX(K$94:K$105,MATCH(TEXT(MAX(IF($A$94:$A$105=1,$B$94:$B$105)),"mmmm"),TEXT($B$94:$B$105,"mmmm"),0))-INDEX(K$94:K$105,MATCH(TEXT(MAX(IF($A$94:$A$105=1,$B$94:$B$105)),"mmmm"),TEXT($B$94:$B$105,"mmmm"),0)-1))</f>
        <v>1290</v>
      </c>
      <c r="L109" s="3">
        <f t="array" ref="L109">IF(TEXT(MAX(IF($A$94:$A$105=1,$B$94:$B$105)),"mmmm")="July",L94-L92,INDEX(L$94:L$105,MATCH(TEXT(MAX(IF($A$94:$A$105=1,$B$94:$B$105)),"mmmm"),TEXT($B$94:$B$105,"mmmm"),0))-INDEX(L$94:L$105,MATCH(TEXT(MAX(IF($A$94:$A$105=1,$B$94:$B$105)),"mmmm"),TEXT($B$94:$B$105,"mmmm"),0)-1))</f>
        <v>-416</v>
      </c>
      <c r="M109" s="3">
        <f t="array" ref="M109">IF(TEXT(MAX(IF($A$94:$A$105=1,$B$94:$B$105)),"mmmm")="July",M94-M92,INDEX(M$94:M$105,MATCH(TEXT(MAX(IF($A$94:$A$105=1,$B$94:$B$105)),"mmmm"),TEXT($B$94:$B$105,"mmmm"),0))-INDEX(M$94:M$105,MATCH(TEXT(MAX(IF($A$94:$A$105=1,$B$94:$B$105)),"mmmm"),TEXT($B$94:$B$105,"mmmm"),0)-1))</f>
        <v>240</v>
      </c>
      <c r="N109" s="3">
        <f t="array" ref="N109">IF(TEXT(MAX(IF($A$94:$A$105=1,$B$94:$B$105)),"mmmm")="July",N94-N92,INDEX(N$94:N$105,MATCH(TEXT(MAX(IF($A$94:$A$105=1,$B$94:$B$105)),"mmmm"),TEXT($B$94:$B$105,"mmmm"),0))-INDEX(N$94:N$105,MATCH(TEXT(MAX(IF($A$94:$A$105=1,$B$94:$B$105)),"mmmm"),TEXT($B$94:$B$105,"mmmm"),0)-1))</f>
        <v>-52</v>
      </c>
      <c r="O109" s="3">
        <f t="array" ref="O109">IF(TEXT(MAX(IF($A$94:$A$105=1,$B$94:$B$105)),"mmmm")="July",O94-O92,INDEX(O$94:O$105,MATCH(TEXT(MAX(IF($A$94:$A$105=1,$B$94:$B$105)),"mmmm"),TEXT($B$94:$B$105,"mmmm"),0))-INDEX(O$94:O$105,MATCH(TEXT(MAX(IF($A$94:$A$105=1,$B$94:$B$105)),"mmmm"),TEXT($B$94:$B$105,"mmmm"),0)-1))</f>
        <v>-56</v>
      </c>
      <c r="P109" s="3">
        <f t="array" ref="P109">IF(TEXT(MAX(IF($A$94:$A$105=1,$B$94:$B$105)),"mmmm")="July",P94-P92,INDEX(P$94:P$105,MATCH(TEXT(MAX(IF($A$94:$A$105=1,$B$94:$B$105)),"mmmm"),TEXT($B$94:$B$105,"mmmm"),0))-INDEX(P$94:P$105,MATCH(TEXT(MAX(IF($A$94:$A$105=1,$B$94:$B$105)),"mmmm"),TEXT($B$94:$B$105,"mmmm"),0)-1))</f>
        <v>124</v>
      </c>
      <c r="Q109" s="3">
        <f t="array" ref="Q109">IF(TEXT(MAX(IF($A$94:$A$105=1,$B$94:$B$105)),"mmmm")="July",Q94-Q92,INDEX(Q$94:Q$105,MATCH(TEXT(MAX(IF($A$94:$A$105=1,$B$94:$B$105)),"mmmm"),TEXT($B$94:$B$105,"mmmm"),0))-INDEX(Q$94:Q$105,MATCH(TEXT(MAX(IF($A$94:$A$105=1,$B$94:$B$105)),"mmmm"),TEXT($B$94:$B$105,"mmmm"),0)-1))</f>
        <v>399</v>
      </c>
      <c r="R109" s="480">
        <f t="array" ref="R109">IF(TEXT(MAX(IF($A$94:$A$105=1,$B$94:$B$105)),"mmmm")="July",R94-R92,INDEX(R$94:R$105,MATCH(TEXT(MAX(IF($A$94:$A$105=1,$B$94:$B$105)),"mmmm"),TEXT($B$94:$B$105,"mmmm"),0))-INDEX(R$94:R$105,MATCH(TEXT(MAX(IF($A$94:$A$105=1,$B$94:$B$105)),"mmmm"),TEXT($B$94:$B$105,"mmmm"),0)-1))</f>
        <v>6646</v>
      </c>
      <c r="S109" s="5"/>
      <c r="T109" s="5"/>
      <c r="U109" s="5"/>
      <c r="V109" s="157"/>
      <c r="X109" s="158"/>
      <c r="AA109" s="164"/>
      <c r="AM109" s="440"/>
      <c r="AN109" s="440"/>
    </row>
    <row r="110" spans="1:40" s="156" customFormat="1" x14ac:dyDescent="0.2">
      <c r="B110" s="207" t="s">
        <v>21</v>
      </c>
      <c r="C110" s="6">
        <f t="array" ref="C110">IF(TEXT(MAX(IF($A$94:$A$105=1,$B$94:$B$105)),"mmmm")="July",C109/C92,IFERROR(C109/INDEX(C$94:C$105,MATCH(TEXT(MAX(IF($A$94:$A$105=1,$B$94:$B$105)),"mmmm"),TEXT($B$94:$B$105,"mmmm"),0)-1),0))</f>
        <v>3.9877231892824338E-3</v>
      </c>
      <c r="D110" s="6">
        <f t="array" ref="D110">IF(TEXT(MAX(IF($A$94:$A$105=1,$B$94:$B$105)),"mmmm")="July",D109/D92,IFERROR(D109/INDEX(D$94:D$105,MATCH(TEXT(MAX(IF($A$94:$A$105=1,$B$94:$B$105)),"mmmm"),TEXT($B$94:$B$105,"mmmm"),0)-1),0))</f>
        <v>1.4937175995079518E-3</v>
      </c>
      <c r="E110" s="6">
        <f t="array" ref="E110">IF(TEXT(MAX(IF($A$94:$A$105=1,$B$94:$B$105)),"mmmm")="July",E109/E92,IFERROR(E109/INDEX(E$94:E$105,MATCH(TEXT(MAX(IF($A$94:$A$105=1,$B$94:$B$105)),"mmmm"),TEXT($B$94:$B$105,"mmmm"),0)-1),0))</f>
        <v>-2.7016194872860597E-3</v>
      </c>
      <c r="F110" s="6">
        <f t="array" ref="F110">IF(TEXT(MAX(IF($A$94:$A$105=1,$B$94:$B$105)),"mmmm")="July",F109/F92,IFERROR(F109/INDEX(F$94:F$105,MATCH(TEXT(MAX(IF($A$94:$A$105=1,$B$94:$B$105)),"mmmm"),TEXT($B$94:$B$105,"mmmm"),0)-1),0))</f>
        <v>3.5622684525505842E-3</v>
      </c>
      <c r="G110" s="6">
        <f t="array" ref="G110">IF(TEXT(MAX(IF($A$94:$A$105=1,$B$94:$B$105)),"mmmm")="July",G109/G92,IFERROR(G109/INDEX(G$94:G$105,MATCH(TEXT(MAX(IF($A$94:$A$105=1,$B$94:$B$105)),"mmmm"),TEXT($B$94:$B$105,"mmmm"),0)-1),0))</f>
        <v>3.2294083274997255E-2</v>
      </c>
      <c r="H110" s="680">
        <f t="array" ref="H110">IF(TEXT(MAX(IF($A$94:$A$105=1,$B$94:$B$105)),"mmmm")="July",H109/H92,IFERROR(H109/INDEX(H$94:H$105,MATCH(TEXT(MAX(IF($A$94:$A$105=1,$B$94:$B$105)),"mmmm"),TEXT($B$94:$B$105,"mmmm"),0)-1),0))</f>
        <v>-1.1200195171717844E-3</v>
      </c>
      <c r="I110" s="680"/>
      <c r="J110" s="6">
        <f t="array" ref="J110">IF(TEXT(MAX(IF($A$94:$A$105=1,$B$94:$B$105)),"mmmm")="July",J109/J92,IFERROR(J109/INDEX(J$94:J$105,MATCH(TEXT(MAX(IF($A$94:$A$105=1,$B$94:$B$105)),"mmmm"),TEXT($B$94:$B$105,"mmmm"),0)-1),0))</f>
        <v>7.9681274900398405E-3</v>
      </c>
      <c r="K110" s="6">
        <f t="array" ref="K110">IF(TEXT(MAX(IF($A$94:$A$105=1,$B$94:$B$105)),"mmmm")="July",K109/K92,IFERROR(K109/INDEX(K$94:K$105,MATCH(TEXT(MAX(IF($A$94:$A$105=1,$B$94:$B$105)),"mmmm"),TEXT($B$94:$B$105,"mmmm"),0)-1),0))</f>
        <v>2.757865796691844E-3</v>
      </c>
      <c r="L110" s="6">
        <f t="array" ref="L110">IF(TEXT(MAX(IF($A$94:$A$105=1,$B$94:$B$105)),"mmmm")="July",L109/L92,IFERROR(L109/INDEX(L$94:L$105,MATCH(TEXT(MAX(IF($A$94:$A$105=1,$B$94:$B$105)),"mmmm"),TEXT($B$94:$B$105,"mmmm"),0)-1),0))</f>
        <v>-6.1064220183486241E-3</v>
      </c>
      <c r="M110" s="6">
        <f t="array" ref="M110">IF(TEXT(MAX(IF($A$94:$A$105=1,$B$94:$B$105)),"mmmm")="July",M109/M92,IFERROR(M109/INDEX(M$94:M$105,MATCH(TEXT(MAX(IF($A$94:$A$105=1,$B$94:$B$105)),"mmmm"),TEXT($B$94:$B$105,"mmmm"),0)-1),0))</f>
        <v>1.1745705476435178E-2</v>
      </c>
      <c r="N110" s="6">
        <f t="array" ref="N110">IF(TEXT(MAX(IF($A$94:$A$105=1,$B$94:$B$105)),"mmmm")="July",N109/N92,IFERROR(N109/INDEX(N$94:N$105,MATCH(TEXT(MAX(IF($A$94:$A$105=1,$B$94:$B$105)),"mmmm"),TEXT($B$94:$B$105,"mmmm"),0)-1),0))</f>
        <v>-4.329004329004329E-3</v>
      </c>
      <c r="O110" s="6">
        <f t="array" ref="O110">IF(TEXT(MAX(IF($A$94:$A$105=1,$B$94:$B$105)),"mmmm")="July",O109/O92,IFERROR(O109/INDEX(O$94:O$105,MATCH(TEXT(MAX(IF($A$94:$A$105=1,$B$94:$B$105)),"mmmm"),TEXT($B$94:$B$105,"mmmm"),0)-1),0))</f>
        <v>-2.2653721682847898E-2</v>
      </c>
      <c r="P110" s="6">
        <f t="array" ref="P110">IF(TEXT(MAX(IF($A$94:$A$105=1,$B$94:$B$105)),"mmmm")="July",P109/P92,IFERROR(P109/INDEX(P$94:P$105,MATCH(TEXT(MAX(IF($A$94:$A$105=1,$B$94:$B$105)),"mmmm"),TEXT($B$94:$B$105,"mmmm"),0)-1),0))</f>
        <v>4.3235704323570434E-2</v>
      </c>
      <c r="Q110" s="6">
        <f t="array" ref="Q110">IF(TEXT(MAX(IF($A$94:$A$105=1,$B$94:$B$105)),"mmmm")="July",Q109/Q92,IFERROR(Q109/INDEX(Q$94:Q$105,MATCH(TEXT(MAX(IF($A$94:$A$105=1,$B$94:$B$105)),"mmmm"),TEXT($B$94:$B$105,"mmmm"),0)-1),0))</f>
        <v>1.1596477460981776E-2</v>
      </c>
      <c r="R110" s="443">
        <f t="array" ref="R110">IF(TEXT(MAX(IF($A$94:$A$105=1,$B$94:$B$105)),"mmmm")="July",R109/R92,IFERROR(R109/INDEX(R$94:R$105,MATCH(TEXT(MAX(IF($A$94:$A$105=1,$B$94:$B$105)),"mmmm"),TEXT($B$94:$B$105,"mmmm"),0)-1),0))</f>
        <v>4.8779485312574773E-3</v>
      </c>
      <c r="S110" s="6"/>
      <c r="T110" s="234"/>
      <c r="U110" s="6"/>
      <c r="V110" s="165"/>
      <c r="AM110" s="440"/>
      <c r="AN110" s="440"/>
    </row>
    <row r="111" spans="1:40" s="156" customFormat="1" x14ac:dyDescent="0.2">
      <c r="B111" s="207" t="s">
        <v>36</v>
      </c>
      <c r="C111" s="3">
        <f t="array" ref="C111">INDEX(C$94:C$105,MATCH(TEXT(MAX(IF($A$94:$A$105=1,$B$94:$B$105)),"mmmm"),TEXT($B$94:$B$105,"mmmm"),0))-INDEX(C$81:C$92,MATCH(TEXT(MAX(IF($A$94:$A$105=1,$B$94:$B$105)),"mmmm"),TEXT($B$81:$B$92,"mmmm"),0))</f>
        <v>1915</v>
      </c>
      <c r="D111" s="3">
        <f t="array" ref="D111">INDEX(D$94:D$105,MATCH(TEXT(MAX(IF($A$94:$A$105=1,$B$94:$B$105)),"mmmm"),TEXT($B$94:$B$105,"mmmm"),0))-INDEX(D$81:D$92,MATCH(TEXT(MAX(IF($A$94:$A$105=1,$B$94:$B$105)),"mmmm"),TEXT($B$81:$B$92,"mmmm"),0))</f>
        <v>610</v>
      </c>
      <c r="E111" s="3">
        <f t="array" ref="E111">INDEX(E$94:E$105,MATCH(TEXT(MAX(IF($A$94:$A$105=1,$B$94:$B$105)),"mmmm"),TEXT($B$94:$B$105,"mmmm"),0))-INDEX(E$81:E$92,MATCH(TEXT(MAX(IF($A$94:$A$105=1,$B$94:$B$105)),"mmmm"),TEXT($B$81:$B$92,"mmmm"),0))</f>
        <v>-657</v>
      </c>
      <c r="F111" s="3">
        <f t="array" ref="F111">INDEX(F$94:F$105,MATCH(TEXT(MAX(IF($A$94:$A$105=1,$B$94:$B$105)),"mmmm"),TEXT($B$94:$B$105,"mmmm"),0))-INDEX(F$81:F$92,MATCH(TEXT(MAX(IF($A$94:$A$105=1,$B$94:$B$105)),"mmmm"),TEXT($B$81:$B$92,"mmmm"),0))</f>
        <v>1891</v>
      </c>
      <c r="G111" s="3">
        <f t="array" ref="G111">INDEX(G$94:G$105,MATCH(TEXT(MAX(IF($A$94:$A$105=1,$B$94:$B$105)),"mmmm"),TEXT($B$94:$B$105,"mmmm"),0))-INDEX(G$81:G$92,MATCH(TEXT(MAX(IF($A$94:$A$105=1,$B$94:$B$105)),"mmmm"),TEXT($B$81:$B$92,"mmmm"),0))</f>
        <v>23179</v>
      </c>
      <c r="H111" s="679">
        <f t="array" ref="H111">INDEX(H$94:H$105,MATCH(TEXT(MAX(IF($A$94:$A$105=1,$B$94:$B$105)),"mmmm"),TEXT($B$94:$B$105,"mmmm"),0))-INDEX(H$81:H$92,MATCH(TEXT(MAX(IF($A$94:$A$105=1,$B$94:$B$105)),"mmmm"),TEXT($B$81:$B$92,"mmmm"),0))-I91</f>
        <v>10264</v>
      </c>
      <c r="I111" s="679"/>
      <c r="J111" s="3">
        <f t="array" ref="J111">INDEX(J$94:J$105,MATCH(TEXT(MAX(IF($A$94:$A$105=1,$B$94:$B$105)),"mmmm"),TEXT($B$94:$B$105,"mmmm"),0))-INDEX(J$81:J$92,MATCH(TEXT(MAX(IF($A$94:$A$105=1,$B$94:$B$105)),"mmmm"),TEXT($B$81:$B$92,"mmmm"),0))</f>
        <v>-55</v>
      </c>
      <c r="K111" s="3">
        <f t="array" ref="K111">INDEX(K$94:K$105,MATCH(TEXT(MAX(IF($A$94:$A$105=1,$B$94:$B$105)),"mmmm"),TEXT($B$94:$B$105,"mmmm"),0))-INDEX(K$81:K$92,MATCH(TEXT(MAX(IF($A$94:$A$105=1,$B$94:$B$105)),"mmmm"),TEXT($B$81:$B$92,"mmmm"),0))</f>
        <v>-3156</v>
      </c>
      <c r="L111" s="3">
        <f t="array" ref="L111">INDEX(L$94:L$105,MATCH(TEXT(MAX(IF($A$94:$A$105=1,$B$94:$B$105)),"mmmm"),TEXT($B$94:$B$105,"mmmm"),0))-INDEX(L$81:L$92,MATCH(TEXT(MAX(IF($A$94:$A$105=1,$B$94:$B$105)),"mmmm"),TEXT($B$81:$B$92,"mmmm"),0))</f>
        <v>6540</v>
      </c>
      <c r="M111" s="3">
        <f t="array" ref="M111">INDEX(M$94:M$105,MATCH(TEXT(MAX(IF($A$94:$A$105=1,$B$94:$B$105)),"mmmm"),TEXT($B$94:$B$105,"mmmm"),0))-INDEX(M$81:M$92,MATCH(TEXT(MAX(IF($A$94:$A$105=1,$B$94:$B$105)),"mmmm"),TEXT($B$81:$B$92,"mmmm"),0))</f>
        <v>477</v>
      </c>
      <c r="N111" s="3">
        <f t="array" ref="N111">INDEX(N$94:N$105,MATCH(TEXT(MAX(IF($A$94:$A$105=1,$B$94:$B$105)),"mmmm"),TEXT($B$94:$B$105,"mmmm"),0))-INDEX(N$81:N$92,MATCH(TEXT(MAX(IF($A$94:$A$105=1,$B$94:$B$105)),"mmmm"),TEXT($B$81:$B$92,"mmmm"),0))</f>
        <v>-2924</v>
      </c>
      <c r="O111" s="3">
        <f t="array" ref="O111">INDEX(O$94:O$105,MATCH(TEXT(MAX(IF($A$94:$A$105=1,$B$94:$B$105)),"mmmm"),TEXT($B$94:$B$105,"mmmm"),0))-INDEX(O$81:O$92,MATCH(TEXT(MAX(IF($A$94:$A$105=1,$B$94:$B$105)),"mmmm"),TEXT($B$81:$B$92,"mmmm"),0))</f>
        <v>546</v>
      </c>
      <c r="P111" s="3">
        <f t="array" ref="P111">INDEX(P$94:P$105,MATCH(TEXT(MAX(IF($A$94:$A$105=1,$B$94:$B$105)),"mmmm"),TEXT($B$94:$B$105,"mmmm"),0))-INDEX(P$81:P$92,MATCH(TEXT(MAX(IF($A$94:$A$105=1,$B$94:$B$105)),"mmmm"),TEXT($B$81:$B$92,"mmmm"),0))</f>
        <v>285</v>
      </c>
      <c r="Q111" s="3">
        <f t="array" ref="Q111">INDEX(Q$94:Q$105,MATCH(TEXT(MAX(IF($A$94:$A$105=1,$B$94:$B$105)),"mmmm"),TEXT($B$94:$B$105,"mmmm"),0))-INDEX(Q$81:Q$92,MATCH(TEXT(MAX(IF($A$94:$A$105=1,$B$94:$B$105)),"mmmm"),TEXT($B$81:$B$92,"mmmm"),0))</f>
        <v>1113</v>
      </c>
      <c r="R111" s="480">
        <f t="array" ref="R111">INDEX(R$94:R$105,MATCH(TEXT(MAX(IF($A$94:$A$105=1,$B$94:$B$105)),"mmmm"),TEXT($B$94:$B$105,"mmmm"),0))-INDEX(R$81:R$92,MATCH(TEXT(MAX(IF($A$94:$A$105=1,$B$94:$B$105)),"mmmm"),TEXT($B$81:$B$92,"mmmm"),0))</f>
        <v>40028</v>
      </c>
      <c r="S111" s="5"/>
      <c r="T111" s="5"/>
      <c r="U111" s="5"/>
      <c r="AM111" s="440"/>
      <c r="AN111" s="440"/>
    </row>
    <row r="112" spans="1:40" s="156" customFormat="1" ht="16.5" thickBot="1" x14ac:dyDescent="0.25">
      <c r="B112" s="207" t="s">
        <v>37</v>
      </c>
      <c r="C112" s="6">
        <f t="array" ref="C112">IFERROR(C111/INDEX(C$81:C$92,MATCH(TEXT(MAX(IF($A$94:$A$105=1,$B$94:$B$105)),"mmmm"),TEXT($B$81:$B$92,"mmmm"),0)),0)</f>
        <v>4.4638694638694638E-2</v>
      </c>
      <c r="D112" s="6">
        <f t="array" ref="D112">IFERROR(D111/INDEX(D$81:D$92,MATCH(TEXT(MAX(IF($A$94:$A$105=1,$B$94:$B$105)),"mmmm"),TEXT($B$81:$B$92,"mmmm"),0)),0)</f>
        <v>5.654430849091583E-2</v>
      </c>
      <c r="E112" s="6">
        <f t="array" ref="E112">IFERROR(E111/INDEX(E$81:E$92,MATCH(TEXT(MAX(IF($A$94:$A$105=1,$B$94:$B$105)),"mmmm"),TEXT($B$81:$B$92,"mmmm"),0)),0)</f>
        <v>-9.684266383656142E-3</v>
      </c>
      <c r="F112" s="6">
        <f t="array" ref="F112">IFERROR(F111/INDEX(F$81:F$92,MATCH(TEXT(MAX(IF($A$94:$A$105=1,$B$94:$B$105)),"mmmm"),TEXT($B$81:$B$92,"mmmm"),0)),0)</f>
        <v>0.36704192546583853</v>
      </c>
      <c r="G112" s="6">
        <f t="array" ref="G112">IFERROR(G111/INDEX(G$81:G$92,MATCH(TEXT(MAX(IF($A$94:$A$105=1,$B$94:$B$105)),"mmmm"),TEXT($B$81:$B$92,"mmmm"),0)),0)</f>
        <v>0.14929920387499035</v>
      </c>
      <c r="H112" s="680">
        <f t="array" ref="H112">IFERROR(H111/INDEX(H$81:H$92,MATCH(TEXT(MAX(IF($A$94:$A$105=1,$B$94:$B$105)),"mmmm"),TEXT($B$81:$B$92,"mmmm"),0)),0)</f>
        <v>0.11110028684310223</v>
      </c>
      <c r="I112" s="680"/>
      <c r="J112" s="6">
        <f t="array" ref="J112">IFERROR(J111/INDEX(J$81:J$92,MATCH(TEXT(MAX(IF($A$94:$A$105=1,$B$94:$B$105)),"mmmm"),TEXT($B$81:$B$92,"mmmm"),0)),0)</f>
        <v>-0.17857142857142858</v>
      </c>
      <c r="K112" s="6">
        <f t="array" ref="K112">IFERROR(K111/INDEX(K$81:K$92,MATCH(TEXT(MAX(IF($A$94:$A$105=1,$B$94:$B$105)),"mmmm"),TEXT($B$81:$B$92,"mmmm"),0)),0)</f>
        <v>-6.6836227946268419E-3</v>
      </c>
      <c r="L112" s="6">
        <f t="array" ref="L112">IFERROR(L111/INDEX(L$81:L$92,MATCH(TEXT(MAX(IF($A$94:$A$105=1,$B$94:$B$105)),"mmmm"),TEXT($B$81:$B$92,"mmmm"),0)),0)</f>
        <v>0.10691690235249882</v>
      </c>
      <c r="M112" s="6">
        <f t="array" ref="M112">IFERROR(M111/INDEX(M$81:M$92,MATCH(TEXT(MAX(IF($A$94:$A$105=1,$B$94:$B$105)),"mmmm"),TEXT($B$81:$B$92,"mmmm"),0)),0)</f>
        <v>2.3618538324420676E-2</v>
      </c>
      <c r="N112" s="6">
        <f t="array" ref="N112">IFERROR(N111/INDEX(N$81:N$92,MATCH(TEXT(MAX(IF($A$94:$A$105=1,$B$94:$B$105)),"mmmm"),TEXT($B$81:$B$92,"mmmm"),0)),0)</f>
        <v>-0.19645256651437787</v>
      </c>
      <c r="O112" s="6">
        <f t="array" ref="O112">IFERROR(O111/INDEX(O$81:O$92,MATCH(TEXT(MAX(IF($A$94:$A$105=1,$B$94:$B$105)),"mmmm"),TEXT($B$81:$B$92,"mmmm"),0)),0)</f>
        <v>0.29197860962566846</v>
      </c>
      <c r="P112" s="6">
        <f t="array" ref="P112">IFERROR(P111/INDEX(P$81:P$92,MATCH(TEXT(MAX(IF($A$94:$A$105=1,$B$94:$B$105)),"mmmm"),TEXT($B$81:$B$92,"mmmm"),0)),0)</f>
        <v>0.10528260066494274</v>
      </c>
      <c r="Q112" s="6">
        <f t="array" ref="Q112">IFERROR(Q111/INDEX(Q$81:Q$92,MATCH(TEXT(MAX(IF($A$94:$A$105=1,$B$94:$B$105)),"mmmm"),TEXT($B$81:$B$92,"mmmm"),0)),0)</f>
        <v>3.3033567803401297E-2</v>
      </c>
      <c r="R112" s="443">
        <f t="array" ref="R112">IFERROR(R111/INDEX(R$81:R$92,MATCH(TEXT(MAX(IF($A$94:$A$105=1,$B$94:$B$105)),"mmmm"),TEXT($B$81:$B$92,"mmmm"),0)),0)</f>
        <v>3.0117164104987226E-2</v>
      </c>
      <c r="S112" s="6"/>
      <c r="T112" s="74"/>
      <c r="U112" s="6"/>
      <c r="AA112" s="157"/>
      <c r="AM112" s="440"/>
      <c r="AN112" s="440"/>
    </row>
    <row r="113" spans="1:45" s="156" customFormat="1" ht="19.5" hidden="1" thickBot="1" x14ac:dyDescent="0.25">
      <c r="B113" s="248" t="s">
        <v>264</v>
      </c>
      <c r="C113" s="5"/>
      <c r="D113" s="5"/>
      <c r="E113" s="5"/>
      <c r="F113" s="5"/>
      <c r="G113" s="249"/>
      <c r="H113" s="249"/>
      <c r="I113" s="5"/>
      <c r="J113" s="5"/>
      <c r="K113" s="5"/>
      <c r="L113" s="5"/>
      <c r="M113" s="5"/>
      <c r="N113" s="5"/>
      <c r="O113" s="5"/>
      <c r="P113" s="5"/>
      <c r="Q113" s="5"/>
      <c r="R113" s="206"/>
      <c r="S113" s="5"/>
      <c r="AM113" s="440"/>
    </row>
    <row r="114" spans="1:45" s="156" customFormat="1" ht="16.5" hidden="1" thickBot="1" x14ac:dyDescent="0.25">
      <c r="B114" s="248" t="s">
        <v>26</v>
      </c>
      <c r="C114" s="5"/>
      <c r="D114" s="5"/>
      <c r="E114" s="5"/>
      <c r="F114" s="5"/>
      <c r="G114" s="5"/>
      <c r="H114" s="5"/>
      <c r="I114" s="5"/>
      <c r="J114" s="5"/>
      <c r="K114" s="5"/>
      <c r="L114" s="5"/>
      <c r="M114" s="5"/>
      <c r="N114" s="5"/>
      <c r="O114" s="5"/>
      <c r="P114" s="5"/>
      <c r="Q114" s="5"/>
      <c r="R114" s="206"/>
      <c r="S114" s="5"/>
      <c r="T114" s="441"/>
      <c r="AM114" s="440"/>
    </row>
    <row r="115" spans="1:45" s="156" customFormat="1" ht="16.5" hidden="1" thickBot="1" x14ac:dyDescent="0.25">
      <c r="B115" s="354" t="s">
        <v>102</v>
      </c>
      <c r="C115" s="5"/>
      <c r="D115" s="5"/>
      <c r="E115" s="5"/>
      <c r="F115" s="5"/>
      <c r="G115" s="249"/>
      <c r="H115" s="249"/>
      <c r="I115" s="5"/>
      <c r="J115" s="5"/>
      <c r="K115" s="5"/>
      <c r="L115" s="5"/>
      <c r="M115" s="5"/>
      <c r="N115" s="5"/>
      <c r="O115" s="5"/>
      <c r="P115" s="5"/>
      <c r="Q115" s="5"/>
      <c r="R115" s="206"/>
      <c r="S115" s="5"/>
      <c r="T115" s="342"/>
      <c r="AL115" s="440"/>
      <c r="AM115" s="440"/>
      <c r="AN115" s="440"/>
      <c r="AO115" s="440"/>
      <c r="AP115" s="440"/>
      <c r="AQ115" s="440"/>
      <c r="AR115" s="440"/>
      <c r="AS115" s="440"/>
    </row>
    <row r="116" spans="1:45" s="156" customFormat="1" ht="16.5" hidden="1" thickBot="1" x14ac:dyDescent="0.25">
      <c r="B116" s="355" t="s">
        <v>27</v>
      </c>
      <c r="C116" s="250"/>
      <c r="D116" s="250"/>
      <c r="E116" s="250"/>
      <c r="F116" s="250"/>
      <c r="G116" s="251"/>
      <c r="H116" s="251"/>
      <c r="I116" s="250"/>
      <c r="J116" s="250"/>
      <c r="K116" s="250"/>
      <c r="L116" s="250"/>
      <c r="M116" s="250"/>
      <c r="N116" s="250"/>
      <c r="O116" s="250"/>
      <c r="P116" s="250"/>
      <c r="Q116" s="250"/>
      <c r="R116" s="444"/>
      <c r="S116" s="5"/>
      <c r="AL116" s="440"/>
      <c r="AM116" s="440"/>
      <c r="AN116" s="440"/>
      <c r="AO116" s="440"/>
      <c r="AP116" s="440"/>
      <c r="AQ116" s="440"/>
      <c r="AR116" s="440"/>
      <c r="AS116" s="440"/>
    </row>
    <row r="117" spans="1:45" s="156" customFormat="1" ht="16.5" hidden="1" thickBot="1" x14ac:dyDescent="0.25">
      <c r="B117" s="248"/>
      <c r="C117" s="5"/>
      <c r="D117" s="5"/>
      <c r="E117" s="5"/>
      <c r="F117" s="5"/>
      <c r="G117" s="5"/>
      <c r="H117" s="5"/>
      <c r="I117" s="5"/>
      <c r="J117" s="5"/>
      <c r="K117" s="5"/>
      <c r="L117" s="5"/>
      <c r="M117" s="5"/>
      <c r="N117" s="5"/>
      <c r="O117" s="5"/>
      <c r="P117" s="5"/>
      <c r="Q117" s="5"/>
      <c r="R117" s="206"/>
      <c r="S117" s="5"/>
      <c r="AL117" s="440"/>
      <c r="AM117" s="440"/>
      <c r="AN117" s="440"/>
      <c r="AO117" s="440"/>
      <c r="AP117" s="440"/>
      <c r="AQ117" s="440"/>
      <c r="AR117" s="440"/>
      <c r="AS117" s="440"/>
    </row>
    <row r="118" spans="1:45" s="154" customFormat="1" x14ac:dyDescent="0.2">
      <c r="B118" s="658" t="s">
        <v>24</v>
      </c>
      <c r="C118" s="659"/>
      <c r="D118" s="659"/>
      <c r="E118" s="659"/>
      <c r="F118" s="659"/>
      <c r="G118" s="659"/>
      <c r="H118" s="659"/>
      <c r="I118" s="659"/>
      <c r="J118" s="659"/>
      <c r="K118" s="659"/>
      <c r="L118" s="659"/>
      <c r="M118" s="659"/>
      <c r="N118" s="659"/>
      <c r="O118" s="659"/>
      <c r="P118" s="659"/>
      <c r="Q118" s="659"/>
      <c r="R118" s="660"/>
      <c r="S118" s="127"/>
      <c r="AC118" s="445"/>
      <c r="AD118" s="445"/>
      <c r="AE118" s="445"/>
      <c r="AF118" s="445"/>
      <c r="AG118" s="445"/>
      <c r="AH118" s="445"/>
      <c r="AL118" s="440"/>
      <c r="AM118" s="440"/>
      <c r="AN118" s="440"/>
      <c r="AO118" s="440"/>
      <c r="AP118" s="440"/>
      <c r="AQ118" s="440"/>
      <c r="AR118" s="440"/>
      <c r="AS118" s="440"/>
    </row>
    <row r="119" spans="1:45" s="154" customFormat="1" x14ac:dyDescent="0.25">
      <c r="B119" s="661" t="s">
        <v>296</v>
      </c>
      <c r="C119" s="662"/>
      <c r="D119" s="662"/>
      <c r="E119" s="662"/>
      <c r="F119" s="662"/>
      <c r="G119" s="662"/>
      <c r="H119" s="662"/>
      <c r="I119" s="662"/>
      <c r="J119" s="662"/>
      <c r="K119" s="662"/>
      <c r="L119" s="662"/>
      <c r="M119" s="662"/>
      <c r="N119" s="662"/>
      <c r="O119" s="662"/>
      <c r="P119" s="662"/>
      <c r="Q119" s="662"/>
      <c r="R119" s="663"/>
      <c r="S119" s="232"/>
      <c r="AC119" s="446"/>
      <c r="AD119" s="446"/>
      <c r="AE119" s="446"/>
      <c r="AF119" s="446"/>
      <c r="AG119" s="446"/>
      <c r="AH119" s="446"/>
      <c r="AL119" s="440"/>
      <c r="AM119" s="440"/>
      <c r="AN119" s="440"/>
      <c r="AO119" s="440"/>
      <c r="AP119" s="440"/>
      <c r="AQ119" s="440"/>
      <c r="AR119" s="440"/>
      <c r="AS119" s="440"/>
    </row>
    <row r="120" spans="1:45" s="154" customFormat="1" x14ac:dyDescent="0.25">
      <c r="B120" s="664" t="s">
        <v>363</v>
      </c>
      <c r="C120" s="665"/>
      <c r="D120" s="665"/>
      <c r="E120" s="665"/>
      <c r="F120" s="665"/>
      <c r="G120" s="665"/>
      <c r="H120" s="665"/>
      <c r="I120" s="665"/>
      <c r="J120" s="665"/>
      <c r="K120" s="665"/>
      <c r="L120" s="665"/>
      <c r="M120" s="665"/>
      <c r="N120" s="665"/>
      <c r="O120" s="665"/>
      <c r="P120" s="665"/>
      <c r="Q120" s="665"/>
      <c r="R120" s="666"/>
      <c r="S120" s="232"/>
      <c r="W120" s="600"/>
      <c r="X120" s="600"/>
      <c r="Y120" s="600"/>
      <c r="Z120" s="600"/>
      <c r="AA120" s="600"/>
      <c r="AB120" s="600"/>
      <c r="AC120" s="601"/>
      <c r="AD120" s="601"/>
      <c r="AE120" s="601"/>
      <c r="AF120" s="601"/>
      <c r="AG120" s="601"/>
      <c r="AH120" s="446"/>
      <c r="AL120" s="440"/>
      <c r="AM120" s="440"/>
      <c r="AN120" s="440"/>
      <c r="AO120" s="440"/>
      <c r="AP120" s="440"/>
      <c r="AQ120" s="440"/>
      <c r="AR120" s="440"/>
      <c r="AS120" s="440"/>
    </row>
    <row r="121" spans="1:45" s="154" customFormat="1" ht="25.5" x14ac:dyDescent="0.25">
      <c r="A121" s="564" t="s">
        <v>345</v>
      </c>
      <c r="B121" s="667" t="s">
        <v>364</v>
      </c>
      <c r="C121" s="668"/>
      <c r="D121" s="668"/>
      <c r="E121" s="668"/>
      <c r="F121" s="668"/>
      <c r="G121" s="668"/>
      <c r="H121" s="668"/>
      <c r="I121" s="668"/>
      <c r="J121" s="668"/>
      <c r="K121" s="668"/>
      <c r="L121" s="668"/>
      <c r="M121" s="668"/>
      <c r="N121" s="668"/>
      <c r="O121" s="668"/>
      <c r="P121" s="668"/>
      <c r="Q121" s="668"/>
      <c r="R121" s="669"/>
      <c r="S121" s="232"/>
      <c r="T121" s="232"/>
      <c r="U121" s="232"/>
      <c r="W121" s="600"/>
      <c r="X121" s="600"/>
      <c r="Y121" s="600"/>
      <c r="Z121" s="600"/>
      <c r="AA121" s="602"/>
      <c r="AB121" s="602"/>
      <c r="AC121" s="448"/>
      <c r="AD121" s="448"/>
      <c r="AE121" s="448"/>
      <c r="AF121" s="448"/>
      <c r="AG121" s="601"/>
      <c r="AH121" s="446"/>
      <c r="AL121" s="440"/>
      <c r="AM121" s="440"/>
      <c r="AN121" s="440"/>
      <c r="AO121" s="440"/>
      <c r="AP121" s="440"/>
      <c r="AQ121" s="440"/>
      <c r="AR121" s="440"/>
      <c r="AS121" s="440"/>
    </row>
    <row r="122" spans="1:45" ht="26.25" thickBot="1" x14ac:dyDescent="0.3">
      <c r="A122" s="564" t="s">
        <v>345</v>
      </c>
      <c r="B122" s="670" t="s">
        <v>349</v>
      </c>
      <c r="C122" s="671"/>
      <c r="D122" s="671"/>
      <c r="E122" s="671"/>
      <c r="F122" s="671"/>
      <c r="G122" s="671"/>
      <c r="H122" s="671"/>
      <c r="I122" s="671"/>
      <c r="J122" s="671"/>
      <c r="K122" s="671"/>
      <c r="L122" s="671"/>
      <c r="M122" s="671"/>
      <c r="N122" s="671"/>
      <c r="O122" s="671"/>
      <c r="P122" s="671"/>
      <c r="Q122" s="671"/>
      <c r="R122" s="672"/>
      <c r="W122" s="450"/>
      <c r="X122" s="450"/>
      <c r="Y122" s="450"/>
      <c r="Z122" s="450"/>
      <c r="AA122" s="447"/>
      <c r="AB122" s="447"/>
      <c r="AC122" s="448"/>
      <c r="AD122" s="449"/>
      <c r="AE122" s="447"/>
      <c r="AF122" s="448"/>
      <c r="AG122" s="601"/>
      <c r="AH122" s="446"/>
      <c r="AL122" s="440"/>
      <c r="AM122" s="440"/>
      <c r="AN122" s="440"/>
      <c r="AO122" s="440"/>
      <c r="AP122" s="440"/>
      <c r="AQ122" s="440"/>
      <c r="AR122" s="440"/>
      <c r="AS122" s="440"/>
    </row>
    <row r="123" spans="1:45" ht="15.75" customHeight="1" x14ac:dyDescent="0.25">
      <c r="B123" s="673"/>
      <c r="C123" s="673"/>
      <c r="D123" s="673"/>
      <c r="E123" s="673"/>
      <c r="F123" s="673"/>
      <c r="G123" s="673"/>
      <c r="H123" s="673"/>
      <c r="I123" s="673"/>
      <c r="J123" s="673"/>
      <c r="K123" s="673"/>
      <c r="L123" s="673"/>
      <c r="M123" s="673"/>
      <c r="N123" s="673"/>
      <c r="O123" s="673"/>
      <c r="P123" s="673"/>
      <c r="Q123" s="673"/>
      <c r="R123" s="673"/>
      <c r="W123" s="450"/>
      <c r="X123" s="450"/>
      <c r="Y123" s="450"/>
      <c r="Z123" s="450"/>
      <c r="AA123" s="447"/>
      <c r="AB123" s="447"/>
      <c r="AC123" s="448"/>
      <c r="AD123" s="449"/>
      <c r="AE123" s="447"/>
      <c r="AF123" s="448"/>
      <c r="AG123" s="601"/>
      <c r="AH123" s="446"/>
      <c r="AL123" s="440"/>
      <c r="AM123" s="440"/>
      <c r="AN123" s="440"/>
      <c r="AO123" s="440"/>
      <c r="AP123" s="440"/>
      <c r="AQ123" s="440"/>
      <c r="AR123" s="440"/>
      <c r="AS123" s="440"/>
    </row>
    <row r="124" spans="1:45" ht="16.5" customHeight="1" x14ac:dyDescent="0.25">
      <c r="B124" s="673"/>
      <c r="C124" s="673"/>
      <c r="D124" s="673"/>
      <c r="E124" s="673"/>
      <c r="F124" s="673"/>
      <c r="G124" s="673"/>
      <c r="H124" s="673"/>
      <c r="I124" s="673"/>
      <c r="J124" s="673"/>
      <c r="K124" s="673"/>
      <c r="L124" s="673"/>
      <c r="M124" s="673"/>
      <c r="N124" s="673"/>
      <c r="O124" s="673"/>
      <c r="P124" s="673"/>
      <c r="Q124" s="673"/>
      <c r="R124" s="673"/>
      <c r="W124" s="450"/>
      <c r="X124" s="450"/>
      <c r="Y124" s="450"/>
      <c r="Z124" s="450"/>
      <c r="AA124" s="447"/>
      <c r="AB124" s="447"/>
      <c r="AC124" s="448"/>
      <c r="AD124" s="449"/>
      <c r="AE124" s="447"/>
      <c r="AF124" s="448"/>
      <c r="AG124" s="601"/>
      <c r="AH124" s="446"/>
      <c r="AL124" s="440"/>
      <c r="AM124" s="440"/>
      <c r="AN124" s="440"/>
      <c r="AO124" s="440"/>
      <c r="AP124" s="440"/>
      <c r="AQ124" s="440"/>
      <c r="AR124" s="440"/>
      <c r="AS124" s="440"/>
    </row>
    <row r="125" spans="1:45" ht="15.75" customHeight="1" x14ac:dyDescent="0.25">
      <c r="B125" s="673"/>
      <c r="C125" s="673"/>
      <c r="D125" s="673"/>
      <c r="E125" s="673"/>
      <c r="F125" s="673"/>
      <c r="G125" s="673"/>
      <c r="H125" s="673"/>
      <c r="I125" s="673"/>
      <c r="J125" s="673"/>
      <c r="K125" s="673"/>
      <c r="L125" s="673"/>
      <c r="M125" s="673"/>
      <c r="N125" s="673"/>
      <c r="O125" s="673"/>
      <c r="P125" s="673"/>
      <c r="Q125" s="673"/>
      <c r="R125" s="673"/>
      <c r="S125" s="450"/>
      <c r="W125" s="450"/>
      <c r="X125" s="450"/>
      <c r="Y125" s="450"/>
      <c r="Z125" s="450"/>
      <c r="AA125" s="447"/>
      <c r="AB125" s="447"/>
      <c r="AC125" s="448"/>
      <c r="AD125" s="449"/>
      <c r="AE125" s="447"/>
      <c r="AF125" s="448"/>
      <c r="AG125" s="601"/>
      <c r="AH125" s="446"/>
      <c r="AL125" s="440"/>
      <c r="AM125" s="440"/>
      <c r="AN125" s="440"/>
      <c r="AO125" s="440"/>
      <c r="AP125" s="440"/>
      <c r="AQ125" s="440"/>
      <c r="AR125" s="440"/>
      <c r="AS125" s="440"/>
    </row>
    <row r="126" spans="1:45" x14ac:dyDescent="0.25">
      <c r="B126" s="674"/>
      <c r="C126" s="675"/>
      <c r="D126" s="675"/>
      <c r="E126" s="675"/>
      <c r="F126" s="675"/>
      <c r="G126" s="675"/>
      <c r="H126" s="675"/>
      <c r="I126" s="675"/>
      <c r="J126" s="675"/>
      <c r="K126" s="675"/>
      <c r="L126" s="675"/>
      <c r="M126" s="675"/>
      <c r="N126" s="675"/>
      <c r="O126" s="675"/>
      <c r="P126" s="675"/>
      <c r="Q126" s="675"/>
      <c r="R126" s="675"/>
      <c r="S126" s="450"/>
      <c r="W126" s="450"/>
      <c r="X126" s="450"/>
      <c r="Y126" s="450"/>
      <c r="Z126" s="450"/>
      <c r="AA126" s="447"/>
      <c r="AB126" s="447"/>
      <c r="AC126" s="448"/>
      <c r="AD126" s="449"/>
      <c r="AE126" s="447"/>
      <c r="AF126" s="448"/>
      <c r="AG126" s="601"/>
      <c r="AH126" s="446"/>
      <c r="AL126" s="440"/>
      <c r="AM126" s="440"/>
      <c r="AN126" s="440"/>
      <c r="AO126" s="440"/>
      <c r="AP126" s="440"/>
      <c r="AQ126" s="440"/>
      <c r="AR126" s="440"/>
      <c r="AS126" s="440"/>
    </row>
    <row r="127" spans="1:45" x14ac:dyDescent="0.25">
      <c r="B127" s="676"/>
      <c r="C127" s="676"/>
      <c r="D127" s="676"/>
      <c r="E127" s="676"/>
      <c r="F127" s="676"/>
      <c r="G127" s="676"/>
      <c r="H127" s="676"/>
      <c r="I127" s="676"/>
      <c r="J127" s="676"/>
      <c r="K127" s="676"/>
      <c r="L127" s="676"/>
      <c r="M127" s="676"/>
      <c r="N127" s="676"/>
      <c r="O127" s="676"/>
      <c r="P127" s="676"/>
      <c r="Q127" s="676"/>
      <c r="R127" s="676"/>
      <c r="S127" s="450"/>
      <c r="W127" s="450"/>
      <c r="X127" s="450"/>
      <c r="Y127" s="450"/>
      <c r="Z127" s="450"/>
      <c r="AA127" s="447"/>
      <c r="AB127" s="447"/>
      <c r="AC127" s="448"/>
      <c r="AD127" s="449"/>
      <c r="AE127" s="447"/>
      <c r="AF127" s="448"/>
      <c r="AG127" s="601"/>
      <c r="AH127" s="446"/>
      <c r="AL127" s="440"/>
      <c r="AM127" s="440"/>
      <c r="AN127" s="440"/>
      <c r="AO127" s="440"/>
      <c r="AP127" s="440"/>
      <c r="AQ127" s="440"/>
      <c r="AR127" s="440"/>
      <c r="AS127" s="440"/>
    </row>
    <row r="128" spans="1:45" x14ac:dyDescent="0.2">
      <c r="B128" s="451"/>
      <c r="C128" s="452"/>
      <c r="D128" s="452"/>
      <c r="E128" s="452"/>
      <c r="F128" s="452"/>
      <c r="G128" s="452"/>
      <c r="H128" s="452"/>
      <c r="I128" s="452"/>
      <c r="J128" s="452"/>
      <c r="K128" s="452"/>
      <c r="L128" s="452"/>
      <c r="M128" s="452"/>
      <c r="N128" s="452"/>
      <c r="O128" s="452"/>
      <c r="P128" s="452"/>
      <c r="Q128" s="452"/>
      <c r="W128" s="450"/>
      <c r="X128" s="450"/>
      <c r="Y128" s="450"/>
      <c r="Z128" s="450"/>
      <c r="AA128" s="447"/>
      <c r="AB128" s="603"/>
      <c r="AC128" s="447"/>
      <c r="AD128" s="604"/>
      <c r="AE128" s="447"/>
      <c r="AF128" s="447"/>
      <c r="AG128" s="450"/>
      <c r="AL128" s="440"/>
      <c r="AM128" s="440"/>
      <c r="AN128" s="440"/>
      <c r="AO128" s="440"/>
      <c r="AP128" s="440"/>
      <c r="AQ128" s="440"/>
      <c r="AR128" s="440"/>
      <c r="AS128" s="440"/>
    </row>
    <row r="129" spans="2:45" x14ac:dyDescent="0.2">
      <c r="B129" s="451"/>
      <c r="C129" s="452"/>
      <c r="D129" s="452"/>
      <c r="E129" s="452"/>
      <c r="F129" s="452"/>
      <c r="G129" s="452"/>
      <c r="H129" s="452"/>
      <c r="I129" s="452"/>
      <c r="J129" s="452"/>
      <c r="K129" s="452"/>
      <c r="L129" s="452"/>
      <c r="M129" s="452"/>
      <c r="N129" s="452"/>
      <c r="O129" s="452"/>
      <c r="P129" s="452"/>
      <c r="Q129" s="452"/>
      <c r="W129" s="605"/>
      <c r="X129" s="450"/>
      <c r="Y129" s="450"/>
      <c r="Z129" s="450"/>
      <c r="AA129" s="450"/>
      <c r="AB129" s="450"/>
      <c r="AC129" s="450"/>
      <c r="AD129" s="450"/>
      <c r="AE129" s="450"/>
      <c r="AF129" s="450"/>
      <c r="AG129" s="450"/>
      <c r="AL129" s="440"/>
      <c r="AM129" s="440"/>
      <c r="AN129" s="440"/>
      <c r="AO129" s="440"/>
      <c r="AP129" s="440"/>
      <c r="AQ129" s="440"/>
      <c r="AR129" s="440"/>
      <c r="AS129" s="440"/>
    </row>
    <row r="130" spans="2:45" x14ac:dyDescent="0.2">
      <c r="C130" s="163"/>
      <c r="D130" s="163"/>
      <c r="E130" s="163"/>
      <c r="F130" s="163"/>
      <c r="G130" s="163"/>
      <c r="H130" s="163"/>
      <c r="I130" s="163"/>
      <c r="J130" s="163"/>
      <c r="K130" s="163"/>
      <c r="L130" s="163"/>
      <c r="M130" s="163"/>
      <c r="N130" s="163"/>
      <c r="O130" s="163"/>
      <c r="P130" s="163"/>
      <c r="Q130" s="163"/>
      <c r="R130" s="163"/>
      <c r="S130" s="163"/>
      <c r="T130" s="163"/>
      <c r="U130" s="163"/>
      <c r="W130" s="450"/>
      <c r="X130" s="5"/>
      <c r="Y130" s="5"/>
      <c r="Z130" s="606"/>
      <c r="AA130" s="607"/>
      <c r="AB130" s="606"/>
      <c r="AC130" s="606"/>
      <c r="AD130" s="607"/>
      <c r="AE130" s="607"/>
      <c r="AF130" s="450"/>
      <c r="AG130" s="450"/>
      <c r="AL130" s="440"/>
      <c r="AM130" s="440"/>
      <c r="AN130" s="440"/>
      <c r="AO130" s="440"/>
      <c r="AP130" s="440"/>
      <c r="AQ130" s="440"/>
      <c r="AR130" s="440"/>
      <c r="AS130" s="440"/>
    </row>
    <row r="131" spans="2:45" x14ac:dyDescent="0.2">
      <c r="W131" s="450"/>
      <c r="X131" s="5"/>
      <c r="Y131" s="5"/>
      <c r="Z131" s="4"/>
      <c r="AA131" s="607"/>
      <c r="AB131" s="606"/>
      <c r="AC131" s="606"/>
      <c r="AD131" s="606"/>
      <c r="AE131" s="606"/>
      <c r="AF131" s="450"/>
      <c r="AG131" s="450"/>
      <c r="AL131" s="440"/>
      <c r="AM131" s="440"/>
      <c r="AN131" s="440"/>
      <c r="AO131" s="440"/>
      <c r="AP131" s="440"/>
      <c r="AQ131" s="440"/>
      <c r="AR131" s="440"/>
      <c r="AS131" s="440"/>
    </row>
    <row r="132" spans="2:45" x14ac:dyDescent="0.2">
      <c r="C132" s="453"/>
      <c r="D132" s="453"/>
      <c r="E132" s="453"/>
      <c r="F132" s="453"/>
      <c r="G132" s="453"/>
      <c r="H132" s="453"/>
      <c r="I132" s="453"/>
      <c r="J132" s="453"/>
      <c r="K132" s="453"/>
      <c r="L132" s="453"/>
      <c r="M132" s="453"/>
      <c r="N132" s="453"/>
      <c r="O132" s="453"/>
      <c r="P132" s="453"/>
      <c r="Q132" s="453"/>
      <c r="R132" s="453"/>
      <c r="S132" s="453"/>
      <c r="T132" s="453"/>
      <c r="U132" s="453"/>
      <c r="V132" s="163"/>
      <c r="W132" s="450"/>
      <c r="X132" s="5"/>
      <c r="Y132" s="5"/>
      <c r="Z132" s="606"/>
      <c r="AA132" s="607"/>
      <c r="AB132" s="606"/>
      <c r="AC132" s="606"/>
      <c r="AD132" s="606"/>
      <c r="AE132" s="606"/>
      <c r="AF132" s="450"/>
      <c r="AG132" s="450"/>
      <c r="AL132" s="440"/>
      <c r="AM132" s="440"/>
      <c r="AN132" s="440"/>
      <c r="AO132" s="440"/>
      <c r="AP132" s="440"/>
      <c r="AQ132" s="440"/>
      <c r="AR132" s="440"/>
      <c r="AS132" s="440"/>
    </row>
    <row r="133" spans="2:45" x14ac:dyDescent="0.2">
      <c r="C133" s="453"/>
      <c r="D133" s="453"/>
      <c r="E133" s="453"/>
      <c r="F133" s="453"/>
      <c r="G133" s="453"/>
      <c r="H133" s="453"/>
      <c r="I133" s="453"/>
      <c r="J133" s="453"/>
      <c r="K133" s="453"/>
      <c r="L133" s="453"/>
      <c r="M133" s="453"/>
      <c r="N133" s="453"/>
      <c r="O133" s="453"/>
      <c r="P133" s="453"/>
      <c r="Q133" s="453"/>
      <c r="R133" s="453"/>
      <c r="S133" s="453"/>
      <c r="T133" s="453"/>
      <c r="U133" s="453"/>
      <c r="V133" s="163"/>
      <c r="W133" s="450"/>
      <c r="X133" s="5"/>
      <c r="Y133" s="5"/>
      <c r="Z133" s="4"/>
      <c r="AA133" s="607"/>
      <c r="AB133" s="608"/>
      <c r="AC133" s="607"/>
      <c r="AD133" s="606"/>
      <c r="AE133" s="606"/>
      <c r="AF133" s="450"/>
      <c r="AG133" s="450"/>
    </row>
    <row r="134" spans="2:45" x14ac:dyDescent="0.2">
      <c r="C134" s="453"/>
      <c r="D134" s="453"/>
      <c r="E134" s="453"/>
      <c r="F134" s="453"/>
      <c r="G134" s="453"/>
      <c r="H134" s="453"/>
      <c r="I134" s="453"/>
      <c r="J134" s="453"/>
      <c r="K134" s="453"/>
      <c r="L134" s="453"/>
      <c r="M134" s="453"/>
      <c r="N134" s="453"/>
      <c r="O134" s="453"/>
      <c r="P134" s="453"/>
      <c r="Q134" s="453"/>
      <c r="R134" s="453"/>
      <c r="S134" s="453"/>
      <c r="T134" s="453"/>
      <c r="U134" s="453"/>
      <c r="V134" s="163"/>
      <c r="W134" s="450"/>
      <c r="X134" s="5"/>
      <c r="Y134" s="5"/>
      <c r="Z134" s="606"/>
      <c r="AA134" s="606"/>
      <c r="AB134" s="606"/>
      <c r="AC134" s="606"/>
      <c r="AD134" s="606"/>
      <c r="AE134" s="606"/>
      <c r="AF134" s="450"/>
      <c r="AG134" s="450"/>
    </row>
    <row r="135" spans="2:45" x14ac:dyDescent="0.2">
      <c r="C135" s="453"/>
      <c r="D135" s="453"/>
      <c r="E135" s="453"/>
      <c r="F135" s="453"/>
      <c r="G135" s="453"/>
      <c r="H135" s="453"/>
      <c r="I135" s="453"/>
      <c r="J135" s="453"/>
      <c r="K135" s="453"/>
      <c r="L135" s="453"/>
      <c r="M135" s="453"/>
      <c r="N135" s="453"/>
      <c r="O135" s="453"/>
      <c r="P135" s="453"/>
      <c r="Q135" s="453"/>
      <c r="R135" s="453"/>
      <c r="S135" s="453"/>
      <c r="T135" s="453"/>
      <c r="U135" s="453"/>
      <c r="V135" s="163"/>
      <c r="W135" s="450"/>
      <c r="X135" s="609"/>
      <c r="Y135" s="127"/>
      <c r="Z135" s="600"/>
      <c r="AA135" s="600"/>
      <c r="AB135" s="600"/>
      <c r="AC135" s="600"/>
      <c r="AD135" s="600"/>
      <c r="AE135" s="600"/>
      <c r="AF135" s="450"/>
      <c r="AG135" s="450"/>
    </row>
    <row r="136" spans="2:45" x14ac:dyDescent="0.2">
      <c r="C136" s="453"/>
      <c r="D136" s="453"/>
      <c r="E136" s="453"/>
      <c r="F136" s="453"/>
      <c r="G136" s="453"/>
      <c r="H136" s="453"/>
      <c r="I136" s="453"/>
      <c r="J136" s="453"/>
      <c r="K136" s="453"/>
      <c r="L136" s="453"/>
      <c r="M136" s="453"/>
      <c r="N136" s="453"/>
      <c r="O136" s="453"/>
      <c r="P136" s="453"/>
      <c r="Q136" s="453"/>
      <c r="R136" s="453"/>
      <c r="S136" s="453"/>
      <c r="T136" s="453"/>
      <c r="U136" s="453"/>
      <c r="V136" s="163"/>
      <c r="W136" s="450"/>
      <c r="X136" s="610"/>
      <c r="Y136" s="232"/>
      <c r="Z136" s="600"/>
      <c r="AA136" s="600"/>
      <c r="AB136" s="600"/>
      <c r="AC136" s="600"/>
      <c r="AD136" s="600"/>
      <c r="AE136" s="600"/>
      <c r="AF136" s="450"/>
      <c r="AG136" s="450"/>
    </row>
    <row r="137" spans="2:45" x14ac:dyDescent="0.2">
      <c r="C137" s="453"/>
      <c r="D137" s="453"/>
      <c r="E137" s="453"/>
      <c r="F137" s="453"/>
      <c r="G137" s="453"/>
      <c r="H137" s="453"/>
      <c r="I137" s="453"/>
      <c r="J137" s="453"/>
      <c r="K137" s="453"/>
      <c r="L137" s="453"/>
      <c r="M137" s="453"/>
      <c r="N137" s="453"/>
      <c r="O137" s="453"/>
      <c r="P137" s="453"/>
      <c r="Q137" s="453"/>
      <c r="R137" s="453"/>
      <c r="S137" s="453"/>
      <c r="T137" s="453"/>
      <c r="U137" s="453"/>
      <c r="V137" s="163"/>
      <c r="W137" s="450"/>
      <c r="X137" s="450"/>
      <c r="Y137" s="450"/>
      <c r="Z137" s="450"/>
      <c r="AA137" s="450"/>
      <c r="AB137" s="450"/>
      <c r="AC137" s="450"/>
      <c r="AD137" s="450"/>
      <c r="AE137" s="450"/>
      <c r="AF137" s="450"/>
      <c r="AG137" s="450"/>
    </row>
    <row r="138" spans="2:45" x14ac:dyDescent="0.25">
      <c r="C138" s="453"/>
      <c r="D138" s="453"/>
      <c r="E138" s="453"/>
      <c r="F138" s="453"/>
      <c r="G138" s="453"/>
      <c r="H138" s="453"/>
      <c r="I138" s="453"/>
      <c r="J138" s="453"/>
      <c r="K138" s="453"/>
      <c r="L138" s="453"/>
      <c r="M138" s="453"/>
      <c r="N138" s="453"/>
      <c r="O138" s="453"/>
      <c r="P138" s="453"/>
      <c r="Q138" s="453"/>
      <c r="R138" s="453"/>
      <c r="S138" s="453"/>
      <c r="T138" s="453"/>
      <c r="U138" s="453"/>
      <c r="V138" s="163"/>
      <c r="W138" s="450"/>
      <c r="X138" s="450"/>
      <c r="Y138" s="450"/>
      <c r="Z138" s="450"/>
      <c r="AA138" s="653"/>
      <c r="AB138" s="654"/>
      <c r="AC138" s="450"/>
      <c r="AD138" s="450"/>
      <c r="AE138" s="450"/>
      <c r="AF138" s="450"/>
      <c r="AG138" s="450"/>
    </row>
    <row r="139" spans="2:45" x14ac:dyDescent="0.25">
      <c r="C139" s="453"/>
      <c r="D139" s="453"/>
      <c r="E139" s="453"/>
      <c r="F139" s="453"/>
      <c r="G139" s="453"/>
      <c r="H139" s="453"/>
      <c r="I139" s="453"/>
      <c r="J139" s="453"/>
      <c r="K139" s="453"/>
      <c r="L139" s="453"/>
      <c r="M139" s="453"/>
      <c r="N139" s="453"/>
      <c r="O139" s="453"/>
      <c r="P139" s="453"/>
      <c r="Q139" s="453"/>
      <c r="R139" s="453"/>
      <c r="S139" s="453"/>
      <c r="T139" s="453"/>
      <c r="U139" s="453"/>
      <c r="V139" s="163"/>
      <c r="W139" s="450"/>
      <c r="X139" s="450"/>
      <c r="Y139" s="450"/>
      <c r="Z139" s="450"/>
      <c r="AA139" s="611"/>
      <c r="AB139" s="611"/>
      <c r="AC139" s="450"/>
      <c r="AD139" s="450"/>
      <c r="AE139" s="450"/>
      <c r="AF139" s="450"/>
      <c r="AG139" s="450"/>
    </row>
    <row r="140" spans="2:45" x14ac:dyDescent="0.25">
      <c r="C140" s="453"/>
      <c r="D140" s="453"/>
      <c r="E140" s="453"/>
      <c r="F140" s="453"/>
      <c r="G140" s="453"/>
      <c r="H140" s="453"/>
      <c r="I140" s="453"/>
      <c r="J140" s="453"/>
      <c r="K140" s="453"/>
      <c r="L140" s="453"/>
      <c r="M140" s="453"/>
      <c r="N140" s="453"/>
      <c r="O140" s="453"/>
      <c r="P140" s="453"/>
      <c r="Q140" s="453"/>
      <c r="R140" s="453"/>
      <c r="S140" s="453"/>
      <c r="T140" s="453"/>
      <c r="U140" s="453"/>
      <c r="V140" s="163"/>
      <c r="AA140" s="651"/>
      <c r="AB140" s="652"/>
    </row>
    <row r="141" spans="2:45" x14ac:dyDescent="0.25">
      <c r="C141" s="453"/>
      <c r="D141" s="453"/>
      <c r="E141" s="453"/>
      <c r="F141" s="453"/>
      <c r="G141" s="453"/>
      <c r="H141" s="453"/>
      <c r="I141" s="453"/>
      <c r="J141" s="453"/>
      <c r="K141" s="453"/>
      <c r="L141" s="453"/>
      <c r="M141" s="453"/>
      <c r="N141" s="453"/>
      <c r="O141" s="453"/>
      <c r="P141" s="453"/>
      <c r="Q141" s="453"/>
      <c r="R141" s="453"/>
      <c r="S141" s="453"/>
      <c r="T141" s="453"/>
      <c r="U141" s="453"/>
      <c r="V141" s="163"/>
      <c r="AA141" s="651"/>
      <c r="AB141" s="652"/>
    </row>
    <row r="142" spans="2:45" x14ac:dyDescent="0.25">
      <c r="C142" s="453"/>
      <c r="D142" s="453"/>
      <c r="E142" s="453"/>
      <c r="F142" s="453"/>
      <c r="G142" s="453"/>
      <c r="H142" s="453"/>
      <c r="I142" s="453"/>
      <c r="J142" s="453"/>
      <c r="K142" s="453"/>
      <c r="L142" s="453"/>
      <c r="M142" s="453"/>
      <c r="N142" s="453"/>
      <c r="O142" s="453"/>
      <c r="P142" s="453"/>
      <c r="Q142" s="453"/>
      <c r="R142" s="453"/>
      <c r="S142" s="453"/>
      <c r="T142" s="453"/>
      <c r="U142" s="453"/>
      <c r="V142" s="163"/>
      <c r="AA142" s="651"/>
      <c r="AB142" s="652"/>
    </row>
    <row r="143" spans="2:45" x14ac:dyDescent="0.25">
      <c r="C143" s="453"/>
      <c r="D143" s="453"/>
      <c r="E143" s="453"/>
      <c r="F143" s="453"/>
      <c r="G143" s="453"/>
      <c r="H143" s="453"/>
      <c r="I143" s="453"/>
      <c r="J143" s="453"/>
      <c r="K143" s="453"/>
      <c r="L143" s="453"/>
      <c r="M143" s="453"/>
      <c r="N143" s="453"/>
      <c r="O143" s="453"/>
      <c r="P143" s="453"/>
      <c r="Q143" s="453"/>
      <c r="R143" s="453"/>
      <c r="S143" s="453"/>
      <c r="T143" s="453"/>
      <c r="U143" s="453"/>
      <c r="V143" s="163"/>
      <c r="AA143" s="561"/>
      <c r="AB143" s="561"/>
    </row>
    <row r="144" spans="2:45" x14ac:dyDescent="0.25">
      <c r="AA144" s="561"/>
      <c r="AB144" s="561"/>
    </row>
    <row r="145" spans="7:28" x14ac:dyDescent="0.25">
      <c r="AA145" s="651"/>
      <c r="AB145" s="652"/>
    </row>
    <row r="146" spans="7:28" x14ac:dyDescent="0.25">
      <c r="L146" s="453"/>
      <c r="M146" s="453"/>
      <c r="R146" s="453"/>
      <c r="S146" s="453"/>
      <c r="T146" s="453"/>
      <c r="U146" s="453"/>
      <c r="AA146" s="651"/>
      <c r="AB146" s="652"/>
    </row>
    <row r="147" spans="7:28" x14ac:dyDescent="0.25">
      <c r="I147" s="452"/>
      <c r="L147" s="453"/>
      <c r="M147" s="453"/>
      <c r="AA147" s="651"/>
      <c r="AB147" s="652"/>
    </row>
    <row r="148" spans="7:28" x14ac:dyDescent="0.25">
      <c r="L148" s="453"/>
      <c r="M148" s="453"/>
      <c r="AA148" s="651"/>
      <c r="AB148" s="652"/>
    </row>
    <row r="149" spans="7:28" x14ac:dyDescent="0.25">
      <c r="L149" s="453"/>
      <c r="M149" s="453"/>
      <c r="AA149" s="651"/>
      <c r="AB149" s="652"/>
    </row>
    <row r="150" spans="7:28" x14ac:dyDescent="0.25">
      <c r="L150" s="453"/>
      <c r="M150" s="453"/>
      <c r="N150" s="163"/>
      <c r="O150" s="163"/>
      <c r="P150" s="559"/>
      <c r="Q150" s="163"/>
      <c r="AA150" s="651"/>
      <c r="AB150" s="652"/>
    </row>
    <row r="151" spans="7:28" x14ac:dyDescent="0.25">
      <c r="L151" s="453"/>
      <c r="M151" s="453"/>
      <c r="AA151" s="651"/>
      <c r="AB151" s="652"/>
    </row>
    <row r="152" spans="7:28" x14ac:dyDescent="0.25">
      <c r="L152" s="453"/>
      <c r="M152" s="453"/>
      <c r="R152" s="454"/>
      <c r="S152" s="454"/>
      <c r="T152" s="454"/>
      <c r="U152" s="454"/>
      <c r="AA152" s="651"/>
      <c r="AB152" s="652"/>
    </row>
    <row r="153" spans="7:28" x14ac:dyDescent="0.25">
      <c r="L153" s="453"/>
      <c r="M153" s="453"/>
      <c r="R153" s="452"/>
      <c r="S153" s="452"/>
      <c r="T153" s="452"/>
      <c r="U153" s="452"/>
      <c r="AA153" s="651"/>
      <c r="AB153" s="652"/>
    </row>
    <row r="154" spans="7:28" x14ac:dyDescent="0.25">
      <c r="L154" s="453"/>
      <c r="M154" s="453"/>
      <c r="R154" s="163"/>
      <c r="S154" s="163"/>
      <c r="T154" s="163"/>
      <c r="U154" s="163"/>
      <c r="AA154" s="561"/>
      <c r="AB154" s="561"/>
    </row>
    <row r="155" spans="7:28" x14ac:dyDescent="0.2">
      <c r="L155" s="453"/>
      <c r="M155" s="453"/>
    </row>
    <row r="156" spans="7:28" x14ac:dyDescent="0.2">
      <c r="L156" s="453"/>
      <c r="M156" s="453"/>
    </row>
    <row r="157" spans="7:28" x14ac:dyDescent="0.2">
      <c r="L157" s="453"/>
      <c r="M157" s="453"/>
    </row>
    <row r="159" spans="7:28" x14ac:dyDescent="0.25">
      <c r="G159" s="561"/>
    </row>
    <row r="161" spans="3:11" x14ac:dyDescent="0.2">
      <c r="C161" s="455"/>
      <c r="D161" s="455"/>
      <c r="E161" s="455"/>
      <c r="F161" s="455"/>
      <c r="G161" s="455"/>
      <c r="H161" s="455"/>
      <c r="I161" s="455"/>
      <c r="J161" s="455"/>
      <c r="K161" s="455"/>
    </row>
  </sheetData>
  <mergeCells count="33">
    <mergeCell ref="H107:I107"/>
    <mergeCell ref="H109:I109"/>
    <mergeCell ref="H110:I110"/>
    <mergeCell ref="H111:I111"/>
    <mergeCell ref="H112:I112"/>
    <mergeCell ref="AA138:AB138"/>
    <mergeCell ref="B1:R1"/>
    <mergeCell ref="B118:R118"/>
    <mergeCell ref="B119:R119"/>
    <mergeCell ref="B120:R120"/>
    <mergeCell ref="B121:R121"/>
    <mergeCell ref="B122:R122"/>
    <mergeCell ref="B123:R123"/>
    <mergeCell ref="B124:R124"/>
    <mergeCell ref="B125:R125"/>
    <mergeCell ref="B126:R126"/>
    <mergeCell ref="B127:R127"/>
    <mergeCell ref="H102:I102"/>
    <mergeCell ref="H103:I103"/>
    <mergeCell ref="H104:I104"/>
    <mergeCell ref="H108:I108"/>
    <mergeCell ref="AA153:AB153"/>
    <mergeCell ref="AA140:AB140"/>
    <mergeCell ref="AA141:AB141"/>
    <mergeCell ref="AA142:AB142"/>
    <mergeCell ref="AA145:AB145"/>
    <mergeCell ref="AA146:AB146"/>
    <mergeCell ref="AA147:AB147"/>
    <mergeCell ref="AA148:AB148"/>
    <mergeCell ref="AA149:AB149"/>
    <mergeCell ref="AA150:AB150"/>
    <mergeCell ref="AA151:AB151"/>
    <mergeCell ref="AA152:AB152"/>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view="pageBreakPreview" topLeftCell="A79" zoomScale="80" zoomScaleNormal="100" zoomScaleSheetLayoutView="80" workbookViewId="0">
      <selection activeCell="A124" sqref="A124"/>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20" ht="19.5" thickBot="1" x14ac:dyDescent="0.25">
      <c r="A1" s="681" t="s">
        <v>270</v>
      </c>
      <c r="B1" s="682"/>
      <c r="C1" s="682"/>
      <c r="D1" s="682"/>
      <c r="E1" s="682"/>
      <c r="F1" s="682"/>
      <c r="G1" s="682"/>
      <c r="H1" s="682"/>
      <c r="I1" s="682"/>
      <c r="J1" s="682"/>
      <c r="K1" s="682"/>
      <c r="L1" s="682"/>
      <c r="M1" s="682"/>
      <c r="N1" s="682"/>
      <c r="O1" s="682"/>
      <c r="P1" s="682"/>
      <c r="Q1" s="683"/>
      <c r="R1" s="60"/>
    </row>
    <row r="2" spans="1:20" ht="79.5" thickBot="1" x14ac:dyDescent="0.25">
      <c r="A2" s="239"/>
      <c r="B2" s="240" t="s">
        <v>135</v>
      </c>
      <c r="C2" s="240" t="s">
        <v>136</v>
      </c>
      <c r="D2" s="240" t="s">
        <v>137</v>
      </c>
      <c r="E2" s="240" t="s">
        <v>107</v>
      </c>
      <c r="F2" s="240" t="s">
        <v>138</v>
      </c>
      <c r="G2" s="240" t="s">
        <v>139</v>
      </c>
      <c r="H2" s="240" t="s">
        <v>140</v>
      </c>
      <c r="I2" s="240" t="s">
        <v>19</v>
      </c>
      <c r="J2" s="240" t="s">
        <v>145</v>
      </c>
      <c r="K2" s="240" t="s">
        <v>141</v>
      </c>
      <c r="L2" s="240" t="s">
        <v>20</v>
      </c>
      <c r="M2" s="240" t="s">
        <v>142</v>
      </c>
      <c r="N2" s="240" t="s">
        <v>143</v>
      </c>
      <c r="O2" s="240" t="s">
        <v>144</v>
      </c>
      <c r="P2" s="240" t="s">
        <v>32</v>
      </c>
      <c r="Q2" s="241" t="s">
        <v>0</v>
      </c>
      <c r="R2" s="294"/>
    </row>
    <row r="3" spans="1:20" ht="19.5" thickBot="1" x14ac:dyDescent="0.25">
      <c r="A3" s="357" t="s">
        <v>271</v>
      </c>
      <c r="B3" s="358"/>
      <c r="C3" s="358"/>
      <c r="D3" s="358"/>
      <c r="E3" s="358"/>
      <c r="F3" s="358"/>
      <c r="G3" s="358"/>
      <c r="H3" s="358"/>
      <c r="I3" s="358"/>
      <c r="J3" s="358"/>
      <c r="K3" s="358"/>
      <c r="L3" s="358"/>
      <c r="M3" s="358"/>
      <c r="N3" s="358"/>
      <c r="O3" s="358"/>
      <c r="P3" s="358"/>
      <c r="Q3" s="359"/>
      <c r="R3" s="294"/>
    </row>
    <row r="4" spans="1:20" ht="15.75" x14ac:dyDescent="0.2">
      <c r="A4" s="203">
        <v>42552</v>
      </c>
      <c r="B4" s="192">
        <v>36498</v>
      </c>
      <c r="C4" s="192">
        <v>9050</v>
      </c>
      <c r="D4" s="192">
        <v>59507</v>
      </c>
      <c r="E4" s="192">
        <v>4979</v>
      </c>
      <c r="F4" s="192">
        <v>130521</v>
      </c>
      <c r="G4" s="192">
        <v>79194</v>
      </c>
      <c r="H4" s="192">
        <v>317545</v>
      </c>
      <c r="I4" s="192">
        <v>305</v>
      </c>
      <c r="J4" s="192">
        <v>427604</v>
      </c>
      <c r="K4" s="192">
        <v>56871</v>
      </c>
      <c r="L4" s="192">
        <v>19509</v>
      </c>
      <c r="M4" s="192">
        <v>13371</v>
      </c>
      <c r="N4" s="192">
        <v>1716</v>
      </c>
      <c r="O4" s="192">
        <v>2630</v>
      </c>
      <c r="P4" s="192">
        <v>33508</v>
      </c>
      <c r="Q4" s="204">
        <v>1192808</v>
      </c>
      <c r="R4" s="62"/>
    </row>
    <row r="5" spans="1:20" ht="15.75" x14ac:dyDescent="0.2">
      <c r="A5" s="197">
        <v>42583</v>
      </c>
      <c r="B5" s="3">
        <v>38201</v>
      </c>
      <c r="C5" s="3">
        <v>9313</v>
      </c>
      <c r="D5" s="3">
        <v>59708</v>
      </c>
      <c r="E5" s="3">
        <v>5105</v>
      </c>
      <c r="F5" s="3">
        <v>130795</v>
      </c>
      <c r="G5" s="3">
        <v>79817</v>
      </c>
      <c r="H5" s="3">
        <v>325450</v>
      </c>
      <c r="I5" s="3">
        <v>303</v>
      </c>
      <c r="J5" s="3">
        <v>428891</v>
      </c>
      <c r="K5" s="3">
        <v>57511</v>
      </c>
      <c r="L5" s="3">
        <v>19605</v>
      </c>
      <c r="M5" s="3">
        <v>13421</v>
      </c>
      <c r="N5" s="3">
        <v>1717</v>
      </c>
      <c r="O5" s="3">
        <v>2634</v>
      </c>
      <c r="P5" s="3">
        <v>33630</v>
      </c>
      <c r="Q5" s="198">
        <v>1206101</v>
      </c>
      <c r="R5" s="62"/>
    </row>
    <row r="6" spans="1:20" ht="15.75" x14ac:dyDescent="0.2">
      <c r="A6" s="197">
        <v>42614</v>
      </c>
      <c r="B6" s="3">
        <v>38212</v>
      </c>
      <c r="C6" s="3">
        <v>9305</v>
      </c>
      <c r="D6" s="3">
        <v>59864</v>
      </c>
      <c r="E6" s="3">
        <v>5243</v>
      </c>
      <c r="F6" s="3">
        <v>131390</v>
      </c>
      <c r="G6" s="3">
        <v>78794</v>
      </c>
      <c r="H6" s="3">
        <v>320963</v>
      </c>
      <c r="I6" s="3">
        <v>304</v>
      </c>
      <c r="J6" s="3">
        <v>428937</v>
      </c>
      <c r="K6" s="3">
        <v>58237</v>
      </c>
      <c r="L6" s="3">
        <v>19738</v>
      </c>
      <c r="M6" s="3">
        <v>13008</v>
      </c>
      <c r="N6" s="3">
        <v>1642</v>
      </c>
      <c r="O6" s="3">
        <v>2571</v>
      </c>
      <c r="P6" s="3">
        <v>33615</v>
      </c>
      <c r="Q6" s="198">
        <v>1201823</v>
      </c>
      <c r="R6" s="62"/>
    </row>
    <row r="7" spans="1:20" ht="15.75" x14ac:dyDescent="0.2">
      <c r="A7" s="197">
        <v>42644</v>
      </c>
      <c r="B7" s="3">
        <v>37202</v>
      </c>
      <c r="C7" s="3">
        <v>9272</v>
      </c>
      <c r="D7" s="3">
        <v>59749</v>
      </c>
      <c r="E7" s="3">
        <v>5450</v>
      </c>
      <c r="F7" s="3">
        <v>133487</v>
      </c>
      <c r="G7" s="3">
        <v>77797</v>
      </c>
      <c r="H7" s="3">
        <v>318399</v>
      </c>
      <c r="I7" s="3">
        <v>305</v>
      </c>
      <c r="J7" s="3">
        <v>428598</v>
      </c>
      <c r="K7" s="3">
        <v>58269</v>
      </c>
      <c r="L7" s="3">
        <v>19705</v>
      </c>
      <c r="M7" s="3">
        <v>12813</v>
      </c>
      <c r="N7" s="3">
        <v>1644</v>
      </c>
      <c r="O7" s="3">
        <v>2455</v>
      </c>
      <c r="P7" s="3">
        <v>33456</v>
      </c>
      <c r="Q7" s="198">
        <v>1198601</v>
      </c>
      <c r="R7" s="62"/>
    </row>
    <row r="8" spans="1:20" ht="15.75" x14ac:dyDescent="0.2">
      <c r="A8" s="197">
        <v>42675</v>
      </c>
      <c r="B8" s="3">
        <v>37122</v>
      </c>
      <c r="C8" s="3">
        <v>9321</v>
      </c>
      <c r="D8" s="3">
        <v>59721</v>
      </c>
      <c r="E8" s="3">
        <v>5528</v>
      </c>
      <c r="F8" s="3">
        <v>135439</v>
      </c>
      <c r="G8" s="3">
        <v>79390</v>
      </c>
      <c r="H8" s="3">
        <v>322948</v>
      </c>
      <c r="I8" s="3">
        <v>299</v>
      </c>
      <c r="J8" s="3">
        <v>431214</v>
      </c>
      <c r="K8" s="3">
        <v>55783</v>
      </c>
      <c r="L8" s="3">
        <v>19785</v>
      </c>
      <c r="M8" s="3">
        <v>12555</v>
      </c>
      <c r="N8" s="3">
        <v>1601</v>
      </c>
      <c r="O8" s="3">
        <v>2434</v>
      </c>
      <c r="P8" s="3">
        <v>33412</v>
      </c>
      <c r="Q8" s="198">
        <v>1206552</v>
      </c>
      <c r="R8" s="62"/>
    </row>
    <row r="9" spans="1:20" ht="15.75" x14ac:dyDescent="0.2">
      <c r="A9" s="197">
        <v>42705</v>
      </c>
      <c r="B9" s="3">
        <v>36756</v>
      </c>
      <c r="C9" s="3">
        <v>9293</v>
      </c>
      <c r="D9" s="3">
        <v>58518</v>
      </c>
      <c r="E9" s="3">
        <v>5721</v>
      </c>
      <c r="F9" s="3">
        <v>136824</v>
      </c>
      <c r="G9" s="3">
        <v>79880</v>
      </c>
      <c r="H9" s="3">
        <v>325892</v>
      </c>
      <c r="I9" s="3">
        <v>296</v>
      </c>
      <c r="J9" s="3">
        <v>429807</v>
      </c>
      <c r="K9" s="3">
        <v>56536</v>
      </c>
      <c r="L9" s="3">
        <v>19780</v>
      </c>
      <c r="M9" s="3">
        <v>12333</v>
      </c>
      <c r="N9" s="3">
        <v>1600</v>
      </c>
      <c r="O9" s="3">
        <v>2430</v>
      </c>
      <c r="P9" s="3">
        <v>33385</v>
      </c>
      <c r="Q9" s="198">
        <v>1209051</v>
      </c>
      <c r="R9" s="62"/>
    </row>
    <row r="10" spans="1:20" ht="15.75" x14ac:dyDescent="0.2">
      <c r="A10" s="197">
        <v>42736</v>
      </c>
      <c r="B10" s="3">
        <v>36849</v>
      </c>
      <c r="C10" s="3">
        <v>9445</v>
      </c>
      <c r="D10" s="3">
        <v>59741</v>
      </c>
      <c r="E10" s="3">
        <v>5877</v>
      </c>
      <c r="F10" s="3">
        <v>137555</v>
      </c>
      <c r="G10" s="3">
        <v>77266</v>
      </c>
      <c r="H10" s="3">
        <v>324614</v>
      </c>
      <c r="I10" s="3">
        <v>288</v>
      </c>
      <c r="J10" s="3">
        <v>428198</v>
      </c>
      <c r="K10" s="3">
        <v>58592</v>
      </c>
      <c r="L10" s="3">
        <v>19792</v>
      </c>
      <c r="M10" s="3">
        <v>12175</v>
      </c>
      <c r="N10" s="3">
        <v>1674</v>
      </c>
      <c r="O10" s="3">
        <v>2524</v>
      </c>
      <c r="P10" s="3">
        <v>33170</v>
      </c>
      <c r="Q10" s="198">
        <v>1207760</v>
      </c>
      <c r="R10" s="62"/>
    </row>
    <row r="11" spans="1:20" ht="15.75" x14ac:dyDescent="0.2">
      <c r="A11" s="197">
        <v>42767</v>
      </c>
      <c r="B11" s="3">
        <v>36589</v>
      </c>
      <c r="C11" s="3">
        <v>9420</v>
      </c>
      <c r="D11" s="3">
        <v>59514</v>
      </c>
      <c r="E11" s="3">
        <v>5977</v>
      </c>
      <c r="F11" s="3">
        <v>137972</v>
      </c>
      <c r="G11" s="3">
        <v>76783</v>
      </c>
      <c r="H11" s="3">
        <v>323545</v>
      </c>
      <c r="I11" s="3">
        <v>278</v>
      </c>
      <c r="J11" s="3">
        <v>425908</v>
      </c>
      <c r="K11" s="3">
        <v>58513</v>
      </c>
      <c r="L11" s="3">
        <v>19744</v>
      </c>
      <c r="M11" s="3">
        <v>11525</v>
      </c>
      <c r="N11" s="3">
        <v>1621</v>
      </c>
      <c r="O11" s="3">
        <v>2406</v>
      </c>
      <c r="P11" s="3">
        <v>33163</v>
      </c>
      <c r="Q11" s="198">
        <v>1202958</v>
      </c>
      <c r="R11" s="62"/>
    </row>
    <row r="12" spans="1:20" ht="15.75" x14ac:dyDescent="0.2">
      <c r="A12" s="197">
        <v>42795</v>
      </c>
      <c r="B12" s="562">
        <v>38020</v>
      </c>
      <c r="C12" s="562">
        <v>9549</v>
      </c>
      <c r="D12" s="562">
        <v>59491</v>
      </c>
      <c r="E12" s="562">
        <v>6633</v>
      </c>
      <c r="F12" s="562">
        <v>142912</v>
      </c>
      <c r="G12" s="677">
        <v>402193</v>
      </c>
      <c r="H12" s="677"/>
      <c r="I12" s="562">
        <v>246</v>
      </c>
      <c r="J12" s="562">
        <v>423853</v>
      </c>
      <c r="K12" s="562">
        <v>62579</v>
      </c>
      <c r="L12" s="562">
        <v>18522</v>
      </c>
      <c r="M12" s="562">
        <v>10794</v>
      </c>
      <c r="N12" s="562">
        <v>2359</v>
      </c>
      <c r="O12" s="562">
        <v>3035</v>
      </c>
      <c r="P12" s="562">
        <v>34258</v>
      </c>
      <c r="Q12" s="565">
        <v>1214444</v>
      </c>
      <c r="R12" s="62"/>
    </row>
    <row r="13" spans="1:20" ht="15.75" x14ac:dyDescent="0.2">
      <c r="A13" s="197">
        <v>42826</v>
      </c>
      <c r="B13" s="562">
        <v>38320</v>
      </c>
      <c r="C13" s="562">
        <v>9597</v>
      </c>
      <c r="D13" s="562">
        <v>59757</v>
      </c>
      <c r="E13" s="562">
        <v>6610</v>
      </c>
      <c r="F13" s="562">
        <v>150409</v>
      </c>
      <c r="G13" s="677">
        <v>400283</v>
      </c>
      <c r="H13" s="677"/>
      <c r="I13" s="562">
        <v>242</v>
      </c>
      <c r="J13" s="562">
        <v>424872</v>
      </c>
      <c r="K13" s="562">
        <v>61908</v>
      </c>
      <c r="L13" s="562">
        <v>19924</v>
      </c>
      <c r="M13" s="562">
        <v>10750</v>
      </c>
      <c r="N13" s="562">
        <v>2263</v>
      </c>
      <c r="O13" s="562">
        <v>2868</v>
      </c>
      <c r="P13" s="562">
        <v>34407</v>
      </c>
      <c r="Q13" s="565">
        <v>1222210</v>
      </c>
      <c r="R13" s="62"/>
    </row>
    <row r="14" spans="1:20" ht="15.75" x14ac:dyDescent="0.2">
      <c r="A14" s="197">
        <v>42856</v>
      </c>
      <c r="B14" s="562">
        <v>37864</v>
      </c>
      <c r="C14" s="562">
        <v>9547</v>
      </c>
      <c r="D14" s="562">
        <v>59331</v>
      </c>
      <c r="E14" s="562">
        <v>6522</v>
      </c>
      <c r="F14" s="562">
        <v>154535</v>
      </c>
      <c r="G14" s="677">
        <v>396498</v>
      </c>
      <c r="H14" s="677"/>
      <c r="I14" s="562">
        <v>242</v>
      </c>
      <c r="J14" s="562">
        <v>426053</v>
      </c>
      <c r="K14" s="562">
        <v>60472</v>
      </c>
      <c r="L14" s="562">
        <v>20152</v>
      </c>
      <c r="M14" s="562">
        <v>10669</v>
      </c>
      <c r="N14" s="562">
        <v>2188</v>
      </c>
      <c r="O14" s="562">
        <v>2992</v>
      </c>
      <c r="P14" s="562">
        <v>34806</v>
      </c>
      <c r="Q14" s="565">
        <v>1221871</v>
      </c>
      <c r="R14" s="62"/>
    </row>
    <row r="15" spans="1:20" ht="16.5" thickBot="1" x14ac:dyDescent="0.25">
      <c r="A15" s="242">
        <v>42887</v>
      </c>
      <c r="B15" s="243"/>
      <c r="C15" s="243"/>
      <c r="D15" s="243"/>
      <c r="E15" s="243"/>
      <c r="F15" s="243"/>
      <c r="G15" s="243"/>
      <c r="H15" s="243"/>
      <c r="I15" s="243"/>
      <c r="J15" s="243"/>
      <c r="K15" s="243"/>
      <c r="L15" s="243"/>
      <c r="M15" s="243"/>
      <c r="N15" s="243"/>
      <c r="O15" s="243"/>
      <c r="P15" s="243"/>
      <c r="Q15" s="244"/>
      <c r="R15" s="62"/>
      <c r="T15" s="247"/>
    </row>
    <row r="16" spans="1:20" ht="17.25" thickTop="1" thickBot="1" x14ac:dyDescent="0.3">
      <c r="A16" s="205" t="s">
        <v>310</v>
      </c>
      <c r="B16" s="5">
        <v>37421</v>
      </c>
      <c r="C16" s="5">
        <v>9374</v>
      </c>
      <c r="D16" s="5">
        <v>59536</v>
      </c>
      <c r="E16" s="5">
        <v>5786</v>
      </c>
      <c r="F16" s="5">
        <v>138349</v>
      </c>
      <c r="G16" s="678">
        <v>400660</v>
      </c>
      <c r="H16" s="678"/>
      <c r="I16" s="5">
        <v>283</v>
      </c>
      <c r="J16" s="5">
        <v>427630</v>
      </c>
      <c r="K16" s="5">
        <v>58661</v>
      </c>
      <c r="L16" s="5">
        <v>19660</v>
      </c>
      <c r="M16" s="5">
        <v>12129</v>
      </c>
      <c r="N16" s="5">
        <v>1820</v>
      </c>
      <c r="O16" s="5">
        <v>2634</v>
      </c>
      <c r="P16" s="5">
        <v>33710</v>
      </c>
      <c r="Q16" s="206">
        <v>1207653</v>
      </c>
      <c r="R16" s="62"/>
      <c r="S16" s="5"/>
      <c r="T16" s="293"/>
    </row>
    <row r="17" spans="1:21" ht="19.5" thickBot="1" x14ac:dyDescent="0.25">
      <c r="A17" s="357" t="s">
        <v>272</v>
      </c>
      <c r="B17" s="358"/>
      <c r="C17" s="358"/>
      <c r="D17" s="358"/>
      <c r="E17" s="358"/>
      <c r="F17" s="358"/>
      <c r="G17" s="358"/>
      <c r="H17" s="358"/>
      <c r="I17" s="358"/>
      <c r="J17" s="358"/>
      <c r="K17" s="358"/>
      <c r="L17" s="358"/>
      <c r="M17" s="358"/>
      <c r="N17" s="358"/>
      <c r="O17" s="358"/>
      <c r="P17" s="358"/>
      <c r="Q17" s="359"/>
      <c r="R17" s="295"/>
    </row>
    <row r="18" spans="1:21" ht="15.75" x14ac:dyDescent="0.2">
      <c r="A18" s="203">
        <f>A4</f>
        <v>42552</v>
      </c>
      <c r="B18" s="192">
        <v>6606</v>
      </c>
      <c r="C18" s="192">
        <v>1881</v>
      </c>
      <c r="D18" s="192">
        <v>8329</v>
      </c>
      <c r="E18" s="192">
        <v>355</v>
      </c>
      <c r="F18" s="192">
        <v>20367</v>
      </c>
      <c r="G18" s="192">
        <v>11428</v>
      </c>
      <c r="H18" s="192">
        <v>34363</v>
      </c>
      <c r="I18" s="192">
        <v>8</v>
      </c>
      <c r="J18" s="192">
        <v>43359</v>
      </c>
      <c r="K18" s="192">
        <v>6111</v>
      </c>
      <c r="L18" s="192">
        <v>609</v>
      </c>
      <c r="M18" s="192">
        <v>1525</v>
      </c>
      <c r="N18" s="192">
        <v>167</v>
      </c>
      <c r="O18" s="192">
        <v>0</v>
      </c>
      <c r="P18" s="192">
        <v>4</v>
      </c>
      <c r="Q18" s="204">
        <v>135112</v>
      </c>
      <c r="R18" s="62"/>
    </row>
    <row r="19" spans="1:21" ht="15.75" x14ac:dyDescent="0.2">
      <c r="A19" s="197">
        <f t="shared" ref="A19:A30" si="0">A5</f>
        <v>42583</v>
      </c>
      <c r="B19" s="3">
        <v>5173</v>
      </c>
      <c r="C19" s="3">
        <v>1698</v>
      </c>
      <c r="D19" s="3">
        <v>8198</v>
      </c>
      <c r="E19" s="3">
        <v>347</v>
      </c>
      <c r="F19" s="3">
        <v>19878</v>
      </c>
      <c r="G19" s="3">
        <v>11227</v>
      </c>
      <c r="H19" s="3">
        <v>34521</v>
      </c>
      <c r="I19" s="3">
        <v>7</v>
      </c>
      <c r="J19" s="3">
        <v>43089</v>
      </c>
      <c r="K19" s="3">
        <v>6204</v>
      </c>
      <c r="L19" s="3">
        <v>598</v>
      </c>
      <c r="M19" s="3">
        <v>1490</v>
      </c>
      <c r="N19" s="3">
        <v>155</v>
      </c>
      <c r="O19" s="3">
        <v>0</v>
      </c>
      <c r="P19" s="3">
        <v>6</v>
      </c>
      <c r="Q19" s="198">
        <v>132591</v>
      </c>
      <c r="R19" s="62"/>
    </row>
    <row r="20" spans="1:21" ht="15.75" x14ac:dyDescent="0.2">
      <c r="A20" s="197">
        <f t="shared" si="0"/>
        <v>42614</v>
      </c>
      <c r="B20" s="3">
        <v>5421</v>
      </c>
      <c r="C20" s="3">
        <v>1734</v>
      </c>
      <c r="D20" s="3">
        <v>8179</v>
      </c>
      <c r="E20" s="3">
        <v>355</v>
      </c>
      <c r="F20" s="3">
        <v>19881</v>
      </c>
      <c r="G20" s="3">
        <v>11216</v>
      </c>
      <c r="H20" s="3">
        <v>35162</v>
      </c>
      <c r="I20" s="3">
        <v>7</v>
      </c>
      <c r="J20" s="3">
        <v>42817</v>
      </c>
      <c r="K20" s="3">
        <v>6194</v>
      </c>
      <c r="L20" s="3">
        <v>558</v>
      </c>
      <c r="M20" s="3">
        <v>1393</v>
      </c>
      <c r="N20" s="3">
        <v>155</v>
      </c>
      <c r="O20" s="3">
        <v>0</v>
      </c>
      <c r="P20" s="3">
        <v>8</v>
      </c>
      <c r="Q20" s="198">
        <v>133080</v>
      </c>
      <c r="R20" s="62"/>
    </row>
    <row r="21" spans="1:21" ht="15.75" x14ac:dyDescent="0.2">
      <c r="A21" s="197">
        <f t="shared" si="0"/>
        <v>42644</v>
      </c>
      <c r="B21" s="3">
        <v>6523</v>
      </c>
      <c r="C21" s="3">
        <v>1859</v>
      </c>
      <c r="D21" s="3">
        <v>8202</v>
      </c>
      <c r="E21" s="3">
        <v>375</v>
      </c>
      <c r="F21" s="3">
        <v>20092</v>
      </c>
      <c r="G21" s="3">
        <v>10740</v>
      </c>
      <c r="H21" s="3">
        <v>34971</v>
      </c>
      <c r="I21" s="3">
        <v>7</v>
      </c>
      <c r="J21" s="3">
        <v>42518</v>
      </c>
      <c r="K21" s="3">
        <v>6185</v>
      </c>
      <c r="L21" s="3">
        <v>555</v>
      </c>
      <c r="M21" s="3">
        <v>1355</v>
      </c>
      <c r="N21" s="3">
        <v>146</v>
      </c>
      <c r="O21" s="3">
        <v>0</v>
      </c>
      <c r="P21" s="3">
        <v>5</v>
      </c>
      <c r="Q21" s="198">
        <v>133533</v>
      </c>
      <c r="R21" s="62"/>
    </row>
    <row r="22" spans="1:21" ht="15.75" x14ac:dyDescent="0.2">
      <c r="A22" s="197">
        <f t="shared" si="0"/>
        <v>42675</v>
      </c>
      <c r="B22" s="3">
        <v>6791</v>
      </c>
      <c r="C22" s="3">
        <v>1912</v>
      </c>
      <c r="D22" s="3">
        <v>8193</v>
      </c>
      <c r="E22" s="3">
        <v>390</v>
      </c>
      <c r="F22" s="3">
        <v>20248</v>
      </c>
      <c r="G22" s="3">
        <v>10768</v>
      </c>
      <c r="H22" s="3">
        <v>36038</v>
      </c>
      <c r="I22" s="3">
        <v>7</v>
      </c>
      <c r="J22" s="3">
        <v>42649</v>
      </c>
      <c r="K22" s="3">
        <v>5867</v>
      </c>
      <c r="L22" s="3">
        <v>521</v>
      </c>
      <c r="M22" s="3">
        <v>1321</v>
      </c>
      <c r="N22" s="3">
        <v>137</v>
      </c>
      <c r="O22" s="3">
        <v>0</v>
      </c>
      <c r="P22" s="3">
        <v>4</v>
      </c>
      <c r="Q22" s="198">
        <v>134846</v>
      </c>
      <c r="R22" s="62"/>
    </row>
    <row r="23" spans="1:21" ht="15.75" x14ac:dyDescent="0.2">
      <c r="A23" s="197">
        <f t="shared" si="0"/>
        <v>42705</v>
      </c>
      <c r="B23" s="3">
        <v>6725</v>
      </c>
      <c r="C23" s="3">
        <v>1888</v>
      </c>
      <c r="D23" s="3">
        <v>7991</v>
      </c>
      <c r="E23" s="3">
        <v>393</v>
      </c>
      <c r="F23" s="3">
        <v>20331</v>
      </c>
      <c r="G23" s="3">
        <v>10850</v>
      </c>
      <c r="H23" s="3">
        <v>36301</v>
      </c>
      <c r="I23" s="3">
        <v>7</v>
      </c>
      <c r="J23" s="3">
        <v>42247</v>
      </c>
      <c r="K23" s="3">
        <v>5988</v>
      </c>
      <c r="L23" s="3">
        <v>516</v>
      </c>
      <c r="M23" s="3">
        <v>1275</v>
      </c>
      <c r="N23" s="3">
        <v>136</v>
      </c>
      <c r="O23" s="3">
        <v>0</v>
      </c>
      <c r="P23" s="3">
        <v>5</v>
      </c>
      <c r="Q23" s="198">
        <v>134653</v>
      </c>
      <c r="R23" s="62"/>
    </row>
    <row r="24" spans="1:21" ht="15.75" x14ac:dyDescent="0.2">
      <c r="A24" s="197">
        <f t="shared" si="0"/>
        <v>42736</v>
      </c>
      <c r="B24" s="3">
        <v>7039</v>
      </c>
      <c r="C24" s="3">
        <v>1960</v>
      </c>
      <c r="D24" s="3">
        <v>8433</v>
      </c>
      <c r="E24" s="3">
        <v>390</v>
      </c>
      <c r="F24" s="3">
        <v>20679</v>
      </c>
      <c r="G24" s="3">
        <v>10289</v>
      </c>
      <c r="H24" s="3">
        <v>37484</v>
      </c>
      <c r="I24" s="3">
        <v>7</v>
      </c>
      <c r="J24" s="3">
        <v>41794</v>
      </c>
      <c r="K24" s="3">
        <v>6140</v>
      </c>
      <c r="L24" s="3">
        <v>505</v>
      </c>
      <c r="M24" s="3">
        <v>1352</v>
      </c>
      <c r="N24" s="3">
        <v>142</v>
      </c>
      <c r="O24" s="3">
        <v>2</v>
      </c>
      <c r="P24" s="3">
        <v>3</v>
      </c>
      <c r="Q24" s="198">
        <v>136219</v>
      </c>
      <c r="R24" s="62"/>
    </row>
    <row r="25" spans="1:21" ht="15.75" x14ac:dyDescent="0.2">
      <c r="A25" s="197">
        <f t="shared" si="0"/>
        <v>42767</v>
      </c>
      <c r="B25" s="3">
        <v>7060</v>
      </c>
      <c r="C25" s="3">
        <v>1943</v>
      </c>
      <c r="D25" s="3">
        <v>8365</v>
      </c>
      <c r="E25" s="3">
        <v>405</v>
      </c>
      <c r="F25" s="3">
        <v>20937</v>
      </c>
      <c r="G25" s="3">
        <v>10183</v>
      </c>
      <c r="H25" s="3">
        <v>38292</v>
      </c>
      <c r="I25" s="3">
        <v>7</v>
      </c>
      <c r="J25" s="3">
        <v>41862</v>
      </c>
      <c r="K25" s="3">
        <v>6103</v>
      </c>
      <c r="L25" s="3">
        <v>491</v>
      </c>
      <c r="M25" s="3">
        <v>1335</v>
      </c>
      <c r="N25" s="3">
        <v>144</v>
      </c>
      <c r="O25" s="3">
        <v>0</v>
      </c>
      <c r="P25" s="3">
        <v>4</v>
      </c>
      <c r="Q25" s="198">
        <v>137131</v>
      </c>
      <c r="R25" s="62"/>
    </row>
    <row r="26" spans="1:21" ht="15.75" x14ac:dyDescent="0.2">
      <c r="A26" s="197">
        <f t="shared" si="0"/>
        <v>42795</v>
      </c>
      <c r="B26" s="562">
        <v>6707</v>
      </c>
      <c r="C26" s="562">
        <v>1856</v>
      </c>
      <c r="D26" s="562">
        <v>7997</v>
      </c>
      <c r="E26" s="562">
        <v>408</v>
      </c>
      <c r="F26" s="562">
        <v>21685</v>
      </c>
      <c r="G26" s="677">
        <v>50938</v>
      </c>
      <c r="H26" s="677"/>
      <c r="I26" s="562">
        <v>9</v>
      </c>
      <c r="J26" s="562">
        <v>42634</v>
      </c>
      <c r="K26" s="562">
        <v>6488</v>
      </c>
      <c r="L26" s="562">
        <v>465</v>
      </c>
      <c r="M26" s="562">
        <v>1303</v>
      </c>
      <c r="N26" s="562">
        <v>221</v>
      </c>
      <c r="O26" s="562">
        <v>0</v>
      </c>
      <c r="P26" s="562">
        <v>0</v>
      </c>
      <c r="Q26" s="565">
        <v>140711</v>
      </c>
      <c r="R26" s="62"/>
    </row>
    <row r="27" spans="1:21" ht="15.75" x14ac:dyDescent="0.2">
      <c r="A27" s="197">
        <f t="shared" si="0"/>
        <v>42826</v>
      </c>
      <c r="B27" s="562">
        <v>6317</v>
      </c>
      <c r="C27" s="562">
        <v>1784</v>
      </c>
      <c r="D27" s="562">
        <v>7610</v>
      </c>
      <c r="E27" s="562">
        <v>408</v>
      </c>
      <c r="F27" s="562">
        <v>22440</v>
      </c>
      <c r="G27" s="677">
        <v>50602</v>
      </c>
      <c r="H27" s="677"/>
      <c r="I27" s="562">
        <v>9</v>
      </c>
      <c r="J27" s="562">
        <v>42881</v>
      </c>
      <c r="K27" s="562">
        <v>6217</v>
      </c>
      <c r="L27" s="562">
        <v>509</v>
      </c>
      <c r="M27" s="562">
        <v>1262</v>
      </c>
      <c r="N27" s="562">
        <v>209</v>
      </c>
      <c r="O27" s="562">
        <v>0</v>
      </c>
      <c r="P27" s="562">
        <v>0</v>
      </c>
      <c r="Q27" s="565">
        <v>140248</v>
      </c>
      <c r="R27" s="62"/>
    </row>
    <row r="28" spans="1:21" ht="15.75" x14ac:dyDescent="0.2">
      <c r="A28" s="197">
        <f t="shared" si="0"/>
        <v>42856</v>
      </c>
      <c r="B28" s="562">
        <v>6951</v>
      </c>
      <c r="C28" s="562">
        <v>1851</v>
      </c>
      <c r="D28" s="562">
        <v>7854</v>
      </c>
      <c r="E28" s="562">
        <v>521</v>
      </c>
      <c r="F28" s="562">
        <v>23896</v>
      </c>
      <c r="G28" s="677">
        <v>53882</v>
      </c>
      <c r="H28" s="677"/>
      <c r="I28" s="562">
        <v>11</v>
      </c>
      <c r="J28" s="562">
        <v>42990</v>
      </c>
      <c r="K28" s="562">
        <v>7237</v>
      </c>
      <c r="L28" s="562">
        <v>521</v>
      </c>
      <c r="M28" s="562">
        <v>1291</v>
      </c>
      <c r="N28" s="562">
        <v>228</v>
      </c>
      <c r="O28" s="562">
        <v>0</v>
      </c>
      <c r="P28" s="562">
        <v>0</v>
      </c>
      <c r="Q28" s="565">
        <v>147233</v>
      </c>
      <c r="R28" s="62"/>
    </row>
    <row r="29" spans="1:21" ht="16.5" thickBot="1" x14ac:dyDescent="0.25">
      <c r="A29" s="242">
        <f t="shared" si="0"/>
        <v>42887</v>
      </c>
      <c r="B29" s="243"/>
      <c r="C29" s="243"/>
      <c r="D29" s="243"/>
      <c r="E29" s="243"/>
      <c r="F29" s="243"/>
      <c r="G29" s="243"/>
      <c r="H29" s="243"/>
      <c r="I29" s="243"/>
      <c r="J29" s="243"/>
      <c r="K29" s="243"/>
      <c r="L29" s="243"/>
      <c r="M29" s="243"/>
      <c r="N29" s="243"/>
      <c r="O29" s="243"/>
      <c r="P29" s="243"/>
      <c r="Q29" s="244"/>
      <c r="R29" s="62"/>
      <c r="T29" s="247"/>
    </row>
    <row r="30" spans="1:21" ht="17.25" thickTop="1" thickBot="1" x14ac:dyDescent="0.3">
      <c r="A30" s="205" t="str">
        <f t="shared" si="0"/>
        <v>FY 2016-17 Year-to-Date Average</v>
      </c>
      <c r="B30" s="5">
        <v>6483</v>
      </c>
      <c r="C30" s="5">
        <v>1851</v>
      </c>
      <c r="D30" s="5">
        <v>8123</v>
      </c>
      <c r="E30" s="5">
        <v>395</v>
      </c>
      <c r="F30" s="5">
        <v>20949</v>
      </c>
      <c r="G30" s="678">
        <v>48114</v>
      </c>
      <c r="H30" s="678"/>
      <c r="I30" s="5">
        <v>8</v>
      </c>
      <c r="J30" s="5">
        <v>42621</v>
      </c>
      <c r="K30" s="5">
        <v>6249</v>
      </c>
      <c r="L30" s="5">
        <v>532</v>
      </c>
      <c r="M30" s="5">
        <v>1355</v>
      </c>
      <c r="N30" s="5">
        <v>167</v>
      </c>
      <c r="O30" s="5">
        <v>0</v>
      </c>
      <c r="P30" s="5">
        <v>4</v>
      </c>
      <c r="Q30" s="206">
        <v>136851</v>
      </c>
      <c r="R30" s="62"/>
      <c r="S30" s="5"/>
    </row>
    <row r="31" spans="1:21" ht="16.5" thickBot="1" x14ac:dyDescent="0.25">
      <c r="A31" s="357" t="s">
        <v>173</v>
      </c>
      <c r="B31" s="358"/>
      <c r="C31" s="358"/>
      <c r="D31" s="358"/>
      <c r="E31" s="358"/>
      <c r="F31" s="358"/>
      <c r="G31" s="358"/>
      <c r="H31" s="358"/>
      <c r="I31" s="358"/>
      <c r="J31" s="358"/>
      <c r="K31" s="358"/>
      <c r="L31" s="358"/>
      <c r="M31" s="358"/>
      <c r="N31" s="358"/>
      <c r="O31" s="358"/>
      <c r="P31" s="358"/>
      <c r="Q31" s="359"/>
      <c r="R31" s="295"/>
    </row>
    <row r="32" spans="1:21" ht="15.75" x14ac:dyDescent="0.2">
      <c r="A32" s="203">
        <f>A4</f>
        <v>42552</v>
      </c>
      <c r="B32" s="192">
        <v>1544</v>
      </c>
      <c r="C32" s="192">
        <v>548</v>
      </c>
      <c r="D32" s="192">
        <v>3051</v>
      </c>
      <c r="E32" s="192">
        <v>283</v>
      </c>
      <c r="F32" s="192">
        <v>7638</v>
      </c>
      <c r="G32" s="192">
        <v>5166</v>
      </c>
      <c r="H32" s="192">
        <v>15217</v>
      </c>
      <c r="I32" s="192">
        <v>6</v>
      </c>
      <c r="J32" s="192">
        <v>4</v>
      </c>
      <c r="K32" s="192">
        <v>0</v>
      </c>
      <c r="L32" s="192">
        <v>0</v>
      </c>
      <c r="M32" s="192">
        <v>700</v>
      </c>
      <c r="N32" s="192">
        <v>81</v>
      </c>
      <c r="O32" s="192">
        <v>0</v>
      </c>
      <c r="P32" s="192">
        <v>2</v>
      </c>
      <c r="Q32" s="204">
        <v>34240</v>
      </c>
      <c r="R32" s="62"/>
      <c r="U32" s="247"/>
    </row>
    <row r="33" spans="1:23" ht="15.75" x14ac:dyDescent="0.2">
      <c r="A33" s="197">
        <f t="shared" ref="A33:A44" si="1">A5</f>
        <v>42583</v>
      </c>
      <c r="B33" s="3">
        <v>1529</v>
      </c>
      <c r="C33" s="3">
        <v>545</v>
      </c>
      <c r="D33" s="3">
        <v>3013</v>
      </c>
      <c r="E33" s="3">
        <v>275</v>
      </c>
      <c r="F33" s="3">
        <v>7312</v>
      </c>
      <c r="G33" s="3">
        <v>5047</v>
      </c>
      <c r="H33" s="3">
        <v>14766</v>
      </c>
      <c r="I33" s="3">
        <v>6</v>
      </c>
      <c r="J33" s="3">
        <v>5</v>
      </c>
      <c r="K33" s="3">
        <v>1</v>
      </c>
      <c r="L33" s="3">
        <v>1</v>
      </c>
      <c r="M33" s="3">
        <v>652</v>
      </c>
      <c r="N33" s="3">
        <v>71</v>
      </c>
      <c r="O33" s="3">
        <v>0</v>
      </c>
      <c r="P33" s="3">
        <v>3</v>
      </c>
      <c r="Q33" s="198">
        <v>33226</v>
      </c>
      <c r="R33" s="62"/>
      <c r="U33" s="247"/>
    </row>
    <row r="34" spans="1:23" ht="15.75" x14ac:dyDescent="0.2">
      <c r="A34" s="197">
        <f t="shared" si="1"/>
        <v>42614</v>
      </c>
      <c r="B34" s="3">
        <v>1562</v>
      </c>
      <c r="C34" s="3">
        <v>549</v>
      </c>
      <c r="D34" s="3">
        <v>3009</v>
      </c>
      <c r="E34" s="3">
        <v>285</v>
      </c>
      <c r="F34" s="3">
        <v>7283</v>
      </c>
      <c r="G34" s="3">
        <v>5046</v>
      </c>
      <c r="H34" s="3">
        <v>14833</v>
      </c>
      <c r="I34" s="3">
        <v>6</v>
      </c>
      <c r="J34" s="3">
        <v>3</v>
      </c>
      <c r="K34" s="3">
        <v>1</v>
      </c>
      <c r="L34" s="3">
        <v>0</v>
      </c>
      <c r="M34" s="3">
        <v>615</v>
      </c>
      <c r="N34" s="3">
        <v>71</v>
      </c>
      <c r="O34" s="3">
        <v>0</v>
      </c>
      <c r="P34" s="3">
        <v>2</v>
      </c>
      <c r="Q34" s="198">
        <v>33265</v>
      </c>
      <c r="R34" s="62"/>
      <c r="S34" s="247"/>
      <c r="U34" s="247"/>
    </row>
    <row r="35" spans="1:23" ht="15.75" x14ac:dyDescent="0.2">
      <c r="A35" s="197">
        <f t="shared" si="1"/>
        <v>42644</v>
      </c>
      <c r="B35" s="3">
        <v>1573</v>
      </c>
      <c r="C35" s="3">
        <v>550</v>
      </c>
      <c r="D35" s="3">
        <v>3030</v>
      </c>
      <c r="E35" s="3">
        <v>301</v>
      </c>
      <c r="F35" s="3">
        <v>7374</v>
      </c>
      <c r="G35" s="3">
        <v>4854</v>
      </c>
      <c r="H35" s="3">
        <v>14775</v>
      </c>
      <c r="I35" s="3">
        <v>6</v>
      </c>
      <c r="J35" s="3">
        <v>3</v>
      </c>
      <c r="K35" s="3">
        <v>0</v>
      </c>
      <c r="L35" s="3">
        <v>0</v>
      </c>
      <c r="M35" s="3">
        <v>594</v>
      </c>
      <c r="N35" s="3">
        <v>63</v>
      </c>
      <c r="O35" s="3">
        <v>0</v>
      </c>
      <c r="P35" s="3">
        <v>2</v>
      </c>
      <c r="Q35" s="198">
        <v>33125</v>
      </c>
      <c r="R35" s="62"/>
      <c r="U35" s="247"/>
    </row>
    <row r="36" spans="1:23" ht="15.75" x14ac:dyDescent="0.2">
      <c r="A36" s="197">
        <f t="shared" si="1"/>
        <v>42675</v>
      </c>
      <c r="B36" s="3">
        <v>1598</v>
      </c>
      <c r="C36" s="3">
        <v>560</v>
      </c>
      <c r="D36" s="3">
        <v>3036</v>
      </c>
      <c r="E36" s="3">
        <v>317</v>
      </c>
      <c r="F36" s="3">
        <v>7431</v>
      </c>
      <c r="G36" s="3">
        <v>4854</v>
      </c>
      <c r="H36" s="3">
        <v>15140</v>
      </c>
      <c r="I36" s="3">
        <v>6</v>
      </c>
      <c r="J36" s="3">
        <v>3</v>
      </c>
      <c r="K36" s="3">
        <v>1</v>
      </c>
      <c r="L36" s="3">
        <v>0</v>
      </c>
      <c r="M36" s="3">
        <v>578</v>
      </c>
      <c r="N36" s="3">
        <v>68</v>
      </c>
      <c r="O36" s="3">
        <v>0</v>
      </c>
      <c r="P36" s="3">
        <v>4</v>
      </c>
      <c r="Q36" s="198">
        <v>33596</v>
      </c>
      <c r="R36" s="62"/>
      <c r="U36" s="247"/>
    </row>
    <row r="37" spans="1:23" ht="15.75" x14ac:dyDescent="0.2">
      <c r="A37" s="197">
        <f t="shared" si="1"/>
        <v>42705</v>
      </c>
      <c r="B37" s="3">
        <v>1573</v>
      </c>
      <c r="C37" s="3">
        <v>560</v>
      </c>
      <c r="D37" s="3">
        <v>2964</v>
      </c>
      <c r="E37" s="3">
        <v>323</v>
      </c>
      <c r="F37" s="3">
        <v>7498</v>
      </c>
      <c r="G37" s="3">
        <v>4923</v>
      </c>
      <c r="H37" s="3">
        <v>15116</v>
      </c>
      <c r="I37" s="3">
        <v>6</v>
      </c>
      <c r="J37" s="3">
        <v>13</v>
      </c>
      <c r="K37" s="3">
        <v>0</v>
      </c>
      <c r="L37" s="3">
        <v>0</v>
      </c>
      <c r="M37" s="3">
        <v>563</v>
      </c>
      <c r="N37" s="3">
        <v>66</v>
      </c>
      <c r="O37" s="3">
        <v>0</v>
      </c>
      <c r="P37" s="3">
        <v>3</v>
      </c>
      <c r="Q37" s="198">
        <v>33608</v>
      </c>
      <c r="R37" s="62"/>
      <c r="U37" s="247"/>
    </row>
    <row r="38" spans="1:23" ht="15.75" x14ac:dyDescent="0.2">
      <c r="A38" s="197">
        <f t="shared" si="1"/>
        <v>42736</v>
      </c>
      <c r="B38" s="3">
        <v>1679</v>
      </c>
      <c r="C38" s="3">
        <v>590</v>
      </c>
      <c r="D38" s="3">
        <v>3268</v>
      </c>
      <c r="E38" s="3">
        <v>323</v>
      </c>
      <c r="F38" s="3">
        <v>7902</v>
      </c>
      <c r="G38" s="3">
        <v>4739</v>
      </c>
      <c r="H38" s="3">
        <v>16220</v>
      </c>
      <c r="I38" s="3">
        <v>6</v>
      </c>
      <c r="J38" s="3">
        <v>4</v>
      </c>
      <c r="K38" s="3">
        <v>0</v>
      </c>
      <c r="L38" s="3">
        <v>2</v>
      </c>
      <c r="M38" s="3">
        <v>622</v>
      </c>
      <c r="N38" s="3">
        <v>73</v>
      </c>
      <c r="O38" s="3">
        <v>0</v>
      </c>
      <c r="P38" s="3">
        <v>0</v>
      </c>
      <c r="Q38" s="198">
        <v>35428</v>
      </c>
      <c r="R38" s="62"/>
      <c r="U38" s="247"/>
    </row>
    <row r="39" spans="1:23" ht="15.75" x14ac:dyDescent="0.2">
      <c r="A39" s="197">
        <f t="shared" si="1"/>
        <v>42767</v>
      </c>
      <c r="B39" s="3">
        <v>1673</v>
      </c>
      <c r="C39" s="3">
        <v>582</v>
      </c>
      <c r="D39" s="3">
        <v>3227</v>
      </c>
      <c r="E39" s="3">
        <v>326</v>
      </c>
      <c r="F39" s="3">
        <v>7981</v>
      </c>
      <c r="G39" s="3">
        <v>4624</v>
      </c>
      <c r="H39" s="3">
        <v>16295</v>
      </c>
      <c r="I39" s="3">
        <v>6</v>
      </c>
      <c r="J39" s="3">
        <v>5</v>
      </c>
      <c r="K39" s="3">
        <v>0</v>
      </c>
      <c r="L39" s="3">
        <v>0</v>
      </c>
      <c r="M39" s="3">
        <v>618</v>
      </c>
      <c r="N39" s="3">
        <v>67</v>
      </c>
      <c r="O39" s="3">
        <v>0</v>
      </c>
      <c r="P39" s="3">
        <v>2</v>
      </c>
      <c r="Q39" s="198">
        <v>35406</v>
      </c>
      <c r="R39" s="62"/>
      <c r="U39" s="247"/>
    </row>
    <row r="40" spans="1:23" ht="15.75" x14ac:dyDescent="0.2">
      <c r="A40" s="197">
        <f t="shared" si="1"/>
        <v>42795</v>
      </c>
      <c r="B40" s="562">
        <v>1329</v>
      </c>
      <c r="C40" s="562">
        <v>554</v>
      </c>
      <c r="D40" s="562">
        <v>2941</v>
      </c>
      <c r="E40" s="562">
        <v>319</v>
      </c>
      <c r="F40" s="562">
        <v>8200</v>
      </c>
      <c r="G40" s="677">
        <v>21394</v>
      </c>
      <c r="H40" s="677"/>
      <c r="I40" s="562">
        <v>7</v>
      </c>
      <c r="J40" s="562">
        <v>60</v>
      </c>
      <c r="K40" s="562">
        <v>13</v>
      </c>
      <c r="L40" s="562">
        <v>0</v>
      </c>
      <c r="M40" s="562">
        <v>571</v>
      </c>
      <c r="N40" s="562">
        <v>115</v>
      </c>
      <c r="O40" s="562">
        <v>0</v>
      </c>
      <c r="P40" s="562">
        <v>0</v>
      </c>
      <c r="Q40" s="565">
        <v>35503</v>
      </c>
      <c r="R40" s="62"/>
      <c r="U40" s="247"/>
    </row>
    <row r="41" spans="1:23" ht="15.75" x14ac:dyDescent="0.2">
      <c r="A41" s="197">
        <f t="shared" si="1"/>
        <v>42826</v>
      </c>
      <c r="B41" s="562">
        <v>1604</v>
      </c>
      <c r="C41" s="562">
        <v>593</v>
      </c>
      <c r="D41" s="562">
        <v>3171</v>
      </c>
      <c r="E41" s="562">
        <v>329</v>
      </c>
      <c r="F41" s="562">
        <v>8623</v>
      </c>
      <c r="G41" s="677">
        <v>20961</v>
      </c>
      <c r="H41" s="677"/>
      <c r="I41" s="562">
        <v>6</v>
      </c>
      <c r="J41" s="562">
        <v>50</v>
      </c>
      <c r="K41" s="562">
        <v>7</v>
      </c>
      <c r="L41" s="562">
        <v>0</v>
      </c>
      <c r="M41" s="562">
        <v>569</v>
      </c>
      <c r="N41" s="562">
        <v>113</v>
      </c>
      <c r="O41" s="562">
        <v>0</v>
      </c>
      <c r="P41" s="562">
        <v>0</v>
      </c>
      <c r="Q41" s="565">
        <v>36026</v>
      </c>
      <c r="R41" s="62"/>
    </row>
    <row r="42" spans="1:23" ht="15.75" x14ac:dyDescent="0.2">
      <c r="A42" s="197">
        <f t="shared" si="1"/>
        <v>42856</v>
      </c>
      <c r="B42" s="562">
        <v>1613</v>
      </c>
      <c r="C42" s="562">
        <v>595</v>
      </c>
      <c r="D42" s="562">
        <v>3171</v>
      </c>
      <c r="E42" s="562">
        <v>349</v>
      </c>
      <c r="F42" s="562">
        <v>9041</v>
      </c>
      <c r="G42" s="677">
        <v>21664</v>
      </c>
      <c r="H42" s="677"/>
      <c r="I42" s="562">
        <v>0</v>
      </c>
      <c r="J42" s="562">
        <v>65</v>
      </c>
      <c r="K42" s="562">
        <v>12</v>
      </c>
      <c r="L42" s="562">
        <v>2</v>
      </c>
      <c r="M42" s="562">
        <v>560</v>
      </c>
      <c r="N42" s="562">
        <v>118</v>
      </c>
      <c r="O42" s="562">
        <v>0</v>
      </c>
      <c r="P42" s="562">
        <v>0</v>
      </c>
      <c r="Q42" s="565">
        <v>37190</v>
      </c>
      <c r="R42" s="62"/>
    </row>
    <row r="43" spans="1:23" ht="16.5" thickBot="1" x14ac:dyDescent="0.25">
      <c r="A43" s="242">
        <f t="shared" si="1"/>
        <v>42887</v>
      </c>
      <c r="B43" s="243"/>
      <c r="C43" s="243"/>
      <c r="D43" s="243"/>
      <c r="E43" s="243"/>
      <c r="F43" s="339"/>
      <c r="G43" s="339"/>
      <c r="H43" s="243"/>
      <c r="I43" s="243"/>
      <c r="J43" s="243"/>
      <c r="K43" s="243"/>
      <c r="L43" s="243"/>
      <c r="M43" s="243"/>
      <c r="N43" s="243"/>
      <c r="O43" s="243"/>
      <c r="P43" s="243"/>
      <c r="Q43" s="244"/>
      <c r="R43" s="62"/>
      <c r="W43" s="247"/>
    </row>
    <row r="44" spans="1:23" ht="17.25" thickTop="1" thickBot="1" x14ac:dyDescent="0.3">
      <c r="A44" s="205" t="str">
        <f t="shared" si="1"/>
        <v>FY 2016-17 Year-to-Date Average</v>
      </c>
      <c r="B44" s="5">
        <v>1571</v>
      </c>
      <c r="C44" s="5">
        <v>566</v>
      </c>
      <c r="D44" s="5">
        <v>3080</v>
      </c>
      <c r="E44" s="5">
        <v>312</v>
      </c>
      <c r="F44" s="5">
        <v>7843</v>
      </c>
      <c r="G44" s="678">
        <v>20512</v>
      </c>
      <c r="H44" s="678"/>
      <c r="I44" s="5">
        <v>6</v>
      </c>
      <c r="J44" s="5">
        <v>20</v>
      </c>
      <c r="K44" s="5">
        <v>3</v>
      </c>
      <c r="L44" s="5">
        <v>0</v>
      </c>
      <c r="M44" s="5">
        <v>604</v>
      </c>
      <c r="N44" s="5">
        <v>82</v>
      </c>
      <c r="O44" s="5">
        <v>0</v>
      </c>
      <c r="P44" s="5">
        <v>2</v>
      </c>
      <c r="Q44" s="206">
        <v>34601</v>
      </c>
      <c r="R44" s="62"/>
      <c r="S44" s="5"/>
      <c r="T44" s="247"/>
    </row>
    <row r="45" spans="1:23" ht="16.5" thickBot="1" x14ac:dyDescent="0.25">
      <c r="A45" s="357" t="s">
        <v>312</v>
      </c>
      <c r="B45" s="358"/>
      <c r="C45" s="358"/>
      <c r="D45" s="358"/>
      <c r="E45" s="358"/>
      <c r="F45" s="358"/>
      <c r="G45" s="358"/>
      <c r="H45" s="358"/>
      <c r="I45" s="358"/>
      <c r="J45" s="358"/>
      <c r="K45" s="358"/>
      <c r="L45" s="358"/>
      <c r="M45" s="358"/>
      <c r="N45" s="358"/>
      <c r="O45" s="358"/>
      <c r="P45" s="358"/>
      <c r="Q45" s="359"/>
      <c r="R45" s="62"/>
      <c r="S45" s="5"/>
      <c r="T45" s="247"/>
    </row>
    <row r="46" spans="1:23" ht="15.75" x14ac:dyDescent="0.2">
      <c r="A46" s="203">
        <f>A4</f>
        <v>42552</v>
      </c>
      <c r="B46" s="192">
        <v>35</v>
      </c>
      <c r="C46" s="192">
        <v>71</v>
      </c>
      <c r="D46" s="192">
        <v>824</v>
      </c>
      <c r="E46" s="192">
        <v>25</v>
      </c>
      <c r="F46" s="192">
        <v>3458</v>
      </c>
      <c r="G46" s="192">
        <v>2077</v>
      </c>
      <c r="H46" s="192">
        <v>5351</v>
      </c>
      <c r="I46" s="192">
        <v>0</v>
      </c>
      <c r="J46" s="192">
        <v>9005</v>
      </c>
      <c r="K46" s="192">
        <v>1615</v>
      </c>
      <c r="L46" s="192">
        <v>333</v>
      </c>
      <c r="M46" s="192">
        <v>179</v>
      </c>
      <c r="N46" s="192">
        <v>19</v>
      </c>
      <c r="O46" s="192">
        <v>0</v>
      </c>
      <c r="P46" s="192">
        <v>0</v>
      </c>
      <c r="Q46" s="204">
        <v>22992</v>
      </c>
      <c r="R46" s="62"/>
      <c r="S46" s="5"/>
      <c r="T46" s="247"/>
    </row>
    <row r="47" spans="1:23" ht="15.75" x14ac:dyDescent="0.2">
      <c r="A47" s="197">
        <f t="shared" ref="A47:A58" si="2">A5</f>
        <v>42583</v>
      </c>
      <c r="B47" s="3">
        <v>33</v>
      </c>
      <c r="C47" s="3">
        <v>70</v>
      </c>
      <c r="D47" s="3">
        <v>810</v>
      </c>
      <c r="E47" s="3">
        <v>24</v>
      </c>
      <c r="F47" s="3">
        <v>3436</v>
      </c>
      <c r="G47" s="3">
        <v>2038</v>
      </c>
      <c r="H47" s="3">
        <v>5307</v>
      </c>
      <c r="I47" s="3">
        <v>0</v>
      </c>
      <c r="J47" s="3">
        <v>8925</v>
      </c>
      <c r="K47" s="3">
        <v>1649</v>
      </c>
      <c r="L47" s="3">
        <v>328</v>
      </c>
      <c r="M47" s="3">
        <v>173</v>
      </c>
      <c r="N47" s="3">
        <v>19</v>
      </c>
      <c r="O47" s="3">
        <v>0</v>
      </c>
      <c r="P47" s="3">
        <v>0</v>
      </c>
      <c r="Q47" s="198">
        <v>22812</v>
      </c>
      <c r="R47" s="62"/>
      <c r="S47" s="5"/>
      <c r="T47" s="247"/>
    </row>
    <row r="48" spans="1:23" ht="15.75" x14ac:dyDescent="0.2">
      <c r="A48" s="197">
        <f t="shared" si="2"/>
        <v>42614</v>
      </c>
      <c r="B48" s="3">
        <v>36</v>
      </c>
      <c r="C48" s="3">
        <v>75</v>
      </c>
      <c r="D48" s="3">
        <v>796</v>
      </c>
      <c r="E48" s="3">
        <v>28</v>
      </c>
      <c r="F48" s="3">
        <v>3434</v>
      </c>
      <c r="G48" s="3">
        <v>2051</v>
      </c>
      <c r="H48" s="3">
        <v>5350</v>
      </c>
      <c r="I48" s="3">
        <v>0</v>
      </c>
      <c r="J48" s="3">
        <v>8965</v>
      </c>
      <c r="K48" s="3">
        <v>1632</v>
      </c>
      <c r="L48" s="3">
        <v>319</v>
      </c>
      <c r="M48" s="3">
        <v>163</v>
      </c>
      <c r="N48" s="3">
        <v>20</v>
      </c>
      <c r="O48" s="3">
        <v>0</v>
      </c>
      <c r="P48" s="3">
        <v>2</v>
      </c>
      <c r="Q48" s="198">
        <v>22871</v>
      </c>
      <c r="R48" s="62"/>
      <c r="S48" s="5"/>
      <c r="T48" s="247"/>
    </row>
    <row r="49" spans="1:20" ht="15.75" x14ac:dyDescent="0.2">
      <c r="A49" s="197">
        <f t="shared" si="2"/>
        <v>42644</v>
      </c>
      <c r="B49" s="3">
        <v>36</v>
      </c>
      <c r="C49" s="3">
        <v>75</v>
      </c>
      <c r="D49" s="3">
        <v>789</v>
      </c>
      <c r="E49" s="3">
        <v>28</v>
      </c>
      <c r="F49" s="3">
        <v>3447</v>
      </c>
      <c r="G49" s="3">
        <v>1971</v>
      </c>
      <c r="H49" s="3">
        <v>5208</v>
      </c>
      <c r="I49" s="3">
        <v>0</v>
      </c>
      <c r="J49" s="3">
        <v>8884</v>
      </c>
      <c r="K49" s="3">
        <v>1629</v>
      </c>
      <c r="L49" s="3">
        <v>316</v>
      </c>
      <c r="M49" s="3">
        <v>163</v>
      </c>
      <c r="N49" s="3">
        <v>19</v>
      </c>
      <c r="O49" s="3">
        <v>0</v>
      </c>
      <c r="P49" s="3">
        <v>1</v>
      </c>
      <c r="Q49" s="198">
        <v>22566</v>
      </c>
      <c r="R49" s="62"/>
      <c r="S49" s="5"/>
      <c r="T49" s="247"/>
    </row>
    <row r="50" spans="1:20" ht="15.75" x14ac:dyDescent="0.2">
      <c r="A50" s="197">
        <f t="shared" si="2"/>
        <v>42675</v>
      </c>
      <c r="B50" s="3">
        <v>38</v>
      </c>
      <c r="C50" s="3">
        <v>73</v>
      </c>
      <c r="D50" s="3">
        <v>790</v>
      </c>
      <c r="E50" s="3">
        <v>25</v>
      </c>
      <c r="F50" s="3">
        <v>3455</v>
      </c>
      <c r="G50" s="3">
        <v>1974</v>
      </c>
      <c r="H50" s="3">
        <v>5214</v>
      </c>
      <c r="I50" s="3">
        <v>0</v>
      </c>
      <c r="J50" s="3">
        <v>8918</v>
      </c>
      <c r="K50" s="3">
        <v>1544</v>
      </c>
      <c r="L50" s="3">
        <v>305</v>
      </c>
      <c r="M50" s="3">
        <v>160</v>
      </c>
      <c r="N50" s="3">
        <v>19</v>
      </c>
      <c r="O50" s="3">
        <v>0</v>
      </c>
      <c r="P50" s="3">
        <v>0</v>
      </c>
      <c r="Q50" s="198">
        <v>22515</v>
      </c>
      <c r="R50" s="62"/>
      <c r="S50" s="5"/>
      <c r="T50" s="247"/>
    </row>
    <row r="51" spans="1:20" ht="15.75" x14ac:dyDescent="0.2">
      <c r="A51" s="197">
        <f t="shared" si="2"/>
        <v>42705</v>
      </c>
      <c r="B51" s="3">
        <v>39</v>
      </c>
      <c r="C51" s="3">
        <v>74</v>
      </c>
      <c r="D51" s="3">
        <v>752</v>
      </c>
      <c r="E51" s="3">
        <v>21</v>
      </c>
      <c r="F51" s="3">
        <v>3428</v>
      </c>
      <c r="G51" s="3">
        <v>1968</v>
      </c>
      <c r="H51" s="3">
        <v>5197</v>
      </c>
      <c r="I51" s="3">
        <v>0</v>
      </c>
      <c r="J51" s="3">
        <v>8800</v>
      </c>
      <c r="K51" s="3">
        <v>1559</v>
      </c>
      <c r="L51" s="3">
        <v>306</v>
      </c>
      <c r="M51" s="3">
        <v>160</v>
      </c>
      <c r="N51" s="3">
        <v>21</v>
      </c>
      <c r="O51" s="3">
        <v>0</v>
      </c>
      <c r="P51" s="3">
        <v>0</v>
      </c>
      <c r="Q51" s="198">
        <v>22325</v>
      </c>
      <c r="R51" s="62"/>
      <c r="S51" s="5"/>
      <c r="T51" s="247"/>
    </row>
    <row r="52" spans="1:20" ht="15.75" x14ac:dyDescent="0.2">
      <c r="A52" s="197">
        <f t="shared" si="2"/>
        <v>42736</v>
      </c>
      <c r="B52" s="3">
        <v>36</v>
      </c>
      <c r="C52" s="3">
        <v>77</v>
      </c>
      <c r="D52" s="3">
        <v>767</v>
      </c>
      <c r="E52" s="3">
        <v>22</v>
      </c>
      <c r="F52" s="3">
        <v>3383</v>
      </c>
      <c r="G52" s="3">
        <v>1870</v>
      </c>
      <c r="H52" s="3">
        <v>5176</v>
      </c>
      <c r="I52" s="3">
        <v>0</v>
      </c>
      <c r="J52" s="3">
        <v>8603</v>
      </c>
      <c r="K52" s="3">
        <v>1609</v>
      </c>
      <c r="L52" s="3">
        <v>303</v>
      </c>
      <c r="M52" s="3">
        <v>165</v>
      </c>
      <c r="N52" s="3">
        <v>23</v>
      </c>
      <c r="O52" s="3">
        <v>0</v>
      </c>
      <c r="P52" s="3">
        <v>0</v>
      </c>
      <c r="Q52" s="198">
        <v>22034</v>
      </c>
      <c r="R52" s="62"/>
      <c r="S52" s="5"/>
      <c r="T52" s="247"/>
    </row>
    <row r="53" spans="1:20" ht="15.75" x14ac:dyDescent="0.2">
      <c r="A53" s="197">
        <f t="shared" si="2"/>
        <v>42767</v>
      </c>
      <c r="B53" s="3">
        <v>35</v>
      </c>
      <c r="C53" s="3">
        <v>75</v>
      </c>
      <c r="D53" s="3">
        <v>765</v>
      </c>
      <c r="E53" s="3">
        <v>30</v>
      </c>
      <c r="F53" s="3">
        <v>3437</v>
      </c>
      <c r="G53" s="3">
        <v>1849</v>
      </c>
      <c r="H53" s="3">
        <v>5236</v>
      </c>
      <c r="I53" s="3">
        <v>0</v>
      </c>
      <c r="J53" s="3">
        <v>8626</v>
      </c>
      <c r="K53" s="3">
        <v>1610</v>
      </c>
      <c r="L53" s="3">
        <v>296</v>
      </c>
      <c r="M53" s="3">
        <v>166</v>
      </c>
      <c r="N53" s="3">
        <v>30</v>
      </c>
      <c r="O53" s="3">
        <v>0</v>
      </c>
      <c r="P53" s="3">
        <v>0</v>
      </c>
      <c r="Q53" s="198">
        <v>22155</v>
      </c>
      <c r="R53" s="62"/>
      <c r="S53" s="5"/>
      <c r="T53" s="247"/>
    </row>
    <row r="54" spans="1:20" ht="15.75" x14ac:dyDescent="0.2">
      <c r="A54" s="197">
        <f t="shared" si="2"/>
        <v>42795</v>
      </c>
      <c r="B54" s="562">
        <v>27</v>
      </c>
      <c r="C54" s="562">
        <v>76</v>
      </c>
      <c r="D54" s="562">
        <v>766</v>
      </c>
      <c r="E54" s="562">
        <v>28</v>
      </c>
      <c r="F54" s="562">
        <v>3555</v>
      </c>
      <c r="G54" s="677">
        <v>7107</v>
      </c>
      <c r="H54" s="677"/>
      <c r="I54" s="562">
        <v>0</v>
      </c>
      <c r="J54" s="562">
        <v>8680</v>
      </c>
      <c r="K54" s="562">
        <v>1685</v>
      </c>
      <c r="L54" s="562">
        <v>279</v>
      </c>
      <c r="M54" s="562">
        <v>149</v>
      </c>
      <c r="N54" s="562">
        <v>36</v>
      </c>
      <c r="O54" s="562">
        <v>0</v>
      </c>
      <c r="P54" s="562">
        <v>0</v>
      </c>
      <c r="Q54" s="565">
        <v>22388</v>
      </c>
      <c r="R54" s="62"/>
      <c r="S54" s="5"/>
      <c r="T54" s="247"/>
    </row>
    <row r="55" spans="1:20" ht="15.75" x14ac:dyDescent="0.2">
      <c r="A55" s="197">
        <f t="shared" si="2"/>
        <v>42826</v>
      </c>
      <c r="B55" s="562">
        <v>28</v>
      </c>
      <c r="C55" s="562">
        <v>73</v>
      </c>
      <c r="D55" s="562">
        <v>747</v>
      </c>
      <c r="E55" s="562">
        <v>28</v>
      </c>
      <c r="F55" s="562">
        <v>3637</v>
      </c>
      <c r="G55" s="677">
        <v>6782</v>
      </c>
      <c r="H55" s="677"/>
      <c r="I55" s="562">
        <v>0</v>
      </c>
      <c r="J55" s="562">
        <v>8507</v>
      </c>
      <c r="K55" s="562">
        <v>1583</v>
      </c>
      <c r="L55" s="562">
        <v>281</v>
      </c>
      <c r="M55" s="562">
        <v>142</v>
      </c>
      <c r="N55" s="562">
        <v>31</v>
      </c>
      <c r="O55" s="562">
        <v>0</v>
      </c>
      <c r="P55" s="562">
        <v>0</v>
      </c>
      <c r="Q55" s="565">
        <v>21839</v>
      </c>
      <c r="R55" s="62"/>
      <c r="S55" s="5"/>
      <c r="T55" s="247"/>
    </row>
    <row r="56" spans="1:20" ht="15.75" x14ac:dyDescent="0.2">
      <c r="A56" s="197">
        <f t="shared" si="2"/>
        <v>42856</v>
      </c>
      <c r="B56" s="562">
        <v>27</v>
      </c>
      <c r="C56" s="562">
        <v>70</v>
      </c>
      <c r="D56" s="562">
        <v>734</v>
      </c>
      <c r="E56" s="562">
        <v>25</v>
      </c>
      <c r="F56" s="562">
        <v>3733</v>
      </c>
      <c r="G56" s="677">
        <v>6569</v>
      </c>
      <c r="H56" s="677"/>
      <c r="I56" s="562">
        <v>0</v>
      </c>
      <c r="J56" s="562">
        <v>8251</v>
      </c>
      <c r="K56" s="562">
        <v>1803</v>
      </c>
      <c r="L56" s="562">
        <v>286</v>
      </c>
      <c r="M56" s="562">
        <v>139</v>
      </c>
      <c r="N56" s="562">
        <v>30</v>
      </c>
      <c r="O56" s="562">
        <v>0</v>
      </c>
      <c r="P56" s="562">
        <v>0</v>
      </c>
      <c r="Q56" s="565">
        <v>21667</v>
      </c>
      <c r="R56" s="62"/>
      <c r="S56" s="5"/>
      <c r="T56" s="247"/>
    </row>
    <row r="57" spans="1:20" ht="16.5" thickBot="1" x14ac:dyDescent="0.25">
      <c r="A57" s="242">
        <f t="shared" si="2"/>
        <v>42887</v>
      </c>
      <c r="B57" s="243"/>
      <c r="C57" s="243"/>
      <c r="D57" s="243"/>
      <c r="E57" s="243"/>
      <c r="F57" s="339"/>
      <c r="G57" s="339"/>
      <c r="H57" s="243"/>
      <c r="I57" s="243"/>
      <c r="J57" s="243"/>
      <c r="K57" s="243"/>
      <c r="L57" s="243"/>
      <c r="M57" s="243"/>
      <c r="N57" s="243"/>
      <c r="O57" s="243"/>
      <c r="P57" s="243"/>
      <c r="Q57" s="244"/>
      <c r="R57" s="62"/>
      <c r="S57" s="5"/>
      <c r="T57" s="247"/>
    </row>
    <row r="58" spans="1:20" ht="17.25" thickTop="1" thickBot="1" x14ac:dyDescent="0.3">
      <c r="A58" s="205" t="str">
        <f t="shared" si="2"/>
        <v>FY 2016-17 Year-to-Date Average</v>
      </c>
      <c r="B58" s="5">
        <v>34</v>
      </c>
      <c r="C58" s="5">
        <v>74</v>
      </c>
      <c r="D58" s="5">
        <v>776</v>
      </c>
      <c r="E58" s="5">
        <v>26</v>
      </c>
      <c r="F58" s="5">
        <v>3492</v>
      </c>
      <c r="G58" s="678">
        <v>7117</v>
      </c>
      <c r="H58" s="678"/>
      <c r="I58" s="5">
        <v>0</v>
      </c>
      <c r="J58" s="5">
        <v>8742</v>
      </c>
      <c r="K58" s="5">
        <v>1629</v>
      </c>
      <c r="L58" s="5">
        <v>305</v>
      </c>
      <c r="M58" s="5">
        <v>160</v>
      </c>
      <c r="N58" s="5">
        <v>24</v>
      </c>
      <c r="O58" s="5">
        <v>0</v>
      </c>
      <c r="P58" s="5">
        <v>0</v>
      </c>
      <c r="Q58" s="206">
        <v>22379</v>
      </c>
      <c r="R58" s="62"/>
      <c r="S58" s="5"/>
      <c r="T58" s="247"/>
    </row>
    <row r="59" spans="1:20" ht="16.5" thickBot="1" x14ac:dyDescent="0.25">
      <c r="A59" s="357" t="s">
        <v>174</v>
      </c>
      <c r="B59" s="358"/>
      <c r="C59" s="358"/>
      <c r="D59" s="358"/>
      <c r="E59" s="358"/>
      <c r="F59" s="358"/>
      <c r="G59" s="358"/>
      <c r="H59" s="358"/>
      <c r="I59" s="358"/>
      <c r="J59" s="358"/>
      <c r="K59" s="358"/>
      <c r="L59" s="358"/>
      <c r="M59" s="358"/>
      <c r="N59" s="358"/>
      <c r="O59" s="358"/>
      <c r="P59" s="358"/>
      <c r="Q59" s="359"/>
      <c r="R59" s="295"/>
    </row>
    <row r="60" spans="1:20" ht="15.75" x14ac:dyDescent="0.2">
      <c r="A60" s="203">
        <f>A4</f>
        <v>42552</v>
      </c>
      <c r="B60" s="192">
        <v>2526</v>
      </c>
      <c r="C60" s="192">
        <v>914</v>
      </c>
      <c r="D60" s="192">
        <v>4285</v>
      </c>
      <c r="E60" s="192">
        <v>47</v>
      </c>
      <c r="F60" s="192">
        <v>9271</v>
      </c>
      <c r="G60" s="192">
        <v>4185</v>
      </c>
      <c r="H60" s="192">
        <v>13795</v>
      </c>
      <c r="I60" s="192">
        <v>2</v>
      </c>
      <c r="J60" s="192">
        <v>34350</v>
      </c>
      <c r="K60" s="192">
        <v>4496</v>
      </c>
      <c r="L60" s="192">
        <v>276</v>
      </c>
      <c r="M60" s="192">
        <v>646</v>
      </c>
      <c r="N60" s="192">
        <v>67</v>
      </c>
      <c r="O60" s="192">
        <v>0</v>
      </c>
      <c r="P60" s="192">
        <v>2</v>
      </c>
      <c r="Q60" s="204">
        <v>74862</v>
      </c>
      <c r="R60" s="62"/>
      <c r="S60" s="247"/>
      <c r="T60" s="247"/>
    </row>
    <row r="61" spans="1:20" ht="15.75" x14ac:dyDescent="0.2">
      <c r="A61" s="197">
        <f t="shared" ref="A61:A72" si="3">A5</f>
        <v>42583</v>
      </c>
      <c r="B61" s="3">
        <v>2570</v>
      </c>
      <c r="C61" s="3">
        <v>914</v>
      </c>
      <c r="D61" s="3">
        <v>4270</v>
      </c>
      <c r="E61" s="3">
        <v>48</v>
      </c>
      <c r="F61" s="3">
        <v>9130</v>
      </c>
      <c r="G61" s="3">
        <v>4142</v>
      </c>
      <c r="H61" s="3">
        <v>14448</v>
      </c>
      <c r="I61" s="3">
        <v>1</v>
      </c>
      <c r="J61" s="3">
        <v>34158</v>
      </c>
      <c r="K61" s="3">
        <v>4554</v>
      </c>
      <c r="L61" s="3">
        <v>269</v>
      </c>
      <c r="M61" s="3">
        <v>665</v>
      </c>
      <c r="N61" s="3">
        <v>65</v>
      </c>
      <c r="O61" s="3">
        <v>0</v>
      </c>
      <c r="P61" s="3">
        <v>3</v>
      </c>
      <c r="Q61" s="198">
        <v>75237</v>
      </c>
      <c r="R61" s="62"/>
      <c r="S61" s="247"/>
      <c r="T61" s="247"/>
    </row>
    <row r="62" spans="1:20" ht="15.75" x14ac:dyDescent="0.2">
      <c r="A62" s="197">
        <f t="shared" si="3"/>
        <v>42614</v>
      </c>
      <c r="B62" s="3">
        <v>2602</v>
      </c>
      <c r="C62" s="3">
        <v>919</v>
      </c>
      <c r="D62" s="3">
        <v>4256</v>
      </c>
      <c r="E62" s="3">
        <v>42</v>
      </c>
      <c r="F62" s="3">
        <v>9164</v>
      </c>
      <c r="G62" s="3">
        <v>4119</v>
      </c>
      <c r="H62" s="3">
        <v>14978</v>
      </c>
      <c r="I62" s="3">
        <v>1</v>
      </c>
      <c r="J62" s="3">
        <v>33849</v>
      </c>
      <c r="K62" s="3">
        <v>4561</v>
      </c>
      <c r="L62" s="3">
        <v>239</v>
      </c>
      <c r="M62" s="3">
        <v>615</v>
      </c>
      <c r="N62" s="3">
        <v>64</v>
      </c>
      <c r="O62" s="3">
        <v>0</v>
      </c>
      <c r="P62" s="3">
        <v>4</v>
      </c>
      <c r="Q62" s="198">
        <v>75413</v>
      </c>
      <c r="R62" s="62"/>
      <c r="S62" s="247"/>
      <c r="T62" s="247"/>
    </row>
    <row r="63" spans="1:20" ht="15.75" x14ac:dyDescent="0.2">
      <c r="A63" s="197">
        <f t="shared" si="3"/>
        <v>42644</v>
      </c>
      <c r="B63" s="3">
        <v>2601</v>
      </c>
      <c r="C63" s="3">
        <v>925</v>
      </c>
      <c r="D63" s="3">
        <v>4226</v>
      </c>
      <c r="E63" s="3">
        <v>46</v>
      </c>
      <c r="F63" s="3">
        <v>9271</v>
      </c>
      <c r="G63" s="3">
        <v>3915</v>
      </c>
      <c r="H63" s="3">
        <v>14988</v>
      </c>
      <c r="I63" s="3">
        <v>1</v>
      </c>
      <c r="J63" s="3">
        <v>33631</v>
      </c>
      <c r="K63" s="3">
        <v>4556</v>
      </c>
      <c r="L63" s="3">
        <v>239</v>
      </c>
      <c r="M63" s="3">
        <v>598</v>
      </c>
      <c r="N63" s="3">
        <v>64</v>
      </c>
      <c r="O63" s="3">
        <v>0</v>
      </c>
      <c r="P63" s="3">
        <v>2</v>
      </c>
      <c r="Q63" s="198">
        <v>75063</v>
      </c>
      <c r="R63" s="62"/>
    </row>
    <row r="64" spans="1:20" ht="15.75" x14ac:dyDescent="0.2">
      <c r="A64" s="197">
        <f t="shared" si="3"/>
        <v>42675</v>
      </c>
      <c r="B64" s="3">
        <v>2661</v>
      </c>
      <c r="C64" s="3">
        <v>934</v>
      </c>
      <c r="D64" s="3">
        <v>4203</v>
      </c>
      <c r="E64" s="3">
        <v>48</v>
      </c>
      <c r="F64" s="3">
        <v>9362</v>
      </c>
      <c r="G64" s="3">
        <v>3940</v>
      </c>
      <c r="H64" s="3">
        <v>15684</v>
      </c>
      <c r="I64" s="3">
        <v>1</v>
      </c>
      <c r="J64" s="3">
        <v>33728</v>
      </c>
      <c r="K64" s="3">
        <v>4322</v>
      </c>
      <c r="L64" s="3">
        <v>216</v>
      </c>
      <c r="M64" s="3">
        <v>583</v>
      </c>
      <c r="N64" s="3">
        <v>50</v>
      </c>
      <c r="O64" s="3">
        <v>0</v>
      </c>
      <c r="P64" s="3">
        <v>0</v>
      </c>
      <c r="Q64" s="198">
        <v>75732</v>
      </c>
      <c r="R64" s="62"/>
    </row>
    <row r="65" spans="1:20" ht="15.75" x14ac:dyDescent="0.2">
      <c r="A65" s="197">
        <f t="shared" si="3"/>
        <v>42705</v>
      </c>
      <c r="B65" s="3">
        <v>2616</v>
      </c>
      <c r="C65" s="3">
        <v>918</v>
      </c>
      <c r="D65" s="3">
        <v>4118</v>
      </c>
      <c r="E65" s="3">
        <v>49</v>
      </c>
      <c r="F65" s="3">
        <v>9405</v>
      </c>
      <c r="G65" s="3">
        <v>3959</v>
      </c>
      <c r="H65" s="3">
        <v>15988</v>
      </c>
      <c r="I65" s="3">
        <v>1</v>
      </c>
      <c r="J65" s="3">
        <v>33434</v>
      </c>
      <c r="K65" s="3">
        <v>4429</v>
      </c>
      <c r="L65" s="3">
        <v>210</v>
      </c>
      <c r="M65" s="3">
        <v>552</v>
      </c>
      <c r="N65" s="3">
        <v>49</v>
      </c>
      <c r="O65" s="3">
        <v>0</v>
      </c>
      <c r="P65" s="3">
        <v>2</v>
      </c>
      <c r="Q65" s="198">
        <v>75730</v>
      </c>
      <c r="R65" s="62"/>
    </row>
    <row r="66" spans="1:20" ht="15.75" x14ac:dyDescent="0.2">
      <c r="A66" s="197">
        <f t="shared" si="3"/>
        <v>42736</v>
      </c>
      <c r="B66" s="3">
        <v>2696</v>
      </c>
      <c r="C66" s="3">
        <v>940</v>
      </c>
      <c r="D66" s="3">
        <v>4228</v>
      </c>
      <c r="E66" s="3">
        <v>45</v>
      </c>
      <c r="F66" s="3">
        <v>9394</v>
      </c>
      <c r="G66" s="3">
        <v>3680</v>
      </c>
      <c r="H66" s="3">
        <v>16088</v>
      </c>
      <c r="I66" s="3">
        <v>1</v>
      </c>
      <c r="J66" s="3">
        <v>33187</v>
      </c>
      <c r="K66" s="3">
        <v>4531</v>
      </c>
      <c r="L66" s="3">
        <v>200</v>
      </c>
      <c r="M66" s="3">
        <v>565</v>
      </c>
      <c r="N66" s="3">
        <v>46</v>
      </c>
      <c r="O66" s="3">
        <v>2</v>
      </c>
      <c r="P66" s="3">
        <v>2</v>
      </c>
      <c r="Q66" s="198">
        <v>75605</v>
      </c>
      <c r="R66" s="62"/>
    </row>
    <row r="67" spans="1:20" ht="15.75" x14ac:dyDescent="0.2">
      <c r="A67" s="197">
        <f t="shared" si="3"/>
        <v>42767</v>
      </c>
      <c r="B67" s="3">
        <v>2763</v>
      </c>
      <c r="C67" s="3">
        <v>934</v>
      </c>
      <c r="D67" s="3">
        <v>4208</v>
      </c>
      <c r="E67" s="3">
        <v>49</v>
      </c>
      <c r="F67" s="3">
        <v>9519</v>
      </c>
      <c r="G67" s="3">
        <v>3710</v>
      </c>
      <c r="H67" s="3">
        <v>16761</v>
      </c>
      <c r="I67" s="3">
        <v>1</v>
      </c>
      <c r="J67" s="3">
        <v>33231</v>
      </c>
      <c r="K67" s="3">
        <v>4493</v>
      </c>
      <c r="L67" s="3">
        <v>195</v>
      </c>
      <c r="M67" s="3">
        <v>551</v>
      </c>
      <c r="N67" s="3">
        <v>47</v>
      </c>
      <c r="O67" s="3">
        <v>0</v>
      </c>
      <c r="P67" s="3">
        <v>2</v>
      </c>
      <c r="Q67" s="198">
        <v>76464</v>
      </c>
      <c r="R67" s="62"/>
    </row>
    <row r="68" spans="1:20" ht="15.75" x14ac:dyDescent="0.2">
      <c r="A68" s="197">
        <f t="shared" si="3"/>
        <v>42795</v>
      </c>
      <c r="B68" s="562">
        <v>2821</v>
      </c>
      <c r="C68" s="562">
        <v>912</v>
      </c>
      <c r="D68" s="562">
        <v>4125</v>
      </c>
      <c r="E68" s="562">
        <v>61</v>
      </c>
      <c r="F68" s="562">
        <v>9930</v>
      </c>
      <c r="G68" s="677">
        <v>22437</v>
      </c>
      <c r="H68" s="677"/>
      <c r="I68" s="562">
        <v>2</v>
      </c>
      <c r="J68" s="562">
        <v>33894</v>
      </c>
      <c r="K68" s="562">
        <v>4790</v>
      </c>
      <c r="L68" s="562">
        <v>186</v>
      </c>
      <c r="M68" s="562">
        <v>583</v>
      </c>
      <c r="N68" s="562">
        <v>70</v>
      </c>
      <c r="O68" s="562">
        <v>0</v>
      </c>
      <c r="P68" s="562">
        <v>0</v>
      </c>
      <c r="Q68" s="565">
        <v>79811</v>
      </c>
      <c r="R68" s="62"/>
    </row>
    <row r="69" spans="1:20" ht="15.75" x14ac:dyDescent="0.2">
      <c r="A69" s="197">
        <f t="shared" si="3"/>
        <v>42826</v>
      </c>
      <c r="B69" s="562">
        <v>1736</v>
      </c>
      <c r="C69" s="562">
        <v>740</v>
      </c>
      <c r="D69" s="562">
        <v>3489</v>
      </c>
      <c r="E69" s="562">
        <v>51</v>
      </c>
      <c r="F69" s="562">
        <v>10180</v>
      </c>
      <c r="G69" s="677">
        <v>22859</v>
      </c>
      <c r="H69" s="677"/>
      <c r="I69" s="562">
        <v>3</v>
      </c>
      <c r="J69" s="562">
        <v>34324</v>
      </c>
      <c r="K69" s="562">
        <v>4627</v>
      </c>
      <c r="L69" s="562">
        <v>228</v>
      </c>
      <c r="M69" s="562">
        <v>551</v>
      </c>
      <c r="N69" s="562">
        <v>65</v>
      </c>
      <c r="O69" s="562">
        <v>0</v>
      </c>
      <c r="P69" s="562">
        <v>0</v>
      </c>
      <c r="Q69" s="565">
        <v>78853</v>
      </c>
      <c r="R69" s="62"/>
    </row>
    <row r="70" spans="1:20" ht="15.75" x14ac:dyDescent="0.2">
      <c r="A70" s="197">
        <f t="shared" si="3"/>
        <v>42856</v>
      </c>
      <c r="B70" s="562">
        <v>2369</v>
      </c>
      <c r="C70" s="562">
        <v>802</v>
      </c>
      <c r="D70" s="562">
        <v>3752</v>
      </c>
      <c r="E70" s="562">
        <v>147</v>
      </c>
      <c r="F70" s="562">
        <v>11122</v>
      </c>
      <c r="G70" s="677">
        <v>25649</v>
      </c>
      <c r="H70" s="677"/>
      <c r="I70" s="562">
        <v>11</v>
      </c>
      <c r="J70" s="562">
        <v>34674</v>
      </c>
      <c r="K70" s="562">
        <v>5422</v>
      </c>
      <c r="L70" s="562">
        <v>233</v>
      </c>
      <c r="M70" s="562">
        <v>592</v>
      </c>
      <c r="N70" s="562">
        <v>80</v>
      </c>
      <c r="O70" s="562">
        <v>0</v>
      </c>
      <c r="P70" s="562">
        <v>0</v>
      </c>
      <c r="Q70" s="565">
        <v>84853</v>
      </c>
      <c r="R70" s="62"/>
    </row>
    <row r="71" spans="1:20" ht="16.5" thickBot="1" x14ac:dyDescent="0.25">
      <c r="A71" s="242">
        <f t="shared" si="3"/>
        <v>42887</v>
      </c>
      <c r="B71" s="243"/>
      <c r="C71" s="243"/>
      <c r="D71" s="243"/>
      <c r="E71" s="243"/>
      <c r="F71" s="339"/>
      <c r="G71" s="339"/>
      <c r="H71" s="243"/>
      <c r="I71" s="243"/>
      <c r="J71" s="243"/>
      <c r="K71" s="243"/>
      <c r="L71" s="243"/>
      <c r="M71" s="243"/>
      <c r="N71" s="243"/>
      <c r="O71" s="243"/>
      <c r="P71" s="243"/>
      <c r="Q71" s="244"/>
      <c r="R71" s="62"/>
      <c r="T71" s="247"/>
    </row>
    <row r="72" spans="1:20" ht="17.25" thickTop="1" thickBot="1" x14ac:dyDescent="0.3">
      <c r="A72" s="205" t="str">
        <f t="shared" si="3"/>
        <v>FY 2016-17 Year-to-Date Average</v>
      </c>
      <c r="B72" s="5">
        <v>2542</v>
      </c>
      <c r="C72" s="5">
        <v>896</v>
      </c>
      <c r="D72" s="5">
        <v>4105</v>
      </c>
      <c r="E72" s="5">
        <v>58</v>
      </c>
      <c r="F72" s="5">
        <v>9613</v>
      </c>
      <c r="G72" s="678">
        <v>20485</v>
      </c>
      <c r="H72" s="678"/>
      <c r="I72" s="5">
        <v>2</v>
      </c>
      <c r="J72" s="5">
        <v>33860</v>
      </c>
      <c r="K72" s="5">
        <v>4616</v>
      </c>
      <c r="L72" s="5">
        <v>226</v>
      </c>
      <c r="M72" s="5">
        <v>591</v>
      </c>
      <c r="N72" s="5">
        <v>61</v>
      </c>
      <c r="O72" s="5">
        <v>0</v>
      </c>
      <c r="P72" s="5">
        <v>2</v>
      </c>
      <c r="Q72" s="206">
        <v>77057</v>
      </c>
      <c r="R72" s="62"/>
      <c r="S72" s="5"/>
      <c r="T72" s="293"/>
    </row>
    <row r="73" spans="1:20" ht="19.5" thickBot="1" x14ac:dyDescent="0.25">
      <c r="A73" s="357" t="s">
        <v>337</v>
      </c>
      <c r="B73" s="358"/>
      <c r="C73" s="358"/>
      <c r="D73" s="358"/>
      <c r="E73" s="358"/>
      <c r="F73" s="358"/>
      <c r="G73" s="358"/>
      <c r="H73" s="358"/>
      <c r="I73" s="358"/>
      <c r="J73" s="358"/>
      <c r="K73" s="358"/>
      <c r="L73" s="358"/>
      <c r="M73" s="358"/>
      <c r="N73" s="358"/>
      <c r="O73" s="358"/>
      <c r="P73" s="358"/>
      <c r="Q73" s="359"/>
      <c r="R73" s="295"/>
    </row>
    <row r="74" spans="1:20" ht="15.75" x14ac:dyDescent="0.2">
      <c r="A74" s="203">
        <f>A4</f>
        <v>42552</v>
      </c>
      <c r="B74" s="192">
        <v>2501</v>
      </c>
      <c r="C74" s="192">
        <v>348</v>
      </c>
      <c r="D74" s="192">
        <v>169</v>
      </c>
      <c r="E74" s="192">
        <v>0</v>
      </c>
      <c r="F74" s="192">
        <v>0</v>
      </c>
      <c r="G74" s="192">
        <v>0</v>
      </c>
      <c r="H74" s="192">
        <v>0</v>
      </c>
      <c r="I74" s="192">
        <v>0</v>
      </c>
      <c r="J74" s="192">
        <v>0</v>
      </c>
      <c r="K74" s="192">
        <v>0</v>
      </c>
      <c r="L74" s="192">
        <v>0</v>
      </c>
      <c r="M74" s="192">
        <v>0</v>
      </c>
      <c r="N74" s="192">
        <v>0</v>
      </c>
      <c r="O74" s="192">
        <v>0</v>
      </c>
      <c r="P74" s="192">
        <v>0</v>
      </c>
      <c r="Q74" s="204">
        <v>3018</v>
      </c>
      <c r="R74" s="62"/>
    </row>
    <row r="75" spans="1:20" ht="15.75" x14ac:dyDescent="0.2">
      <c r="A75" s="197">
        <f t="shared" ref="A75:A86" si="4">A5</f>
        <v>42583</v>
      </c>
      <c r="B75" s="3">
        <v>1041</v>
      </c>
      <c r="C75" s="3">
        <v>169</v>
      </c>
      <c r="D75" s="3">
        <v>105</v>
      </c>
      <c r="E75" s="3">
        <v>0</v>
      </c>
      <c r="F75" s="3">
        <v>0</v>
      </c>
      <c r="G75" s="3">
        <v>0</v>
      </c>
      <c r="H75" s="3">
        <v>0</v>
      </c>
      <c r="I75" s="3">
        <v>0</v>
      </c>
      <c r="J75" s="3">
        <v>1</v>
      </c>
      <c r="K75" s="3">
        <v>0</v>
      </c>
      <c r="L75" s="3">
        <v>0</v>
      </c>
      <c r="M75" s="3">
        <v>0</v>
      </c>
      <c r="N75" s="3">
        <v>0</v>
      </c>
      <c r="O75" s="3">
        <v>0</v>
      </c>
      <c r="P75" s="3">
        <v>0</v>
      </c>
      <c r="Q75" s="198">
        <v>1316</v>
      </c>
      <c r="R75" s="62"/>
    </row>
    <row r="76" spans="1:20" ht="15.75" x14ac:dyDescent="0.2">
      <c r="A76" s="197">
        <f t="shared" si="4"/>
        <v>42614</v>
      </c>
      <c r="B76" s="3">
        <v>1221</v>
      </c>
      <c r="C76" s="3">
        <v>191</v>
      </c>
      <c r="D76" s="3">
        <v>118</v>
      </c>
      <c r="E76" s="3">
        <v>0</v>
      </c>
      <c r="F76" s="3">
        <v>0</v>
      </c>
      <c r="G76" s="3">
        <v>0</v>
      </c>
      <c r="H76" s="3">
        <v>1</v>
      </c>
      <c r="I76" s="3">
        <v>0</v>
      </c>
      <c r="J76" s="3">
        <v>0</v>
      </c>
      <c r="K76" s="3">
        <v>0</v>
      </c>
      <c r="L76" s="3">
        <v>0</v>
      </c>
      <c r="M76" s="3">
        <v>0</v>
      </c>
      <c r="N76" s="3">
        <v>0</v>
      </c>
      <c r="O76" s="3">
        <v>0</v>
      </c>
      <c r="P76" s="3">
        <v>0</v>
      </c>
      <c r="Q76" s="198">
        <v>1531</v>
      </c>
      <c r="R76" s="62"/>
    </row>
    <row r="77" spans="1:20" ht="15.75" x14ac:dyDescent="0.2">
      <c r="A77" s="197">
        <f t="shared" si="4"/>
        <v>42644</v>
      </c>
      <c r="B77" s="3">
        <v>2313</v>
      </c>
      <c r="C77" s="3">
        <v>309</v>
      </c>
      <c r="D77" s="3">
        <v>157</v>
      </c>
      <c r="E77" s="3">
        <v>0</v>
      </c>
      <c r="F77" s="3">
        <v>0</v>
      </c>
      <c r="G77" s="3">
        <v>0</v>
      </c>
      <c r="H77" s="3">
        <v>0</v>
      </c>
      <c r="I77" s="3">
        <v>0</v>
      </c>
      <c r="J77" s="3">
        <v>0</v>
      </c>
      <c r="K77" s="3">
        <v>0</v>
      </c>
      <c r="L77" s="3">
        <v>0</v>
      </c>
      <c r="M77" s="3">
        <v>0</v>
      </c>
      <c r="N77" s="3">
        <v>0</v>
      </c>
      <c r="O77" s="3">
        <v>0</v>
      </c>
      <c r="P77" s="3">
        <v>0</v>
      </c>
      <c r="Q77" s="198">
        <v>2779</v>
      </c>
      <c r="R77" s="62"/>
    </row>
    <row r="78" spans="1:20" ht="15.75" x14ac:dyDescent="0.2">
      <c r="A78" s="197">
        <f t="shared" si="4"/>
        <v>42675</v>
      </c>
      <c r="B78" s="3">
        <v>2494</v>
      </c>
      <c r="C78" s="3">
        <v>345</v>
      </c>
      <c r="D78" s="3">
        <v>164</v>
      </c>
      <c r="E78" s="3">
        <v>0</v>
      </c>
      <c r="F78" s="3">
        <v>0</v>
      </c>
      <c r="G78" s="3">
        <v>0</v>
      </c>
      <c r="H78" s="3">
        <v>0</v>
      </c>
      <c r="I78" s="3">
        <v>0</v>
      </c>
      <c r="J78" s="3">
        <v>0</v>
      </c>
      <c r="K78" s="3">
        <v>0</v>
      </c>
      <c r="L78" s="3">
        <v>0</v>
      </c>
      <c r="M78" s="3">
        <v>0</v>
      </c>
      <c r="N78" s="3">
        <v>0</v>
      </c>
      <c r="O78" s="3">
        <v>0</v>
      </c>
      <c r="P78" s="3">
        <v>0</v>
      </c>
      <c r="Q78" s="198">
        <v>3003</v>
      </c>
      <c r="R78" s="62"/>
    </row>
    <row r="79" spans="1:20" ht="15.75" x14ac:dyDescent="0.2">
      <c r="A79" s="197">
        <f t="shared" si="4"/>
        <v>42705</v>
      </c>
      <c r="B79" s="3">
        <v>2497</v>
      </c>
      <c r="C79" s="3">
        <v>336</v>
      </c>
      <c r="D79" s="3">
        <v>157</v>
      </c>
      <c r="E79" s="3">
        <v>0</v>
      </c>
      <c r="F79" s="3">
        <v>0</v>
      </c>
      <c r="G79" s="3">
        <v>0</v>
      </c>
      <c r="H79" s="3">
        <v>0</v>
      </c>
      <c r="I79" s="3">
        <v>0</v>
      </c>
      <c r="J79" s="3">
        <v>0</v>
      </c>
      <c r="K79" s="3">
        <v>0</v>
      </c>
      <c r="L79" s="3">
        <v>0</v>
      </c>
      <c r="M79" s="3">
        <v>0</v>
      </c>
      <c r="N79" s="3">
        <v>0</v>
      </c>
      <c r="O79" s="3">
        <v>0</v>
      </c>
      <c r="P79" s="3">
        <v>0</v>
      </c>
      <c r="Q79" s="198">
        <v>2990</v>
      </c>
      <c r="R79" s="62"/>
    </row>
    <row r="80" spans="1:20" ht="15.75" x14ac:dyDescent="0.2">
      <c r="A80" s="197">
        <f t="shared" si="4"/>
        <v>42736</v>
      </c>
      <c r="B80" s="3">
        <v>2628</v>
      </c>
      <c r="C80" s="3">
        <v>353</v>
      </c>
      <c r="D80" s="3">
        <v>170</v>
      </c>
      <c r="E80" s="3">
        <v>0</v>
      </c>
      <c r="F80" s="3">
        <v>0</v>
      </c>
      <c r="G80" s="3">
        <v>0</v>
      </c>
      <c r="H80" s="3">
        <v>0</v>
      </c>
      <c r="I80" s="3">
        <v>0</v>
      </c>
      <c r="J80" s="3">
        <v>0</v>
      </c>
      <c r="K80" s="3">
        <v>0</v>
      </c>
      <c r="L80" s="3">
        <v>0</v>
      </c>
      <c r="M80" s="3">
        <v>0</v>
      </c>
      <c r="N80" s="3">
        <v>0</v>
      </c>
      <c r="O80" s="3">
        <v>0</v>
      </c>
      <c r="P80" s="3">
        <v>1</v>
      </c>
      <c r="Q80" s="198">
        <v>3152</v>
      </c>
      <c r="R80" s="62"/>
    </row>
    <row r="81" spans="1:20" ht="15.75" x14ac:dyDescent="0.2">
      <c r="A81" s="197">
        <f t="shared" si="4"/>
        <v>42767</v>
      </c>
      <c r="B81" s="3">
        <v>2589</v>
      </c>
      <c r="C81" s="3">
        <v>352</v>
      </c>
      <c r="D81" s="3">
        <v>165</v>
      </c>
      <c r="E81" s="3">
        <v>0</v>
      </c>
      <c r="F81" s="3">
        <v>0</v>
      </c>
      <c r="G81" s="3">
        <v>0</v>
      </c>
      <c r="H81" s="3">
        <v>0</v>
      </c>
      <c r="I81" s="3">
        <v>0</v>
      </c>
      <c r="J81" s="3">
        <v>0</v>
      </c>
      <c r="K81" s="3">
        <v>0</v>
      </c>
      <c r="L81" s="3">
        <v>0</v>
      </c>
      <c r="M81" s="3">
        <v>0</v>
      </c>
      <c r="N81" s="3">
        <v>0</v>
      </c>
      <c r="O81" s="3">
        <v>0</v>
      </c>
      <c r="P81" s="3">
        <v>0</v>
      </c>
      <c r="Q81" s="198">
        <v>3106</v>
      </c>
      <c r="R81" s="62"/>
    </row>
    <row r="82" spans="1:20" ht="15.75" x14ac:dyDescent="0.2">
      <c r="A82" s="197">
        <f t="shared" si="4"/>
        <v>42795</v>
      </c>
      <c r="B82" s="562">
        <v>2530</v>
      </c>
      <c r="C82" s="562">
        <v>314</v>
      </c>
      <c r="D82" s="562">
        <v>165</v>
      </c>
      <c r="E82" s="562">
        <v>0</v>
      </c>
      <c r="F82" s="562">
        <v>0</v>
      </c>
      <c r="G82" s="698">
        <v>0</v>
      </c>
      <c r="H82" s="698">
        <v>0</v>
      </c>
      <c r="I82" s="562">
        <v>0</v>
      </c>
      <c r="J82" s="562">
        <v>0</v>
      </c>
      <c r="K82" s="562">
        <v>0</v>
      </c>
      <c r="L82" s="562">
        <v>0</v>
      </c>
      <c r="M82" s="562">
        <v>0</v>
      </c>
      <c r="N82" s="562">
        <v>0</v>
      </c>
      <c r="O82" s="562">
        <v>0</v>
      </c>
      <c r="P82" s="562">
        <v>0</v>
      </c>
      <c r="Q82" s="565">
        <v>3009</v>
      </c>
      <c r="R82" s="62"/>
    </row>
    <row r="83" spans="1:20" ht="15.75" x14ac:dyDescent="0.2">
      <c r="A83" s="197">
        <f t="shared" si="4"/>
        <v>42826</v>
      </c>
      <c r="B83" s="562">
        <v>2949</v>
      </c>
      <c r="C83" s="562">
        <v>378</v>
      </c>
      <c r="D83" s="562">
        <v>203</v>
      </c>
      <c r="E83" s="562">
        <v>0</v>
      </c>
      <c r="F83" s="562">
        <v>0</v>
      </c>
      <c r="G83" s="698">
        <v>0</v>
      </c>
      <c r="H83" s="698">
        <v>0</v>
      </c>
      <c r="I83" s="562">
        <v>0</v>
      </c>
      <c r="J83" s="562">
        <v>0</v>
      </c>
      <c r="K83" s="562">
        <v>0</v>
      </c>
      <c r="L83" s="562">
        <v>0</v>
      </c>
      <c r="M83" s="562">
        <v>0</v>
      </c>
      <c r="N83" s="562">
        <v>0</v>
      </c>
      <c r="O83" s="562">
        <v>0</v>
      </c>
      <c r="P83" s="562">
        <v>0</v>
      </c>
      <c r="Q83" s="565">
        <v>3530</v>
      </c>
      <c r="R83" s="62"/>
    </row>
    <row r="84" spans="1:20" ht="15.75" x14ac:dyDescent="0.2">
      <c r="A84" s="197">
        <f t="shared" si="4"/>
        <v>42856</v>
      </c>
      <c r="B84" s="562">
        <v>2942</v>
      </c>
      <c r="C84" s="562">
        <v>384</v>
      </c>
      <c r="D84" s="562">
        <v>197</v>
      </c>
      <c r="E84" s="562">
        <v>0</v>
      </c>
      <c r="F84" s="562">
        <v>0</v>
      </c>
      <c r="G84" s="698">
        <v>0</v>
      </c>
      <c r="H84" s="698">
        <v>0</v>
      </c>
      <c r="I84" s="562">
        <v>0</v>
      </c>
      <c r="J84" s="562">
        <v>0</v>
      </c>
      <c r="K84" s="562">
        <v>0</v>
      </c>
      <c r="L84" s="562">
        <v>0</v>
      </c>
      <c r="M84" s="562">
        <v>0</v>
      </c>
      <c r="N84" s="562">
        <v>0</v>
      </c>
      <c r="O84" s="562">
        <v>0</v>
      </c>
      <c r="P84" s="562">
        <v>0</v>
      </c>
      <c r="Q84" s="565">
        <v>3523</v>
      </c>
      <c r="R84" s="62"/>
    </row>
    <row r="85" spans="1:20" ht="16.5" thickBot="1" x14ac:dyDescent="0.25">
      <c r="A85" s="242">
        <f t="shared" si="4"/>
        <v>42887</v>
      </c>
      <c r="B85" s="243"/>
      <c r="C85" s="243"/>
      <c r="D85" s="243"/>
      <c r="E85" s="243"/>
      <c r="F85" s="243"/>
      <c r="G85" s="243"/>
      <c r="H85" s="243"/>
      <c r="I85" s="243"/>
      <c r="J85" s="243"/>
      <c r="K85" s="243"/>
      <c r="L85" s="243"/>
      <c r="M85" s="243"/>
      <c r="N85" s="243"/>
      <c r="O85" s="243"/>
      <c r="P85" s="243"/>
      <c r="Q85" s="244"/>
      <c r="R85" s="62"/>
      <c r="S85" s="247"/>
      <c r="T85" s="247"/>
    </row>
    <row r="86" spans="1:20" ht="17.25" thickTop="1" thickBot="1" x14ac:dyDescent="0.3">
      <c r="A86" s="205" t="str">
        <f t="shared" si="4"/>
        <v>FY 2016-17 Year-to-Date Average</v>
      </c>
      <c r="B86" s="5">
        <v>2337</v>
      </c>
      <c r="C86" s="5">
        <v>316</v>
      </c>
      <c r="D86" s="5">
        <v>161</v>
      </c>
      <c r="E86" s="5">
        <v>0</v>
      </c>
      <c r="F86" s="5">
        <v>0</v>
      </c>
      <c r="G86" s="698">
        <v>0</v>
      </c>
      <c r="H86" s="698">
        <v>0</v>
      </c>
      <c r="I86" s="5">
        <v>0</v>
      </c>
      <c r="J86" s="5">
        <v>0</v>
      </c>
      <c r="K86" s="5">
        <v>0</v>
      </c>
      <c r="L86" s="5">
        <v>0</v>
      </c>
      <c r="M86" s="5">
        <v>0</v>
      </c>
      <c r="N86" s="5">
        <v>0</v>
      </c>
      <c r="O86" s="5">
        <v>0</v>
      </c>
      <c r="P86" s="5">
        <v>0</v>
      </c>
      <c r="Q86" s="206">
        <v>2814</v>
      </c>
      <c r="R86" s="62"/>
      <c r="S86" s="5"/>
    </row>
    <row r="87" spans="1:20" ht="62.25" hidden="1" customHeight="1" thickBot="1" x14ac:dyDescent="0.25">
      <c r="A87" s="239"/>
      <c r="B87" s="240" t="s">
        <v>135</v>
      </c>
      <c r="C87" s="240" t="s">
        <v>136</v>
      </c>
      <c r="D87" s="240" t="s">
        <v>137</v>
      </c>
      <c r="E87" s="240" t="s">
        <v>107</v>
      </c>
      <c r="F87" s="240" t="s">
        <v>138</v>
      </c>
      <c r="G87" s="240" t="s">
        <v>139</v>
      </c>
      <c r="H87" s="240" t="s">
        <v>140</v>
      </c>
      <c r="I87" s="240" t="s">
        <v>19</v>
      </c>
      <c r="J87" s="240" t="s">
        <v>145</v>
      </c>
      <c r="K87" s="240" t="s">
        <v>141</v>
      </c>
      <c r="L87" s="240" t="s">
        <v>20</v>
      </c>
      <c r="M87" s="240" t="s">
        <v>142</v>
      </c>
      <c r="N87" s="240" t="s">
        <v>143</v>
      </c>
      <c r="O87" s="240" t="s">
        <v>144</v>
      </c>
      <c r="P87" s="240" t="s">
        <v>32</v>
      </c>
      <c r="Q87" s="241" t="s">
        <v>0</v>
      </c>
      <c r="R87" s="294"/>
    </row>
    <row r="88" spans="1:20" ht="19.5" thickBot="1" x14ac:dyDescent="0.25">
      <c r="A88" s="357" t="s">
        <v>336</v>
      </c>
      <c r="B88" s="358"/>
      <c r="C88" s="358"/>
      <c r="D88" s="358"/>
      <c r="E88" s="358"/>
      <c r="F88" s="358"/>
      <c r="G88" s="358"/>
      <c r="H88" s="358"/>
      <c r="I88" s="358"/>
      <c r="J88" s="358"/>
      <c r="K88" s="358"/>
      <c r="L88" s="358"/>
      <c r="M88" s="358"/>
      <c r="N88" s="358"/>
      <c r="O88" s="358"/>
      <c r="P88" s="358"/>
      <c r="Q88" s="359"/>
      <c r="R88" s="295"/>
    </row>
    <row r="89" spans="1:20" ht="15.75" x14ac:dyDescent="0.2">
      <c r="A89" s="203">
        <f>A4</f>
        <v>42552</v>
      </c>
      <c r="B89" s="192">
        <v>18857</v>
      </c>
      <c r="C89" s="192">
        <v>7311</v>
      </c>
      <c r="D89" s="192">
        <v>51193</v>
      </c>
      <c r="E89" s="192">
        <v>2365</v>
      </c>
      <c r="F89" s="192">
        <v>118404</v>
      </c>
      <c r="G89" s="192">
        <v>66299</v>
      </c>
      <c r="H89" s="192">
        <v>274332</v>
      </c>
      <c r="I89" s="192">
        <v>133</v>
      </c>
      <c r="J89" s="192">
        <v>380671</v>
      </c>
      <c r="K89" s="192">
        <v>52565</v>
      </c>
      <c r="L89" s="192">
        <v>16936</v>
      </c>
      <c r="M89" s="192">
        <v>8814</v>
      </c>
      <c r="N89" s="192">
        <v>1198</v>
      </c>
      <c r="O89" s="192">
        <v>0</v>
      </c>
      <c r="P89" s="192">
        <v>37</v>
      </c>
      <c r="Q89" s="204">
        <v>999115</v>
      </c>
      <c r="R89" s="62"/>
    </row>
    <row r="90" spans="1:20" ht="15.75" x14ac:dyDescent="0.2">
      <c r="A90" s="197">
        <f t="shared" ref="A90:A101" si="5">A5</f>
        <v>42583</v>
      </c>
      <c r="B90" s="3">
        <v>19276</v>
      </c>
      <c r="C90" s="3">
        <v>7420</v>
      </c>
      <c r="D90" s="3">
        <v>51691</v>
      </c>
      <c r="E90" s="3">
        <v>2421</v>
      </c>
      <c r="F90" s="3">
        <v>117794</v>
      </c>
      <c r="G90" s="3">
        <v>65835</v>
      </c>
      <c r="H90" s="3">
        <v>277676</v>
      </c>
      <c r="I90" s="3">
        <v>128</v>
      </c>
      <c r="J90" s="3">
        <v>380130</v>
      </c>
      <c r="K90" s="3">
        <v>52989</v>
      </c>
      <c r="L90" s="3">
        <v>17000</v>
      </c>
      <c r="M90" s="3">
        <v>8839</v>
      </c>
      <c r="N90" s="3">
        <v>1205</v>
      </c>
      <c r="O90" s="3">
        <v>0</v>
      </c>
      <c r="P90" s="3">
        <v>38</v>
      </c>
      <c r="Q90" s="198">
        <v>1002442</v>
      </c>
      <c r="R90" s="62"/>
    </row>
    <row r="91" spans="1:20" ht="15.75" x14ac:dyDescent="0.2">
      <c r="A91" s="197">
        <f t="shared" si="5"/>
        <v>42614</v>
      </c>
      <c r="B91" s="3">
        <v>19562</v>
      </c>
      <c r="C91" s="3">
        <v>7449</v>
      </c>
      <c r="D91" s="3">
        <v>51814</v>
      </c>
      <c r="E91" s="3">
        <v>2469</v>
      </c>
      <c r="F91" s="3">
        <v>117155</v>
      </c>
      <c r="G91" s="3">
        <v>65632</v>
      </c>
      <c r="H91" s="3">
        <v>285162</v>
      </c>
      <c r="I91" s="3">
        <v>124</v>
      </c>
      <c r="J91" s="3">
        <v>378867</v>
      </c>
      <c r="K91" s="3">
        <v>53104</v>
      </c>
      <c r="L91" s="3">
        <v>17087</v>
      </c>
      <c r="M91" s="3">
        <v>8590</v>
      </c>
      <c r="N91" s="3">
        <v>1132</v>
      </c>
      <c r="O91" s="3">
        <v>0</v>
      </c>
      <c r="P91" s="3">
        <v>19</v>
      </c>
      <c r="Q91" s="198">
        <v>1008166</v>
      </c>
      <c r="R91" s="62"/>
    </row>
    <row r="92" spans="1:20" ht="15.75" x14ac:dyDescent="0.2">
      <c r="A92" s="197">
        <f t="shared" si="5"/>
        <v>42644</v>
      </c>
      <c r="B92" s="3">
        <v>19381</v>
      </c>
      <c r="C92" s="3">
        <v>7483</v>
      </c>
      <c r="D92" s="3">
        <v>51592</v>
      </c>
      <c r="E92" s="3">
        <v>2558</v>
      </c>
      <c r="F92" s="3">
        <v>117616</v>
      </c>
      <c r="G92" s="3">
        <v>62682</v>
      </c>
      <c r="H92" s="3">
        <v>282016</v>
      </c>
      <c r="I92" s="3">
        <v>122</v>
      </c>
      <c r="J92" s="3">
        <v>378127</v>
      </c>
      <c r="K92" s="3">
        <v>53055</v>
      </c>
      <c r="L92" s="3">
        <v>17131</v>
      </c>
      <c r="M92" s="3">
        <v>8300</v>
      </c>
      <c r="N92" s="3">
        <v>1127</v>
      </c>
      <c r="O92" s="3">
        <v>0</v>
      </c>
      <c r="P92" s="3">
        <v>25</v>
      </c>
      <c r="Q92" s="198">
        <v>1001215</v>
      </c>
      <c r="R92" s="62"/>
    </row>
    <row r="93" spans="1:20" ht="15.75" x14ac:dyDescent="0.2">
      <c r="A93" s="197">
        <f t="shared" si="5"/>
        <v>42675</v>
      </c>
      <c r="B93" s="3">
        <v>19879</v>
      </c>
      <c r="C93" s="3">
        <v>7640</v>
      </c>
      <c r="D93" s="3">
        <v>51818</v>
      </c>
      <c r="E93" s="3">
        <v>2559</v>
      </c>
      <c r="F93" s="3">
        <v>121100</v>
      </c>
      <c r="G93" s="3">
        <v>64300</v>
      </c>
      <c r="H93" s="3">
        <v>284281</v>
      </c>
      <c r="I93" s="3">
        <v>119</v>
      </c>
      <c r="J93" s="3">
        <v>382017</v>
      </c>
      <c r="K93" s="3">
        <v>50353</v>
      </c>
      <c r="L93" s="3">
        <v>17215</v>
      </c>
      <c r="M93" s="3">
        <v>8326</v>
      </c>
      <c r="N93" s="3">
        <v>1113</v>
      </c>
      <c r="O93" s="3">
        <v>1</v>
      </c>
      <c r="P93" s="3">
        <v>27</v>
      </c>
      <c r="Q93" s="198">
        <v>1010748</v>
      </c>
      <c r="R93" s="62"/>
    </row>
    <row r="94" spans="1:20" ht="15.75" x14ac:dyDescent="0.2">
      <c r="A94" s="197">
        <f t="shared" si="5"/>
        <v>42705</v>
      </c>
      <c r="B94" s="3">
        <v>19760</v>
      </c>
      <c r="C94" s="3">
        <v>7654</v>
      </c>
      <c r="D94" s="3">
        <v>51686</v>
      </c>
      <c r="E94" s="3">
        <v>2591</v>
      </c>
      <c r="F94" s="3">
        <v>121895</v>
      </c>
      <c r="G94" s="3">
        <v>64798</v>
      </c>
      <c r="H94" s="3">
        <v>286345</v>
      </c>
      <c r="I94" s="3">
        <v>117</v>
      </c>
      <c r="J94" s="3">
        <v>380067</v>
      </c>
      <c r="K94" s="3">
        <v>50775</v>
      </c>
      <c r="L94" s="3">
        <v>17269</v>
      </c>
      <c r="M94" s="3">
        <v>8034</v>
      </c>
      <c r="N94" s="3">
        <v>1090</v>
      </c>
      <c r="O94" s="3">
        <v>1</v>
      </c>
      <c r="P94" s="3">
        <v>25</v>
      </c>
      <c r="Q94" s="198">
        <v>1012107</v>
      </c>
      <c r="R94" s="62"/>
    </row>
    <row r="95" spans="1:20" ht="15.75" x14ac:dyDescent="0.2">
      <c r="A95" s="197">
        <f t="shared" si="5"/>
        <v>42736</v>
      </c>
      <c r="B95" s="3">
        <v>19818</v>
      </c>
      <c r="C95" s="3">
        <v>7770</v>
      </c>
      <c r="D95" s="3">
        <v>51792</v>
      </c>
      <c r="E95" s="3">
        <v>2642</v>
      </c>
      <c r="F95" s="3">
        <v>122401</v>
      </c>
      <c r="G95" s="3">
        <v>60141</v>
      </c>
      <c r="H95" s="3">
        <v>283640</v>
      </c>
      <c r="I95" s="3">
        <v>113</v>
      </c>
      <c r="J95" s="3">
        <v>378246</v>
      </c>
      <c r="K95" s="3">
        <v>52280</v>
      </c>
      <c r="L95" s="3">
        <v>17242</v>
      </c>
      <c r="M95" s="3">
        <v>7839</v>
      </c>
      <c r="N95" s="3">
        <v>1083</v>
      </c>
      <c r="O95" s="3">
        <v>2</v>
      </c>
      <c r="P95" s="3">
        <v>24</v>
      </c>
      <c r="Q95" s="198">
        <v>1005033</v>
      </c>
      <c r="R95" s="62"/>
    </row>
    <row r="96" spans="1:20" ht="15.75" x14ac:dyDescent="0.2">
      <c r="A96" s="197">
        <f t="shared" si="5"/>
        <v>42767</v>
      </c>
      <c r="B96" s="3">
        <v>20050</v>
      </c>
      <c r="C96" s="3">
        <v>7800</v>
      </c>
      <c r="D96" s="3">
        <v>51867</v>
      </c>
      <c r="E96" s="3">
        <v>2701</v>
      </c>
      <c r="F96" s="3">
        <v>124548</v>
      </c>
      <c r="G96" s="3">
        <v>60140</v>
      </c>
      <c r="H96" s="3">
        <v>286779</v>
      </c>
      <c r="I96" s="3">
        <v>110</v>
      </c>
      <c r="J96" s="3">
        <v>379659</v>
      </c>
      <c r="K96" s="3">
        <v>52589</v>
      </c>
      <c r="L96" s="3">
        <v>17307</v>
      </c>
      <c r="M96" s="3">
        <v>7828</v>
      </c>
      <c r="N96" s="3">
        <v>1129</v>
      </c>
      <c r="O96" s="3">
        <v>40</v>
      </c>
      <c r="P96" s="3">
        <v>5</v>
      </c>
      <c r="Q96" s="198">
        <v>1012552</v>
      </c>
      <c r="R96" s="62"/>
    </row>
    <row r="97" spans="1:20" ht="15.75" x14ac:dyDescent="0.2">
      <c r="A97" s="197">
        <f t="shared" si="5"/>
        <v>42795</v>
      </c>
      <c r="B97" s="562">
        <v>18730</v>
      </c>
      <c r="C97" s="562">
        <v>7435</v>
      </c>
      <c r="D97" s="562">
        <v>49348</v>
      </c>
      <c r="E97" s="562">
        <v>2913</v>
      </c>
      <c r="F97" s="562">
        <v>130312</v>
      </c>
      <c r="G97" s="677">
        <v>353192</v>
      </c>
      <c r="H97" s="677"/>
      <c r="I97" s="562">
        <v>88</v>
      </c>
      <c r="J97" s="562">
        <v>384469</v>
      </c>
      <c r="K97" s="562">
        <v>55345</v>
      </c>
      <c r="L97" s="562">
        <v>16287</v>
      </c>
      <c r="M97" s="562">
        <v>7875</v>
      </c>
      <c r="N97" s="562">
        <v>1319</v>
      </c>
      <c r="O97" s="562">
        <v>0</v>
      </c>
      <c r="P97" s="562">
        <v>0</v>
      </c>
      <c r="Q97" s="565">
        <v>1027313</v>
      </c>
      <c r="R97" s="62"/>
    </row>
    <row r="98" spans="1:20" ht="15.75" x14ac:dyDescent="0.2">
      <c r="A98" s="197">
        <f t="shared" si="5"/>
        <v>42826</v>
      </c>
      <c r="B98" s="562">
        <v>20600</v>
      </c>
      <c r="C98" s="562">
        <v>7833</v>
      </c>
      <c r="D98" s="562">
        <v>51198</v>
      </c>
      <c r="E98" s="562">
        <v>2829</v>
      </c>
      <c r="F98" s="562">
        <v>134043</v>
      </c>
      <c r="G98" s="677">
        <v>343792</v>
      </c>
      <c r="H98" s="677"/>
      <c r="I98" s="562">
        <v>88</v>
      </c>
      <c r="J98" s="562">
        <v>378364</v>
      </c>
      <c r="K98" s="562">
        <v>53567</v>
      </c>
      <c r="L98" s="562">
        <v>16955</v>
      </c>
      <c r="M98" s="562">
        <v>7529</v>
      </c>
      <c r="N98" s="562">
        <v>1210</v>
      </c>
      <c r="O98" s="562">
        <v>0</v>
      </c>
      <c r="P98" s="562">
        <v>0</v>
      </c>
      <c r="Q98" s="565">
        <v>1018008</v>
      </c>
      <c r="R98" s="62"/>
    </row>
    <row r="99" spans="1:20" ht="15.75" x14ac:dyDescent="0.2">
      <c r="A99" s="197">
        <f t="shared" si="5"/>
        <v>42856</v>
      </c>
      <c r="B99" s="562">
        <v>28284</v>
      </c>
      <c r="C99" s="562">
        <v>8547</v>
      </c>
      <c r="D99" s="562">
        <v>54439</v>
      </c>
      <c r="E99" s="562">
        <v>3731</v>
      </c>
      <c r="F99" s="562">
        <v>142232</v>
      </c>
      <c r="G99" s="677">
        <v>350821</v>
      </c>
      <c r="H99" s="677"/>
      <c r="I99" s="562">
        <v>68</v>
      </c>
      <c r="J99" s="562">
        <v>375654</v>
      </c>
      <c r="K99" s="562">
        <v>61697</v>
      </c>
      <c r="L99" s="562">
        <v>18839</v>
      </c>
      <c r="M99" s="562">
        <v>8068</v>
      </c>
      <c r="N99" s="562">
        <v>1394</v>
      </c>
      <c r="O99" s="562">
        <v>0</v>
      </c>
      <c r="P99" s="562">
        <v>0</v>
      </c>
      <c r="Q99" s="565">
        <v>1053774</v>
      </c>
      <c r="R99" s="62"/>
    </row>
    <row r="100" spans="1:20" ht="16.5" thickBot="1" x14ac:dyDescent="0.25">
      <c r="A100" s="242">
        <f t="shared" si="5"/>
        <v>42887</v>
      </c>
      <c r="B100" s="243"/>
      <c r="C100" s="243"/>
      <c r="D100" s="243"/>
      <c r="E100" s="243"/>
      <c r="F100" s="243"/>
      <c r="G100" s="243"/>
      <c r="H100" s="243"/>
      <c r="I100" s="243"/>
      <c r="J100" s="243"/>
      <c r="K100" s="243"/>
      <c r="L100" s="243"/>
      <c r="M100" s="243"/>
      <c r="N100" s="243"/>
      <c r="O100" s="243"/>
      <c r="P100" s="243"/>
      <c r="Q100" s="244"/>
      <c r="R100" s="62"/>
      <c r="T100" s="247"/>
    </row>
    <row r="101" spans="1:20" ht="17.25" thickTop="1" thickBot="1" x14ac:dyDescent="0.3">
      <c r="A101" s="205" t="str">
        <f t="shared" si="5"/>
        <v>FY 2016-17 Year-to-Date Average</v>
      </c>
      <c r="B101" s="5">
        <v>20382</v>
      </c>
      <c r="C101" s="5">
        <v>7667</v>
      </c>
      <c r="D101" s="5">
        <v>51676</v>
      </c>
      <c r="E101" s="5">
        <v>2707</v>
      </c>
      <c r="F101" s="5">
        <v>124318</v>
      </c>
      <c r="G101" s="678">
        <v>347078</v>
      </c>
      <c r="H101" s="678"/>
      <c r="I101" s="5">
        <v>110</v>
      </c>
      <c r="J101" s="5">
        <v>379661</v>
      </c>
      <c r="K101" s="5">
        <v>53484</v>
      </c>
      <c r="L101" s="5">
        <v>17206</v>
      </c>
      <c r="M101" s="5">
        <v>8186</v>
      </c>
      <c r="N101" s="5">
        <v>1182</v>
      </c>
      <c r="O101" s="5">
        <v>4</v>
      </c>
      <c r="P101" s="5">
        <v>18</v>
      </c>
      <c r="Q101" s="206">
        <v>1013679</v>
      </c>
      <c r="R101" s="62"/>
      <c r="S101" s="5"/>
      <c r="T101" s="293"/>
    </row>
    <row r="102" spans="1:20" ht="13.5" hidden="1" thickBot="1" x14ac:dyDescent="0.25">
      <c r="A102" s="501"/>
      <c r="B102" s="295"/>
      <c r="C102" s="295"/>
      <c r="D102" s="295"/>
      <c r="E102" s="295"/>
      <c r="F102" s="295"/>
      <c r="G102" s="295"/>
      <c r="H102" s="295"/>
      <c r="I102" s="295"/>
      <c r="J102" s="295"/>
      <c r="K102" s="295"/>
      <c r="L102" s="295"/>
      <c r="M102" s="295"/>
      <c r="N102" s="295"/>
      <c r="O102" s="295"/>
      <c r="P102" s="295"/>
      <c r="Q102" s="502"/>
      <c r="R102" s="295"/>
    </row>
    <row r="103" spans="1:20" ht="13.5" hidden="1" thickBot="1" x14ac:dyDescent="0.25">
      <c r="A103" s="501"/>
      <c r="B103" s="295"/>
      <c r="C103" s="295"/>
      <c r="D103" s="295"/>
      <c r="E103" s="295"/>
      <c r="F103" s="295"/>
      <c r="G103" s="295"/>
      <c r="H103" s="295"/>
      <c r="I103" s="295"/>
      <c r="J103" s="295"/>
      <c r="K103" s="295"/>
      <c r="L103" s="295"/>
      <c r="M103" s="295"/>
      <c r="N103" s="295"/>
      <c r="O103" s="295"/>
      <c r="P103" s="295"/>
      <c r="Q103" s="502"/>
    </row>
    <row r="104" spans="1:20" ht="13.5" hidden="1" thickBot="1" x14ac:dyDescent="0.25">
      <c r="A104" s="501"/>
      <c r="B104" s="295"/>
      <c r="C104" s="295"/>
      <c r="D104" s="295"/>
      <c r="E104" s="295"/>
      <c r="F104" s="295"/>
      <c r="G104" s="295"/>
      <c r="H104" s="295"/>
      <c r="I104" s="295"/>
      <c r="J104" s="295"/>
      <c r="K104" s="295"/>
      <c r="L104" s="295"/>
      <c r="M104" s="295"/>
      <c r="N104" s="295"/>
      <c r="O104" s="295"/>
      <c r="P104" s="295"/>
      <c r="Q104" s="502"/>
    </row>
    <row r="105" spans="1:20" ht="13.5" hidden="1" thickBot="1" x14ac:dyDescent="0.25">
      <c r="A105" s="501"/>
      <c r="B105" s="295"/>
      <c r="C105" s="295"/>
      <c r="D105" s="295"/>
      <c r="E105" s="295"/>
      <c r="F105" s="295"/>
      <c r="G105" s="295"/>
      <c r="H105" s="295"/>
      <c r="I105" s="295"/>
      <c r="J105" s="295"/>
      <c r="K105" s="295"/>
      <c r="L105" s="295"/>
      <c r="M105" s="295"/>
      <c r="N105" s="295"/>
      <c r="O105" s="295"/>
      <c r="P105" s="295"/>
      <c r="Q105" s="502"/>
    </row>
    <row r="106" spans="1:20" ht="13.5" hidden="1" thickBot="1" x14ac:dyDescent="0.25">
      <c r="A106" s="501"/>
      <c r="B106" s="295"/>
      <c r="C106" s="295"/>
      <c r="D106" s="295"/>
      <c r="E106" s="295"/>
      <c r="F106" s="295"/>
      <c r="G106" s="295"/>
      <c r="H106" s="295"/>
      <c r="I106" s="295"/>
      <c r="J106" s="295"/>
      <c r="K106" s="295"/>
      <c r="L106" s="295"/>
      <c r="M106" s="295"/>
      <c r="N106" s="295"/>
      <c r="O106" s="295"/>
      <c r="P106" s="295"/>
      <c r="Q106" s="502"/>
    </row>
    <row r="107" spans="1:20" ht="13.5" hidden="1" thickBot="1" x14ac:dyDescent="0.25">
      <c r="A107" s="501"/>
      <c r="B107" s="295"/>
      <c r="C107" s="295"/>
      <c r="D107" s="295"/>
      <c r="E107" s="295"/>
      <c r="F107" s="295"/>
      <c r="G107" s="295"/>
      <c r="H107" s="295"/>
      <c r="I107" s="295"/>
      <c r="J107" s="295"/>
      <c r="K107" s="295"/>
      <c r="L107" s="295"/>
      <c r="M107" s="295"/>
      <c r="N107" s="295"/>
      <c r="O107" s="295"/>
      <c r="P107" s="295"/>
      <c r="Q107" s="502"/>
    </row>
    <row r="108" spans="1:20" ht="13.5" hidden="1" thickBot="1" x14ac:dyDescent="0.25">
      <c r="A108" s="501"/>
      <c r="B108" s="295"/>
      <c r="C108" s="295"/>
      <c r="D108" s="295"/>
      <c r="E108" s="295"/>
      <c r="F108" s="295"/>
      <c r="G108" s="295"/>
      <c r="H108" s="295"/>
      <c r="I108" s="295"/>
      <c r="J108" s="295"/>
      <c r="K108" s="295"/>
      <c r="L108" s="295"/>
      <c r="M108" s="295"/>
      <c r="N108" s="295"/>
      <c r="O108" s="295"/>
      <c r="P108" s="295"/>
      <c r="Q108" s="502"/>
    </row>
    <row r="109" spans="1:20" ht="13.5" hidden="1" thickBot="1" x14ac:dyDescent="0.25">
      <c r="A109" s="501"/>
      <c r="B109" s="295"/>
      <c r="C109" s="295"/>
      <c r="D109" s="295"/>
      <c r="E109" s="295"/>
      <c r="F109" s="295"/>
      <c r="G109" s="295"/>
      <c r="H109" s="295"/>
      <c r="I109" s="295"/>
      <c r="J109" s="295"/>
      <c r="K109" s="295"/>
      <c r="L109" s="295"/>
      <c r="M109" s="295"/>
      <c r="N109" s="295"/>
      <c r="O109" s="295"/>
      <c r="P109" s="295"/>
      <c r="Q109" s="502"/>
    </row>
    <row r="110" spans="1:20" ht="13.5" hidden="1" thickBot="1" x14ac:dyDescent="0.25">
      <c r="A110" s="501"/>
      <c r="B110" s="295"/>
      <c r="C110" s="295"/>
      <c r="D110" s="295"/>
      <c r="E110" s="295"/>
      <c r="F110" s="295"/>
      <c r="G110" s="295"/>
      <c r="H110" s="295"/>
      <c r="I110" s="295"/>
      <c r="J110" s="295"/>
      <c r="K110" s="295"/>
      <c r="L110" s="295"/>
      <c r="M110" s="295"/>
      <c r="N110" s="295"/>
      <c r="O110" s="295"/>
      <c r="P110" s="295"/>
      <c r="Q110" s="502"/>
    </row>
    <row r="111" spans="1:20" ht="13.5" hidden="1" thickBot="1" x14ac:dyDescent="0.25">
      <c r="A111" s="501"/>
      <c r="B111" s="295"/>
      <c r="C111" s="295"/>
      <c r="D111" s="295"/>
      <c r="E111" s="295"/>
      <c r="F111" s="295"/>
      <c r="G111" s="295"/>
      <c r="H111" s="295"/>
      <c r="I111" s="295"/>
      <c r="J111" s="295"/>
      <c r="K111" s="295"/>
      <c r="L111" s="295"/>
      <c r="M111" s="295"/>
      <c r="N111" s="295"/>
      <c r="O111" s="295"/>
      <c r="P111" s="295"/>
      <c r="Q111" s="502"/>
    </row>
    <row r="112" spans="1:20" ht="13.5" hidden="1" thickBot="1" x14ac:dyDescent="0.25">
      <c r="A112" s="501"/>
      <c r="B112" s="295"/>
      <c r="C112" s="295"/>
      <c r="D112" s="295"/>
      <c r="E112" s="295"/>
      <c r="F112" s="295"/>
      <c r="G112" s="295"/>
      <c r="H112" s="295"/>
      <c r="I112" s="295"/>
      <c r="J112" s="295"/>
      <c r="K112" s="295"/>
      <c r="L112" s="295"/>
      <c r="M112" s="295"/>
      <c r="N112" s="295"/>
      <c r="O112" s="295"/>
      <c r="P112" s="295"/>
      <c r="Q112" s="502"/>
    </row>
    <row r="113" spans="1:24" ht="13.5" hidden="1" thickBot="1" x14ac:dyDescent="0.25">
      <c r="A113" s="501"/>
      <c r="B113" s="295"/>
      <c r="C113" s="295"/>
      <c r="D113" s="295"/>
      <c r="E113" s="295"/>
      <c r="F113" s="295"/>
      <c r="G113" s="295"/>
      <c r="H113" s="295"/>
      <c r="I113" s="295"/>
      <c r="J113" s="295"/>
      <c r="K113" s="295"/>
      <c r="L113" s="295"/>
      <c r="M113" s="295"/>
      <c r="N113" s="295"/>
      <c r="O113" s="295"/>
      <c r="P113" s="295"/>
      <c r="Q113" s="502"/>
      <c r="X113" s="295"/>
    </row>
    <row r="114" spans="1:24" ht="13.5" hidden="1" thickBot="1" x14ac:dyDescent="0.25">
      <c r="A114" s="501"/>
      <c r="B114" s="295"/>
      <c r="C114" s="295"/>
      <c r="D114" s="295"/>
      <c r="E114" s="295"/>
      <c r="F114" s="295"/>
      <c r="G114" s="295"/>
      <c r="H114" s="295"/>
      <c r="I114" s="295"/>
      <c r="J114" s="295"/>
      <c r="K114" s="295"/>
      <c r="L114" s="295"/>
      <c r="M114" s="295"/>
      <c r="N114" s="295"/>
      <c r="O114" s="295"/>
      <c r="P114" s="295"/>
      <c r="Q114" s="502"/>
    </row>
    <row r="115" spans="1:24" ht="13.5" hidden="1" thickBot="1" x14ac:dyDescent="0.25">
      <c r="A115" s="501"/>
      <c r="B115" s="295"/>
      <c r="C115" s="295"/>
      <c r="D115" s="295"/>
      <c r="E115" s="295"/>
      <c r="F115" s="295"/>
      <c r="G115" s="295"/>
      <c r="H115" s="295"/>
      <c r="I115" s="295"/>
      <c r="J115" s="295"/>
      <c r="K115" s="295"/>
      <c r="L115" s="295"/>
      <c r="M115" s="295"/>
      <c r="N115" s="295"/>
      <c r="O115" s="295"/>
      <c r="P115" s="295"/>
      <c r="Q115" s="502"/>
    </row>
    <row r="116" spans="1:24" ht="15.75" x14ac:dyDescent="0.2">
      <c r="A116" s="686" t="s">
        <v>24</v>
      </c>
      <c r="B116" s="687"/>
      <c r="C116" s="687"/>
      <c r="D116" s="687"/>
      <c r="E116" s="687"/>
      <c r="F116" s="687"/>
      <c r="G116" s="687"/>
      <c r="H116" s="687"/>
      <c r="I116" s="687"/>
      <c r="J116" s="687"/>
      <c r="K116" s="687"/>
      <c r="L116" s="687"/>
      <c r="M116" s="687"/>
      <c r="N116" s="687"/>
      <c r="O116" s="687"/>
      <c r="P116" s="687"/>
      <c r="Q116" s="688"/>
      <c r="R116" s="62"/>
      <c r="S116" s="5"/>
      <c r="T116" s="293"/>
    </row>
    <row r="117" spans="1:24" ht="15.75" customHeight="1" x14ac:dyDescent="0.2">
      <c r="A117" s="689" t="s">
        <v>46</v>
      </c>
      <c r="B117" s="690"/>
      <c r="C117" s="690"/>
      <c r="D117" s="690"/>
      <c r="E117" s="690"/>
      <c r="F117" s="690"/>
      <c r="G117" s="690"/>
      <c r="H117" s="690"/>
      <c r="I117" s="690"/>
      <c r="J117" s="690"/>
      <c r="K117" s="690"/>
      <c r="L117" s="690"/>
      <c r="M117" s="690"/>
      <c r="N117" s="690"/>
      <c r="O117" s="690"/>
      <c r="P117" s="690"/>
      <c r="Q117" s="691"/>
      <c r="R117" s="62"/>
      <c r="S117" s="5"/>
      <c r="T117" s="293"/>
    </row>
    <row r="118" spans="1:24" ht="15.75" x14ac:dyDescent="0.2">
      <c r="A118" s="692" t="s">
        <v>344</v>
      </c>
      <c r="B118" s="693"/>
      <c r="C118" s="693"/>
      <c r="D118" s="693"/>
      <c r="E118" s="693"/>
      <c r="F118" s="693"/>
      <c r="G118" s="693"/>
      <c r="H118" s="693"/>
      <c r="I118" s="693"/>
      <c r="J118" s="693"/>
      <c r="K118" s="693"/>
      <c r="L118" s="693"/>
      <c r="M118" s="693"/>
      <c r="N118" s="693"/>
      <c r="O118" s="693"/>
      <c r="P118" s="693"/>
      <c r="Q118" s="694"/>
      <c r="R118" s="356"/>
      <c r="S118" s="5"/>
      <c r="T118" s="293"/>
    </row>
    <row r="119" spans="1:24" ht="15.75" x14ac:dyDescent="0.2">
      <c r="A119" s="695" t="s">
        <v>328</v>
      </c>
      <c r="B119" s="696"/>
      <c r="C119" s="696"/>
      <c r="D119" s="696"/>
      <c r="E119" s="696"/>
      <c r="F119" s="696"/>
      <c r="G119" s="696"/>
      <c r="H119" s="696"/>
      <c r="I119" s="696"/>
      <c r="J119" s="696"/>
      <c r="K119" s="696"/>
      <c r="L119" s="696"/>
      <c r="M119" s="696"/>
      <c r="N119" s="696"/>
      <c r="O119" s="696"/>
      <c r="P119" s="696"/>
      <c r="Q119" s="697"/>
      <c r="R119" s="62"/>
      <c r="S119" s="5"/>
      <c r="T119" s="293"/>
    </row>
    <row r="120" spans="1:24" ht="15.75" x14ac:dyDescent="0.2">
      <c r="A120" s="664" t="s">
        <v>343</v>
      </c>
      <c r="B120" s="665"/>
      <c r="C120" s="665"/>
      <c r="D120" s="665"/>
      <c r="E120" s="665"/>
      <c r="F120" s="665"/>
      <c r="G120" s="665"/>
      <c r="H120" s="665"/>
      <c r="I120" s="665"/>
      <c r="J120" s="665"/>
      <c r="K120" s="665"/>
      <c r="L120" s="665"/>
      <c r="M120" s="665"/>
      <c r="N120" s="665"/>
      <c r="O120" s="665"/>
      <c r="P120" s="665"/>
      <c r="Q120" s="666"/>
      <c r="R120" s="62"/>
      <c r="S120" s="5"/>
      <c r="T120" s="293"/>
    </row>
    <row r="121" spans="1:24" ht="15.75" x14ac:dyDescent="0.2">
      <c r="A121" s="689" t="s">
        <v>335</v>
      </c>
      <c r="B121" s="690"/>
      <c r="C121" s="690"/>
      <c r="D121" s="690"/>
      <c r="E121" s="690"/>
      <c r="F121" s="690"/>
      <c r="G121" s="690"/>
      <c r="H121" s="690"/>
      <c r="I121" s="690"/>
      <c r="J121" s="690"/>
      <c r="K121" s="690"/>
      <c r="L121" s="690"/>
      <c r="M121" s="690"/>
      <c r="N121" s="690"/>
      <c r="O121" s="690"/>
      <c r="P121" s="690"/>
      <c r="Q121" s="691"/>
      <c r="R121" s="62"/>
      <c r="S121" s="5"/>
      <c r="T121" s="293"/>
    </row>
    <row r="122" spans="1:24" ht="30" customHeight="1" thickBot="1" x14ac:dyDescent="0.25">
      <c r="A122" s="670" t="s">
        <v>351</v>
      </c>
      <c r="B122" s="671"/>
      <c r="C122" s="671"/>
      <c r="D122" s="671"/>
      <c r="E122" s="671"/>
      <c r="F122" s="671"/>
      <c r="G122" s="671"/>
      <c r="H122" s="671"/>
      <c r="I122" s="671"/>
      <c r="J122" s="671"/>
      <c r="K122" s="671"/>
      <c r="L122" s="671"/>
      <c r="M122" s="671"/>
      <c r="N122" s="671"/>
      <c r="O122" s="671"/>
      <c r="P122" s="671"/>
      <c r="Q122" s="672"/>
      <c r="R122" s="567"/>
    </row>
    <row r="136" spans="1:18" x14ac:dyDescent="0.2">
      <c r="A136" s="684"/>
      <c r="B136" s="684"/>
      <c r="C136" s="684"/>
      <c r="D136" s="684"/>
      <c r="E136" s="684"/>
      <c r="F136" s="684"/>
      <c r="G136" s="684"/>
      <c r="H136" s="684"/>
      <c r="I136" s="684"/>
      <c r="J136" s="684"/>
      <c r="K136" s="684"/>
      <c r="L136" s="684"/>
      <c r="M136" s="684"/>
      <c r="N136" s="684"/>
      <c r="O136" s="684"/>
      <c r="P136" s="684"/>
      <c r="Q136" s="684"/>
      <c r="R136" s="296"/>
    </row>
    <row r="137" spans="1:18" x14ac:dyDescent="0.2">
      <c r="A137" s="662"/>
      <c r="B137" s="662"/>
      <c r="C137" s="662"/>
      <c r="D137" s="662"/>
      <c r="E137" s="662"/>
      <c r="F137" s="662"/>
      <c r="G137" s="662"/>
      <c r="H137" s="662"/>
      <c r="I137" s="662"/>
      <c r="J137" s="662"/>
      <c r="K137" s="662"/>
      <c r="L137" s="662"/>
      <c r="M137" s="662"/>
      <c r="N137" s="662"/>
      <c r="O137" s="662"/>
      <c r="P137" s="662"/>
      <c r="Q137" s="662"/>
      <c r="R137" s="291"/>
    </row>
    <row r="138" spans="1:18" x14ac:dyDescent="0.2">
      <c r="A138" s="685"/>
      <c r="B138" s="685"/>
      <c r="C138" s="685"/>
      <c r="D138" s="685"/>
      <c r="E138" s="685"/>
      <c r="F138" s="685"/>
      <c r="G138" s="685"/>
      <c r="H138" s="685"/>
      <c r="I138" s="685"/>
      <c r="J138" s="685"/>
      <c r="K138" s="685"/>
      <c r="L138" s="685"/>
      <c r="M138" s="685"/>
      <c r="N138" s="685"/>
      <c r="O138" s="685"/>
      <c r="P138" s="685"/>
      <c r="Q138" s="685"/>
      <c r="R138" s="292"/>
    </row>
    <row r="139" spans="1:18" x14ac:dyDescent="0.2">
      <c r="A139" s="685"/>
      <c r="B139" s="685"/>
      <c r="C139" s="685"/>
      <c r="D139" s="685"/>
      <c r="E139" s="685"/>
      <c r="F139" s="685"/>
      <c r="G139" s="685"/>
      <c r="H139" s="685"/>
      <c r="I139" s="685"/>
      <c r="J139" s="685"/>
      <c r="K139" s="685"/>
      <c r="L139" s="685"/>
      <c r="M139" s="685"/>
      <c r="N139" s="685"/>
      <c r="O139" s="685"/>
      <c r="P139" s="685"/>
      <c r="Q139" s="685"/>
      <c r="R139" s="292"/>
    </row>
  </sheetData>
  <mergeCells count="40">
    <mergeCell ref="G101:H101"/>
    <mergeCell ref="G98:H98"/>
    <mergeCell ref="G99:H99"/>
    <mergeCell ref="G16:H16"/>
    <mergeCell ref="G30:H30"/>
    <mergeCell ref="G44:H44"/>
    <mergeCell ref="G58:H58"/>
    <mergeCell ref="G72:H72"/>
    <mergeCell ref="G86:H86"/>
    <mergeCell ref="G70:H70"/>
    <mergeCell ref="G82:H82"/>
    <mergeCell ref="G83:H83"/>
    <mergeCell ref="G84:H84"/>
    <mergeCell ref="G97:H97"/>
    <mergeCell ref="G54:H54"/>
    <mergeCell ref="G55:H55"/>
    <mergeCell ref="G56:H56"/>
    <mergeCell ref="G68:H68"/>
    <mergeCell ref="G69:H69"/>
    <mergeCell ref="G27:H27"/>
    <mergeCell ref="G28:H28"/>
    <mergeCell ref="G40:H40"/>
    <mergeCell ref="G41:H41"/>
    <mergeCell ref="G42:H42"/>
    <mergeCell ref="A1:Q1"/>
    <mergeCell ref="A136:Q136"/>
    <mergeCell ref="A137:Q137"/>
    <mergeCell ref="A138:Q138"/>
    <mergeCell ref="A139:Q139"/>
    <mergeCell ref="A116:Q116"/>
    <mergeCell ref="A117:Q117"/>
    <mergeCell ref="A118:Q118"/>
    <mergeCell ref="A119:Q119"/>
    <mergeCell ref="A122:Q122"/>
    <mergeCell ref="A120:Q120"/>
    <mergeCell ref="A121:Q121"/>
    <mergeCell ref="G12:H12"/>
    <mergeCell ref="G13:H13"/>
    <mergeCell ref="G14:H14"/>
    <mergeCell ref="G26:H26"/>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view="pageBreakPreview" zoomScaleNormal="100" zoomScaleSheetLayoutView="100" workbookViewId="0">
      <selection activeCell="K25" sqref="K25"/>
    </sheetView>
  </sheetViews>
  <sheetFormatPr defaultRowHeight="12.75" x14ac:dyDescent="0.2"/>
  <cols>
    <col min="2" max="2" width="9.28515625" bestFit="1" customWidth="1"/>
    <col min="3" max="3" width="11.7109375" bestFit="1" customWidth="1"/>
    <col min="4" max="15" width="10.7109375" customWidth="1"/>
    <col min="16" max="16" width="13.42578125" customWidth="1"/>
  </cols>
  <sheetData>
    <row r="1" spans="2:19" ht="13.5" thickBot="1" x14ac:dyDescent="0.25"/>
    <row r="2" spans="2:19" ht="16.5" thickBot="1" x14ac:dyDescent="0.3">
      <c r="B2" s="702" t="s">
        <v>180</v>
      </c>
      <c r="C2" s="703"/>
      <c r="D2" s="703"/>
      <c r="E2" s="703"/>
      <c r="F2" s="703"/>
      <c r="G2" s="703"/>
      <c r="H2" s="703"/>
      <c r="I2" s="703"/>
      <c r="J2" s="703"/>
      <c r="K2" s="703"/>
      <c r="L2" s="703"/>
      <c r="M2" s="703"/>
      <c r="N2" s="703"/>
      <c r="O2" s="703"/>
      <c r="P2" s="704"/>
    </row>
    <row r="3" spans="2:19" ht="63.75" thickBot="1" x14ac:dyDescent="0.25">
      <c r="B3" s="87" t="s">
        <v>245</v>
      </c>
      <c r="C3" s="87" t="s">
        <v>246</v>
      </c>
      <c r="D3" s="549">
        <v>42552</v>
      </c>
      <c r="E3" s="549">
        <v>42583</v>
      </c>
      <c r="F3" s="549">
        <v>42614</v>
      </c>
      <c r="G3" s="549">
        <v>42644</v>
      </c>
      <c r="H3" s="549">
        <v>42675</v>
      </c>
      <c r="I3" s="549">
        <v>42705</v>
      </c>
      <c r="J3" s="549">
        <v>42736</v>
      </c>
      <c r="K3" s="549">
        <v>42767</v>
      </c>
      <c r="L3" s="549">
        <v>42795</v>
      </c>
      <c r="M3" s="549">
        <v>42826</v>
      </c>
      <c r="N3" s="549">
        <v>42856</v>
      </c>
      <c r="O3" s="550">
        <v>42887</v>
      </c>
      <c r="P3" s="465" t="s">
        <v>314</v>
      </c>
    </row>
    <row r="4" spans="2:19" ht="15.75" x14ac:dyDescent="0.25">
      <c r="B4" s="705" t="s">
        <v>265</v>
      </c>
      <c r="C4" s="297" t="s">
        <v>184</v>
      </c>
      <c r="D4" s="300">
        <v>2928</v>
      </c>
      <c r="E4" s="300">
        <v>2975</v>
      </c>
      <c r="F4" s="300">
        <v>3011</v>
      </c>
      <c r="G4" s="300">
        <v>2959</v>
      </c>
      <c r="H4" s="300">
        <v>3006</v>
      </c>
      <c r="I4" s="300">
        <v>3011</v>
      </c>
      <c r="J4" s="300">
        <v>2987</v>
      </c>
      <c r="K4" s="300">
        <v>3012</v>
      </c>
      <c r="L4" s="300">
        <v>3071</v>
      </c>
      <c r="M4" s="300">
        <v>3082</v>
      </c>
      <c r="N4" s="300">
        <v>3186</v>
      </c>
      <c r="O4" s="301"/>
      <c r="P4" s="302">
        <f>ROUND(AVERAGE(D4:O4),0)</f>
        <v>3021</v>
      </c>
      <c r="R4" s="314"/>
    </row>
    <row r="5" spans="2:19" ht="15.75" x14ac:dyDescent="0.25">
      <c r="B5" s="706"/>
      <c r="C5" s="298" t="s">
        <v>196</v>
      </c>
      <c r="D5" s="33">
        <v>8105</v>
      </c>
      <c r="E5" s="33">
        <v>8136</v>
      </c>
      <c r="F5" s="33">
        <v>8165</v>
      </c>
      <c r="G5" s="33">
        <v>8142</v>
      </c>
      <c r="H5" s="33">
        <v>8258</v>
      </c>
      <c r="I5" s="33">
        <v>8289</v>
      </c>
      <c r="J5" s="33">
        <v>8193</v>
      </c>
      <c r="K5" s="33">
        <v>8223</v>
      </c>
      <c r="L5" s="33">
        <v>8317</v>
      </c>
      <c r="M5" s="33">
        <v>8241</v>
      </c>
      <c r="N5" s="33">
        <v>8574</v>
      </c>
      <c r="O5" s="303"/>
      <c r="P5" s="304">
        <f t="shared" ref="P5:P10" si="0">ROUND(AVERAGE(D5:O5),0)</f>
        <v>8240</v>
      </c>
      <c r="Q5" s="293"/>
      <c r="R5" s="314"/>
    </row>
    <row r="6" spans="2:19" ht="15.75" x14ac:dyDescent="0.25">
      <c r="B6" s="706"/>
      <c r="C6" s="298" t="s">
        <v>198</v>
      </c>
      <c r="D6" s="33">
        <v>449</v>
      </c>
      <c r="E6" s="33">
        <v>468</v>
      </c>
      <c r="F6" s="33">
        <v>480</v>
      </c>
      <c r="G6" s="33">
        <v>482</v>
      </c>
      <c r="H6" s="33">
        <v>489</v>
      </c>
      <c r="I6" s="33">
        <v>485</v>
      </c>
      <c r="J6" s="33">
        <v>475</v>
      </c>
      <c r="K6" s="33">
        <v>479</v>
      </c>
      <c r="L6" s="33">
        <v>489</v>
      </c>
      <c r="M6" s="33">
        <v>496</v>
      </c>
      <c r="N6" s="33">
        <v>538</v>
      </c>
      <c r="O6" s="303"/>
      <c r="P6" s="304">
        <f t="shared" si="0"/>
        <v>485</v>
      </c>
      <c r="Q6" s="293"/>
      <c r="R6" s="314"/>
      <c r="S6" s="293"/>
    </row>
    <row r="7" spans="2:19" ht="15.75" x14ac:dyDescent="0.25">
      <c r="B7" s="706"/>
      <c r="C7" s="298" t="s">
        <v>200</v>
      </c>
      <c r="D7" s="33">
        <v>5751</v>
      </c>
      <c r="E7" s="33">
        <v>5800</v>
      </c>
      <c r="F7" s="33">
        <v>5792</v>
      </c>
      <c r="G7" s="33">
        <v>5650</v>
      </c>
      <c r="H7" s="33">
        <v>5617</v>
      </c>
      <c r="I7" s="33">
        <v>5562</v>
      </c>
      <c r="J7" s="33">
        <v>5527</v>
      </c>
      <c r="K7" s="33">
        <v>5514</v>
      </c>
      <c r="L7" s="33">
        <v>5598</v>
      </c>
      <c r="M7" s="33">
        <v>5502</v>
      </c>
      <c r="N7" s="33">
        <v>5701</v>
      </c>
      <c r="O7" s="303"/>
      <c r="P7" s="304">
        <f t="shared" si="0"/>
        <v>5638</v>
      </c>
      <c r="R7" s="314"/>
      <c r="S7" s="293"/>
    </row>
    <row r="8" spans="2:19" ht="15.75" x14ac:dyDescent="0.25">
      <c r="B8" s="706"/>
      <c r="C8" s="298" t="s">
        <v>204</v>
      </c>
      <c r="D8" s="33">
        <v>11810</v>
      </c>
      <c r="E8" s="33">
        <v>11596</v>
      </c>
      <c r="F8" s="33">
        <v>11564</v>
      </c>
      <c r="G8" s="33">
        <v>11393</v>
      </c>
      <c r="H8" s="33">
        <v>11448</v>
      </c>
      <c r="I8" s="33">
        <v>11442</v>
      </c>
      <c r="J8" s="33">
        <v>11293</v>
      </c>
      <c r="K8" s="33">
        <v>11295</v>
      </c>
      <c r="L8" s="33">
        <v>11318</v>
      </c>
      <c r="M8" s="33">
        <v>11307</v>
      </c>
      <c r="N8" s="33">
        <v>11574</v>
      </c>
      <c r="O8" s="303"/>
      <c r="P8" s="304">
        <f t="shared" si="0"/>
        <v>11458</v>
      </c>
      <c r="Q8" s="293"/>
      <c r="R8" s="314"/>
      <c r="S8" s="293"/>
    </row>
    <row r="9" spans="2:19" ht="15.75" x14ac:dyDescent="0.25">
      <c r="B9" s="706"/>
      <c r="C9" s="298" t="s">
        <v>206</v>
      </c>
      <c r="D9" s="33">
        <v>1630</v>
      </c>
      <c r="E9" s="33">
        <v>1636</v>
      </c>
      <c r="F9" s="33">
        <v>1604</v>
      </c>
      <c r="G9" s="33">
        <v>1574</v>
      </c>
      <c r="H9" s="33">
        <v>1547</v>
      </c>
      <c r="I9" s="33">
        <v>1551</v>
      </c>
      <c r="J9" s="33">
        <v>1482</v>
      </c>
      <c r="K9" s="33">
        <v>1510</v>
      </c>
      <c r="L9" s="33">
        <v>1517</v>
      </c>
      <c r="M9" s="33">
        <v>1545</v>
      </c>
      <c r="N9" s="33">
        <v>1610</v>
      </c>
      <c r="O9" s="303"/>
      <c r="P9" s="304">
        <f t="shared" si="0"/>
        <v>1564</v>
      </c>
      <c r="R9" s="314"/>
      <c r="S9" s="293"/>
    </row>
    <row r="10" spans="2:19" ht="15.75" x14ac:dyDescent="0.25">
      <c r="B10" s="706"/>
      <c r="C10" s="298" t="s">
        <v>207</v>
      </c>
      <c r="D10" s="33">
        <v>2960</v>
      </c>
      <c r="E10" s="33">
        <v>2897</v>
      </c>
      <c r="F10" s="33">
        <v>2905</v>
      </c>
      <c r="G10" s="33">
        <v>2881</v>
      </c>
      <c r="H10" s="33">
        <v>2941</v>
      </c>
      <c r="I10" s="33">
        <v>2948</v>
      </c>
      <c r="J10" s="33">
        <v>2893</v>
      </c>
      <c r="K10" s="33">
        <v>2919</v>
      </c>
      <c r="L10" s="33">
        <v>2934</v>
      </c>
      <c r="M10" s="33">
        <v>2917</v>
      </c>
      <c r="N10" s="33">
        <v>3013</v>
      </c>
      <c r="O10" s="303"/>
      <c r="P10" s="304">
        <f t="shared" si="0"/>
        <v>2928</v>
      </c>
      <c r="R10" s="314"/>
      <c r="S10" s="293"/>
    </row>
    <row r="11" spans="2:19" ht="15.75" x14ac:dyDescent="0.25">
      <c r="B11" s="706"/>
      <c r="C11" s="298" t="s">
        <v>208</v>
      </c>
      <c r="D11" s="33">
        <v>128</v>
      </c>
      <c r="E11" s="33">
        <v>129</v>
      </c>
      <c r="F11" s="33">
        <v>134</v>
      </c>
      <c r="G11" s="33">
        <v>132</v>
      </c>
      <c r="H11" s="33">
        <v>132</v>
      </c>
      <c r="I11" s="33">
        <v>136</v>
      </c>
      <c r="J11" s="33">
        <v>137</v>
      </c>
      <c r="K11" s="33">
        <v>138</v>
      </c>
      <c r="L11" s="33">
        <v>140</v>
      </c>
      <c r="M11" s="33">
        <v>143</v>
      </c>
      <c r="N11" s="33">
        <v>151</v>
      </c>
      <c r="O11" s="303"/>
      <c r="P11" s="304">
        <f t="shared" ref="P11:P67" si="1">ROUND(AVERAGE(D11:O11),0)</f>
        <v>136</v>
      </c>
      <c r="R11" s="314"/>
      <c r="S11" s="293"/>
    </row>
    <row r="12" spans="2:19" ht="15.75" x14ac:dyDescent="0.25">
      <c r="B12" s="706"/>
      <c r="C12" s="298" t="s">
        <v>210</v>
      </c>
      <c r="D12" s="33">
        <v>248</v>
      </c>
      <c r="E12" s="33">
        <v>243</v>
      </c>
      <c r="F12" s="33">
        <v>248</v>
      </c>
      <c r="G12" s="33">
        <v>257</v>
      </c>
      <c r="H12" s="33">
        <v>250</v>
      </c>
      <c r="I12" s="33">
        <v>247</v>
      </c>
      <c r="J12" s="33">
        <v>239</v>
      </c>
      <c r="K12" s="33">
        <v>234</v>
      </c>
      <c r="L12" s="33">
        <v>245</v>
      </c>
      <c r="M12" s="33">
        <v>242</v>
      </c>
      <c r="N12" s="33">
        <v>249</v>
      </c>
      <c r="O12" s="303"/>
      <c r="P12" s="304">
        <f t="shared" si="1"/>
        <v>246</v>
      </c>
      <c r="R12" s="314"/>
      <c r="S12" s="293"/>
    </row>
    <row r="13" spans="2:19" ht="15.75" x14ac:dyDescent="0.25">
      <c r="B13" s="706"/>
      <c r="C13" s="298" t="s">
        <v>214</v>
      </c>
      <c r="D13" s="33">
        <v>9370</v>
      </c>
      <c r="E13" s="33">
        <v>9424</v>
      </c>
      <c r="F13" s="33">
        <v>9510</v>
      </c>
      <c r="G13" s="33">
        <v>9484</v>
      </c>
      <c r="H13" s="33">
        <v>9602</v>
      </c>
      <c r="I13" s="33">
        <v>9516</v>
      </c>
      <c r="J13" s="33">
        <v>9503</v>
      </c>
      <c r="K13" s="33">
        <v>9614</v>
      </c>
      <c r="L13" s="33">
        <v>9739</v>
      </c>
      <c r="M13" s="33">
        <v>9719</v>
      </c>
      <c r="N13" s="33">
        <v>10193</v>
      </c>
      <c r="O13" s="303"/>
      <c r="P13" s="304">
        <f>ROUND(AVERAGE(D13:O13),0)</f>
        <v>9607</v>
      </c>
      <c r="R13" s="314"/>
      <c r="S13" s="293"/>
    </row>
    <row r="14" spans="2:19" ht="15.75" x14ac:dyDescent="0.25">
      <c r="B14" s="706"/>
      <c r="C14" s="298" t="s">
        <v>216</v>
      </c>
      <c r="D14" s="33">
        <v>51862</v>
      </c>
      <c r="E14" s="33">
        <v>52035</v>
      </c>
      <c r="F14" s="33">
        <v>52538</v>
      </c>
      <c r="G14" s="33">
        <v>52334</v>
      </c>
      <c r="H14" s="33">
        <v>52973</v>
      </c>
      <c r="I14" s="33">
        <v>52985</v>
      </c>
      <c r="J14" s="33">
        <v>52512</v>
      </c>
      <c r="K14" s="33">
        <v>53083</v>
      </c>
      <c r="L14" s="33">
        <v>53665</v>
      </c>
      <c r="M14" s="33">
        <v>53741</v>
      </c>
      <c r="N14" s="33">
        <v>56565</v>
      </c>
      <c r="O14" s="303"/>
      <c r="P14" s="304">
        <f>ROUND(AVERAGE(D14:O14),0)</f>
        <v>53118</v>
      </c>
      <c r="Q14" s="318"/>
      <c r="R14" s="314"/>
      <c r="S14" s="293"/>
    </row>
    <row r="15" spans="2:19" ht="15.75" x14ac:dyDescent="0.25">
      <c r="B15" s="706"/>
      <c r="C15" s="298" t="s">
        <v>220</v>
      </c>
      <c r="D15" s="33">
        <v>38639</v>
      </c>
      <c r="E15" s="33">
        <v>38308</v>
      </c>
      <c r="F15" s="33">
        <v>38427</v>
      </c>
      <c r="G15" s="33">
        <v>38546</v>
      </c>
      <c r="H15" s="33">
        <v>38913</v>
      </c>
      <c r="I15" s="33">
        <v>38973</v>
      </c>
      <c r="J15" s="33">
        <v>38698</v>
      </c>
      <c r="K15" s="33">
        <v>38995</v>
      </c>
      <c r="L15" s="33">
        <v>39124</v>
      </c>
      <c r="M15" s="33">
        <v>38929</v>
      </c>
      <c r="N15" s="33">
        <v>39671</v>
      </c>
      <c r="O15" s="303"/>
      <c r="P15" s="304">
        <f>ROUNDUP(AVERAGE(D15:O15),0)</f>
        <v>38839</v>
      </c>
      <c r="Q15" s="318"/>
      <c r="R15" s="314"/>
      <c r="S15" s="293"/>
    </row>
    <row r="16" spans="2:19" ht="15.75" x14ac:dyDescent="0.25">
      <c r="B16" s="706"/>
      <c r="C16" s="298" t="s">
        <v>222</v>
      </c>
      <c r="D16" s="33">
        <v>3076</v>
      </c>
      <c r="E16" s="33">
        <v>3073</v>
      </c>
      <c r="F16" s="33">
        <v>3067</v>
      </c>
      <c r="G16" s="33">
        <v>3052</v>
      </c>
      <c r="H16" s="33">
        <v>3045</v>
      </c>
      <c r="I16" s="33">
        <v>3059</v>
      </c>
      <c r="J16" s="33">
        <v>3032</v>
      </c>
      <c r="K16" s="33">
        <v>3038</v>
      </c>
      <c r="L16" s="33">
        <v>3032</v>
      </c>
      <c r="M16" s="33">
        <v>3046</v>
      </c>
      <c r="N16" s="33">
        <v>3178</v>
      </c>
      <c r="O16" s="303"/>
      <c r="P16" s="304">
        <f t="shared" si="1"/>
        <v>3063</v>
      </c>
      <c r="R16" s="314"/>
      <c r="S16" s="293"/>
    </row>
    <row r="17" spans="2:19" ht="15.75" x14ac:dyDescent="0.25">
      <c r="B17" s="706"/>
      <c r="C17" s="298" t="s">
        <v>223</v>
      </c>
      <c r="D17" s="33">
        <v>7800</v>
      </c>
      <c r="E17" s="33">
        <v>7877</v>
      </c>
      <c r="F17" s="33">
        <v>7906</v>
      </c>
      <c r="G17" s="33">
        <v>7883</v>
      </c>
      <c r="H17" s="33">
        <v>7895</v>
      </c>
      <c r="I17" s="33">
        <v>7945</v>
      </c>
      <c r="J17" s="33">
        <v>7981</v>
      </c>
      <c r="K17" s="33">
        <v>8100</v>
      </c>
      <c r="L17" s="33">
        <v>8152</v>
      </c>
      <c r="M17" s="33">
        <v>8218</v>
      </c>
      <c r="N17" s="33">
        <v>8476</v>
      </c>
      <c r="O17" s="303"/>
      <c r="P17" s="304">
        <f>ROUND(AVERAGE(D17:O17),0)</f>
        <v>8021</v>
      </c>
      <c r="R17" s="314"/>
      <c r="S17" s="293"/>
    </row>
    <row r="18" spans="2:19" ht="15.75" x14ac:dyDescent="0.25">
      <c r="B18" s="706"/>
      <c r="C18" s="298" t="s">
        <v>224</v>
      </c>
      <c r="D18" s="33">
        <v>10728</v>
      </c>
      <c r="E18" s="33">
        <v>10562</v>
      </c>
      <c r="F18" s="33">
        <v>10539</v>
      </c>
      <c r="G18" s="33">
        <v>10400</v>
      </c>
      <c r="H18" s="33">
        <v>10548</v>
      </c>
      <c r="I18" s="33">
        <v>10614</v>
      </c>
      <c r="J18" s="33">
        <v>10537</v>
      </c>
      <c r="K18" s="33">
        <v>10562</v>
      </c>
      <c r="L18" s="33">
        <v>10696</v>
      </c>
      <c r="M18" s="33">
        <v>10560</v>
      </c>
      <c r="N18" s="33">
        <v>10711</v>
      </c>
      <c r="O18" s="303"/>
      <c r="P18" s="304">
        <f>ROUND(AVERAGE(D18:O18),0)</f>
        <v>10587</v>
      </c>
      <c r="Q18" s="293"/>
      <c r="R18" s="314"/>
      <c r="S18" s="293"/>
    </row>
    <row r="19" spans="2:19" ht="15.75" x14ac:dyDescent="0.25">
      <c r="B19" s="706"/>
      <c r="C19" s="298" t="s">
        <v>227</v>
      </c>
      <c r="D19" s="33">
        <v>659</v>
      </c>
      <c r="E19" s="33">
        <v>661</v>
      </c>
      <c r="F19" s="33">
        <v>649</v>
      </c>
      <c r="G19" s="33">
        <v>642</v>
      </c>
      <c r="H19" s="33">
        <v>628</v>
      </c>
      <c r="I19" s="33">
        <v>629</v>
      </c>
      <c r="J19" s="33">
        <v>612</v>
      </c>
      <c r="K19" s="33">
        <v>619</v>
      </c>
      <c r="L19" s="33">
        <v>630</v>
      </c>
      <c r="M19" s="33">
        <v>629</v>
      </c>
      <c r="N19" s="33">
        <v>650</v>
      </c>
      <c r="O19" s="303"/>
      <c r="P19" s="304">
        <f t="shared" si="1"/>
        <v>637</v>
      </c>
      <c r="Q19" s="293"/>
      <c r="R19" s="314"/>
      <c r="S19" s="293"/>
    </row>
    <row r="20" spans="2:19" ht="15.75" x14ac:dyDescent="0.25">
      <c r="B20" s="706"/>
      <c r="C20" s="298" t="s">
        <v>230</v>
      </c>
      <c r="D20" s="33">
        <v>1320</v>
      </c>
      <c r="E20" s="33">
        <v>1285</v>
      </c>
      <c r="F20" s="33">
        <v>1287</v>
      </c>
      <c r="G20" s="33">
        <v>1284</v>
      </c>
      <c r="H20" s="33">
        <v>1303</v>
      </c>
      <c r="I20" s="33">
        <v>1249</v>
      </c>
      <c r="J20" s="33">
        <v>1190</v>
      </c>
      <c r="K20" s="33">
        <v>1205</v>
      </c>
      <c r="L20" s="33">
        <v>1270</v>
      </c>
      <c r="M20" s="33">
        <v>1247</v>
      </c>
      <c r="N20" s="33">
        <v>1324</v>
      </c>
      <c r="O20" s="303"/>
      <c r="P20" s="304">
        <f>ROUND(AVERAGE(D20:O20),0)</f>
        <v>1269</v>
      </c>
      <c r="R20" s="314"/>
      <c r="S20" s="293"/>
    </row>
    <row r="21" spans="2:19" ht="15.75" x14ac:dyDescent="0.25">
      <c r="B21" s="706"/>
      <c r="C21" s="298" t="s">
        <v>233</v>
      </c>
      <c r="D21" s="33">
        <v>1003</v>
      </c>
      <c r="E21" s="33">
        <v>1000</v>
      </c>
      <c r="F21" s="33">
        <v>1001</v>
      </c>
      <c r="G21" s="33">
        <v>1003</v>
      </c>
      <c r="H21" s="33">
        <v>1027</v>
      </c>
      <c r="I21" s="33">
        <v>1027</v>
      </c>
      <c r="J21" s="33">
        <v>1004</v>
      </c>
      <c r="K21" s="33">
        <v>1015</v>
      </c>
      <c r="L21" s="33">
        <v>1018</v>
      </c>
      <c r="M21" s="33">
        <v>996</v>
      </c>
      <c r="N21" s="33">
        <v>1027</v>
      </c>
      <c r="O21" s="303"/>
      <c r="P21" s="304">
        <f t="shared" si="1"/>
        <v>1011</v>
      </c>
      <c r="R21" s="314"/>
      <c r="S21" s="293"/>
    </row>
    <row r="22" spans="2:19" ht="15.75" x14ac:dyDescent="0.25">
      <c r="B22" s="706"/>
      <c r="C22" s="298" t="s">
        <v>235</v>
      </c>
      <c r="D22" s="33">
        <v>3093</v>
      </c>
      <c r="E22" s="33">
        <v>3071</v>
      </c>
      <c r="F22" s="33">
        <v>3096</v>
      </c>
      <c r="G22" s="33">
        <v>3111</v>
      </c>
      <c r="H22" s="33">
        <v>3149</v>
      </c>
      <c r="I22" s="33">
        <v>3175</v>
      </c>
      <c r="J22" s="33">
        <v>3122</v>
      </c>
      <c r="K22" s="33">
        <v>3147</v>
      </c>
      <c r="L22" s="33">
        <v>3214</v>
      </c>
      <c r="M22" s="33">
        <v>3186</v>
      </c>
      <c r="N22" s="33">
        <v>3351</v>
      </c>
      <c r="O22" s="303"/>
      <c r="P22" s="304">
        <f t="shared" si="1"/>
        <v>3156</v>
      </c>
      <c r="R22" s="314"/>
      <c r="S22" s="293"/>
    </row>
    <row r="23" spans="2:19" ht="15.75" x14ac:dyDescent="0.25">
      <c r="B23" s="706"/>
      <c r="C23" s="298" t="s">
        <v>237</v>
      </c>
      <c r="D23" s="33">
        <v>149</v>
      </c>
      <c r="E23" s="33">
        <v>150</v>
      </c>
      <c r="F23" s="33">
        <v>146</v>
      </c>
      <c r="G23" s="33">
        <v>149</v>
      </c>
      <c r="H23" s="33">
        <v>147</v>
      </c>
      <c r="I23" s="33">
        <v>147</v>
      </c>
      <c r="J23" s="33">
        <v>142</v>
      </c>
      <c r="K23" s="33">
        <v>148</v>
      </c>
      <c r="L23" s="33">
        <v>147</v>
      </c>
      <c r="M23" s="33">
        <v>145</v>
      </c>
      <c r="N23" s="33">
        <v>151</v>
      </c>
      <c r="O23" s="303"/>
      <c r="P23" s="304">
        <f t="shared" si="1"/>
        <v>147</v>
      </c>
      <c r="R23" s="314"/>
      <c r="S23" s="293"/>
    </row>
    <row r="24" spans="2:19" ht="15.75" x14ac:dyDescent="0.25">
      <c r="B24" s="706"/>
      <c r="C24" s="298" t="s">
        <v>238</v>
      </c>
      <c r="D24" s="33">
        <v>922</v>
      </c>
      <c r="E24" s="33">
        <v>944</v>
      </c>
      <c r="F24" s="33">
        <v>963</v>
      </c>
      <c r="G24" s="33">
        <v>961</v>
      </c>
      <c r="H24" s="33">
        <v>943</v>
      </c>
      <c r="I24" s="33">
        <v>934</v>
      </c>
      <c r="J24" s="33">
        <v>942</v>
      </c>
      <c r="K24" s="33">
        <v>963</v>
      </c>
      <c r="L24" s="33">
        <v>992</v>
      </c>
      <c r="M24" s="33">
        <v>988</v>
      </c>
      <c r="N24" s="33">
        <v>999</v>
      </c>
      <c r="O24" s="303"/>
      <c r="P24" s="304">
        <f t="shared" si="1"/>
        <v>959</v>
      </c>
      <c r="R24" s="314"/>
      <c r="S24" s="293"/>
    </row>
    <row r="25" spans="2:19" ht="15.75" x14ac:dyDescent="0.25">
      <c r="B25" s="706"/>
      <c r="C25" s="298" t="s">
        <v>240</v>
      </c>
      <c r="D25" s="33">
        <v>3463</v>
      </c>
      <c r="E25" s="33">
        <v>3472</v>
      </c>
      <c r="F25" s="33">
        <v>3473</v>
      </c>
      <c r="G25" s="33">
        <v>3459</v>
      </c>
      <c r="H25" s="33">
        <v>3414</v>
      </c>
      <c r="I25" s="33">
        <v>3374</v>
      </c>
      <c r="J25" s="33">
        <v>3303</v>
      </c>
      <c r="K25" s="33">
        <v>3242</v>
      </c>
      <c r="L25" s="33">
        <v>3212</v>
      </c>
      <c r="M25" s="33">
        <v>3131</v>
      </c>
      <c r="N25" s="33">
        <v>3175</v>
      </c>
      <c r="O25" s="303"/>
      <c r="P25" s="304">
        <f>ROUND(AVERAGE(D25:O25),0)</f>
        <v>3338</v>
      </c>
      <c r="Q25" s="293"/>
      <c r="R25" s="314"/>
      <c r="S25" s="293"/>
    </row>
    <row r="26" spans="2:19" ht="19.5" thickBot="1" x14ac:dyDescent="0.3">
      <c r="B26" s="706"/>
      <c r="C26" s="299" t="s">
        <v>254</v>
      </c>
      <c r="D26" s="305">
        <v>70</v>
      </c>
      <c r="E26" s="305">
        <v>166</v>
      </c>
      <c r="F26" s="305">
        <v>111</v>
      </c>
      <c r="G26" s="305">
        <v>88</v>
      </c>
      <c r="H26" s="305">
        <v>115</v>
      </c>
      <c r="I26" s="305">
        <v>85</v>
      </c>
      <c r="J26" s="305">
        <v>109</v>
      </c>
      <c r="K26" s="305">
        <v>85</v>
      </c>
      <c r="L26" s="305">
        <v>1172</v>
      </c>
      <c r="M26" s="305">
        <v>505</v>
      </c>
      <c r="N26" s="305">
        <v>502</v>
      </c>
      <c r="O26" s="306"/>
      <c r="P26" s="307">
        <f t="shared" si="1"/>
        <v>273</v>
      </c>
      <c r="R26" s="314"/>
      <c r="S26" s="293"/>
    </row>
    <row r="27" spans="2:19" ht="17.25" thickTop="1" thickBot="1" x14ac:dyDescent="0.3">
      <c r="B27" s="707"/>
      <c r="C27" s="308" t="s">
        <v>39</v>
      </c>
      <c r="D27" s="309">
        <v>166163</v>
      </c>
      <c r="E27" s="309">
        <v>165908</v>
      </c>
      <c r="F27" s="309">
        <v>166616</v>
      </c>
      <c r="G27" s="309">
        <v>165866</v>
      </c>
      <c r="H27" s="309">
        <v>167390</v>
      </c>
      <c r="I27" s="309">
        <v>167383</v>
      </c>
      <c r="J27" s="309">
        <v>165913</v>
      </c>
      <c r="K27" s="309">
        <v>167140</v>
      </c>
      <c r="L27" s="309">
        <v>169692</v>
      </c>
      <c r="M27" s="309">
        <v>168515</v>
      </c>
      <c r="N27" s="309">
        <v>174569</v>
      </c>
      <c r="O27" s="310"/>
      <c r="P27" s="311">
        <f>ROUND(AVERAGE(D27:O27),0)</f>
        <v>167741</v>
      </c>
      <c r="Q27" s="17"/>
      <c r="R27" s="314"/>
      <c r="S27" s="293"/>
    </row>
    <row r="28" spans="2:19" ht="15.75" x14ac:dyDescent="0.25">
      <c r="B28" s="705" t="s">
        <v>247</v>
      </c>
      <c r="C28" s="297" t="s">
        <v>190</v>
      </c>
      <c r="D28" s="300">
        <v>365</v>
      </c>
      <c r="E28" s="300">
        <v>380</v>
      </c>
      <c r="F28" s="300">
        <v>381</v>
      </c>
      <c r="G28" s="300">
        <v>400</v>
      </c>
      <c r="H28" s="300">
        <v>404</v>
      </c>
      <c r="I28" s="300">
        <v>405</v>
      </c>
      <c r="J28" s="300">
        <v>394</v>
      </c>
      <c r="K28" s="300">
        <v>395</v>
      </c>
      <c r="L28" s="300">
        <v>397</v>
      </c>
      <c r="M28" s="300">
        <v>392</v>
      </c>
      <c r="N28" s="300">
        <v>420</v>
      </c>
      <c r="O28" s="301"/>
      <c r="P28" s="302">
        <f>ROUND(AVERAGE(D28:O28),0)</f>
        <v>394</v>
      </c>
      <c r="Q28" s="293"/>
      <c r="R28" s="314"/>
      <c r="S28" s="293"/>
    </row>
    <row r="29" spans="2:19" ht="15.75" x14ac:dyDescent="0.25">
      <c r="B29" s="706"/>
      <c r="C29" s="298" t="s">
        <v>213</v>
      </c>
      <c r="D29" s="33">
        <v>1519</v>
      </c>
      <c r="E29" s="33">
        <v>1522</v>
      </c>
      <c r="F29" s="33">
        <v>1530</v>
      </c>
      <c r="G29" s="33">
        <v>1506</v>
      </c>
      <c r="H29" s="33">
        <v>1527</v>
      </c>
      <c r="I29" s="33">
        <v>1511</v>
      </c>
      <c r="J29" s="33">
        <v>1506</v>
      </c>
      <c r="K29" s="33">
        <v>1526</v>
      </c>
      <c r="L29" s="33">
        <v>1558</v>
      </c>
      <c r="M29" s="33">
        <v>1575</v>
      </c>
      <c r="N29" s="33">
        <v>1660</v>
      </c>
      <c r="O29" s="303"/>
      <c r="P29" s="304">
        <f t="shared" ref="P29:P38" si="2">ROUND(AVERAGE(D29:O29),0)</f>
        <v>1540</v>
      </c>
      <c r="R29" s="314"/>
      <c r="S29" s="293"/>
    </row>
    <row r="30" spans="2:19" ht="15.75" x14ac:dyDescent="0.25">
      <c r="B30" s="706"/>
      <c r="C30" s="298" t="s">
        <v>218</v>
      </c>
      <c r="D30" s="33">
        <v>1104</v>
      </c>
      <c r="E30" s="33">
        <v>1087</v>
      </c>
      <c r="F30" s="33">
        <v>1095</v>
      </c>
      <c r="G30" s="33">
        <v>1077</v>
      </c>
      <c r="H30" s="33">
        <v>1093</v>
      </c>
      <c r="I30" s="33">
        <v>1099</v>
      </c>
      <c r="J30" s="33">
        <v>1105</v>
      </c>
      <c r="K30" s="33">
        <v>1127</v>
      </c>
      <c r="L30" s="33">
        <v>1130</v>
      </c>
      <c r="M30" s="33">
        <v>1149</v>
      </c>
      <c r="N30" s="33">
        <v>1208</v>
      </c>
      <c r="O30" s="303"/>
      <c r="P30" s="304">
        <f t="shared" si="2"/>
        <v>1116</v>
      </c>
      <c r="R30" s="314"/>
      <c r="S30" s="293"/>
    </row>
    <row r="31" spans="2:19" ht="15.75" x14ac:dyDescent="0.25">
      <c r="B31" s="706"/>
      <c r="C31" s="298" t="s">
        <v>219</v>
      </c>
      <c r="D31" s="33">
        <v>3661</v>
      </c>
      <c r="E31" s="33">
        <v>3648</v>
      </c>
      <c r="F31" s="33">
        <v>3666</v>
      </c>
      <c r="G31" s="33">
        <v>3663</v>
      </c>
      <c r="H31" s="33">
        <v>3709</v>
      </c>
      <c r="I31" s="33">
        <v>3696</v>
      </c>
      <c r="J31" s="33">
        <v>3649</v>
      </c>
      <c r="K31" s="33">
        <v>3648</v>
      </c>
      <c r="L31" s="33">
        <v>3693</v>
      </c>
      <c r="M31" s="33">
        <v>3748</v>
      </c>
      <c r="N31" s="33">
        <v>3916</v>
      </c>
      <c r="O31" s="303"/>
      <c r="P31" s="304">
        <f t="shared" si="2"/>
        <v>3700</v>
      </c>
      <c r="Q31" s="333"/>
      <c r="R31" s="314"/>
      <c r="S31" s="293"/>
    </row>
    <row r="32" spans="2:19" ht="15.75" x14ac:dyDescent="0.25">
      <c r="B32" s="706"/>
      <c r="C32" s="298" t="s">
        <v>225</v>
      </c>
      <c r="D32" s="33">
        <v>6620</v>
      </c>
      <c r="E32" s="33">
        <v>6729</v>
      </c>
      <c r="F32" s="33">
        <v>6746</v>
      </c>
      <c r="G32" s="33">
        <v>6707</v>
      </c>
      <c r="H32" s="33">
        <v>6802</v>
      </c>
      <c r="I32" s="33">
        <v>6843</v>
      </c>
      <c r="J32" s="33">
        <v>6779</v>
      </c>
      <c r="K32" s="33">
        <v>6853</v>
      </c>
      <c r="L32" s="33">
        <v>6851</v>
      </c>
      <c r="M32" s="33">
        <v>6809</v>
      </c>
      <c r="N32" s="33">
        <v>7185</v>
      </c>
      <c r="O32" s="303"/>
      <c r="P32" s="304">
        <f>ROUND(AVERAGE(D32:O32),0)</f>
        <v>6811</v>
      </c>
      <c r="Q32" s="318"/>
      <c r="R32" s="314"/>
      <c r="S32" s="293"/>
    </row>
    <row r="33" spans="2:19" ht="15.75" x14ac:dyDescent="0.25">
      <c r="B33" s="706"/>
      <c r="C33" s="298" t="s">
        <v>229</v>
      </c>
      <c r="D33" s="33">
        <v>791</v>
      </c>
      <c r="E33" s="33">
        <v>784</v>
      </c>
      <c r="F33" s="33">
        <v>794</v>
      </c>
      <c r="G33" s="33">
        <v>795</v>
      </c>
      <c r="H33" s="33">
        <v>801</v>
      </c>
      <c r="I33" s="33">
        <v>806</v>
      </c>
      <c r="J33" s="33">
        <v>803</v>
      </c>
      <c r="K33" s="33">
        <v>787</v>
      </c>
      <c r="L33" s="33">
        <v>780</v>
      </c>
      <c r="M33" s="33">
        <v>797</v>
      </c>
      <c r="N33" s="33">
        <v>851</v>
      </c>
      <c r="O33" s="303"/>
      <c r="P33" s="304">
        <f t="shared" si="2"/>
        <v>799</v>
      </c>
      <c r="R33" s="314"/>
      <c r="S33" s="293"/>
    </row>
    <row r="34" spans="2:19" ht="15.75" x14ac:dyDescent="0.25">
      <c r="B34" s="706"/>
      <c r="C34" s="298" t="s">
        <v>239</v>
      </c>
      <c r="D34" s="33">
        <v>589</v>
      </c>
      <c r="E34" s="33">
        <v>570</v>
      </c>
      <c r="F34" s="33">
        <v>568</v>
      </c>
      <c r="G34" s="33">
        <v>561</v>
      </c>
      <c r="H34" s="33">
        <v>573</v>
      </c>
      <c r="I34" s="33">
        <v>573</v>
      </c>
      <c r="J34" s="33">
        <v>569</v>
      </c>
      <c r="K34" s="33">
        <v>586</v>
      </c>
      <c r="L34" s="33">
        <v>590</v>
      </c>
      <c r="M34" s="33">
        <v>601</v>
      </c>
      <c r="N34" s="33">
        <v>621</v>
      </c>
      <c r="O34" s="303"/>
      <c r="P34" s="304">
        <f t="shared" si="2"/>
        <v>582</v>
      </c>
      <c r="R34" s="314"/>
      <c r="S34" s="293"/>
    </row>
    <row r="35" spans="2:19" ht="15.75" x14ac:dyDescent="0.25">
      <c r="B35" s="706"/>
      <c r="C35" s="298" t="s">
        <v>242</v>
      </c>
      <c r="D35" s="33">
        <v>926</v>
      </c>
      <c r="E35" s="33">
        <v>945</v>
      </c>
      <c r="F35" s="33">
        <v>933</v>
      </c>
      <c r="G35" s="33">
        <v>929</v>
      </c>
      <c r="H35" s="33">
        <v>948</v>
      </c>
      <c r="I35" s="33">
        <v>965</v>
      </c>
      <c r="J35" s="33">
        <v>960</v>
      </c>
      <c r="K35" s="33">
        <v>965</v>
      </c>
      <c r="L35" s="33">
        <v>962</v>
      </c>
      <c r="M35" s="33">
        <v>979</v>
      </c>
      <c r="N35" s="33">
        <v>1044</v>
      </c>
      <c r="O35" s="303"/>
      <c r="P35" s="304">
        <f t="shared" si="2"/>
        <v>960</v>
      </c>
      <c r="R35" s="314"/>
      <c r="S35" s="293"/>
    </row>
    <row r="36" spans="2:19" ht="15.75" x14ac:dyDescent="0.25">
      <c r="B36" s="706"/>
      <c r="C36" s="298" t="s">
        <v>243</v>
      </c>
      <c r="D36" s="33">
        <v>57635</v>
      </c>
      <c r="E36" s="33">
        <v>57982</v>
      </c>
      <c r="F36" s="33">
        <v>58106</v>
      </c>
      <c r="G36" s="33">
        <v>57675</v>
      </c>
      <c r="H36" s="33">
        <v>58356</v>
      </c>
      <c r="I36" s="33">
        <v>58420</v>
      </c>
      <c r="J36" s="33">
        <v>58006</v>
      </c>
      <c r="K36" s="33">
        <v>58194</v>
      </c>
      <c r="L36" s="33">
        <v>58532</v>
      </c>
      <c r="M36" s="33">
        <v>58147</v>
      </c>
      <c r="N36" s="33">
        <v>60825</v>
      </c>
      <c r="O36" s="303"/>
      <c r="P36" s="304">
        <f>ROUNDDOWN(AVERAGE(D36:O36),0)</f>
        <v>58352</v>
      </c>
      <c r="Q36" s="293"/>
      <c r="R36" s="314"/>
      <c r="S36" s="293"/>
    </row>
    <row r="37" spans="2:19" ht="15.75" x14ac:dyDescent="0.25">
      <c r="B37" s="706"/>
      <c r="C37" s="298" t="s">
        <v>244</v>
      </c>
      <c r="D37" s="33">
        <v>2236</v>
      </c>
      <c r="E37" s="33">
        <v>2254</v>
      </c>
      <c r="F37" s="33">
        <v>2253</v>
      </c>
      <c r="G37" s="33">
        <v>2230</v>
      </c>
      <c r="H37" s="33">
        <v>2210</v>
      </c>
      <c r="I37" s="33">
        <v>2225</v>
      </c>
      <c r="J37" s="33">
        <v>2197</v>
      </c>
      <c r="K37" s="33">
        <v>2199</v>
      </c>
      <c r="L37" s="33">
        <v>2172</v>
      </c>
      <c r="M37" s="33">
        <v>2186</v>
      </c>
      <c r="N37" s="33">
        <v>2271</v>
      </c>
      <c r="O37" s="303"/>
      <c r="P37" s="304">
        <f>ROUND(AVERAGE(D37:O37),0)</f>
        <v>2221</v>
      </c>
      <c r="Q37" s="293"/>
      <c r="R37" s="314"/>
      <c r="S37" s="293"/>
    </row>
    <row r="38" spans="2:19" ht="19.5" thickBot="1" x14ac:dyDescent="0.3">
      <c r="B38" s="706"/>
      <c r="C38" s="299" t="s">
        <v>254</v>
      </c>
      <c r="D38" s="305">
        <v>8</v>
      </c>
      <c r="E38" s="305">
        <v>113</v>
      </c>
      <c r="F38" s="305">
        <v>32</v>
      </c>
      <c r="G38" s="305">
        <v>39</v>
      </c>
      <c r="H38" s="305">
        <v>42</v>
      </c>
      <c r="I38" s="305">
        <v>28</v>
      </c>
      <c r="J38" s="305">
        <v>35</v>
      </c>
      <c r="K38" s="305">
        <v>72</v>
      </c>
      <c r="L38" s="305">
        <v>827</v>
      </c>
      <c r="M38" s="305">
        <v>403</v>
      </c>
      <c r="N38" s="305">
        <v>375</v>
      </c>
      <c r="O38" s="306"/>
      <c r="P38" s="307">
        <f t="shared" si="2"/>
        <v>179</v>
      </c>
      <c r="R38" s="314"/>
      <c r="S38" s="293"/>
    </row>
    <row r="39" spans="2:19" ht="17.25" thickTop="1" thickBot="1" x14ac:dyDescent="0.3">
      <c r="B39" s="707"/>
      <c r="C39" s="308" t="s">
        <v>39</v>
      </c>
      <c r="D39" s="309">
        <v>75454</v>
      </c>
      <c r="E39" s="309">
        <v>76014</v>
      </c>
      <c r="F39" s="309">
        <v>76104</v>
      </c>
      <c r="G39" s="309">
        <v>75582</v>
      </c>
      <c r="H39" s="309">
        <v>76465</v>
      </c>
      <c r="I39" s="309">
        <v>76571</v>
      </c>
      <c r="J39" s="309">
        <v>76003</v>
      </c>
      <c r="K39" s="309">
        <v>76352</v>
      </c>
      <c r="L39" s="309">
        <v>77492</v>
      </c>
      <c r="M39" s="309">
        <v>76786</v>
      </c>
      <c r="N39" s="309">
        <v>80376</v>
      </c>
      <c r="O39" s="310"/>
      <c r="P39" s="311">
        <f>ROUND(AVERAGE(D39:O39),0)</f>
        <v>76654</v>
      </c>
      <c r="Q39" s="17"/>
      <c r="R39" s="314"/>
      <c r="S39" s="293"/>
    </row>
    <row r="40" spans="2:19" ht="15.75" x14ac:dyDescent="0.25">
      <c r="B40" s="705" t="s">
        <v>332</v>
      </c>
      <c r="C40" s="297" t="s">
        <v>181</v>
      </c>
      <c r="D40" s="300">
        <v>119519</v>
      </c>
      <c r="E40" s="300">
        <v>119852</v>
      </c>
      <c r="F40" s="300">
        <v>120579</v>
      </c>
      <c r="G40" s="300">
        <v>119267</v>
      </c>
      <c r="H40" s="300">
        <v>120451</v>
      </c>
      <c r="I40" s="300">
        <v>120790</v>
      </c>
      <c r="J40" s="300">
        <v>119982</v>
      </c>
      <c r="K40" s="300">
        <v>120805</v>
      </c>
      <c r="L40" s="300">
        <v>121166</v>
      </c>
      <c r="M40" s="300">
        <v>120714</v>
      </c>
      <c r="N40" s="300">
        <v>124263</v>
      </c>
      <c r="O40" s="301"/>
      <c r="P40" s="302">
        <f>ROUND(AVERAGE(D40:O40),0)</f>
        <v>120672</v>
      </c>
      <c r="Q40" s="293"/>
      <c r="R40" s="314"/>
      <c r="S40" s="293"/>
    </row>
    <row r="41" spans="2:19" ht="15.75" x14ac:dyDescent="0.25">
      <c r="B41" s="706"/>
      <c r="C41" s="298" t="s">
        <v>183</v>
      </c>
      <c r="D41" s="33">
        <v>111876</v>
      </c>
      <c r="E41" s="33">
        <v>112192</v>
      </c>
      <c r="F41" s="33">
        <v>112689</v>
      </c>
      <c r="G41" s="33">
        <v>111785</v>
      </c>
      <c r="H41" s="33">
        <v>112890</v>
      </c>
      <c r="I41" s="33">
        <v>112897</v>
      </c>
      <c r="J41" s="33">
        <v>112006</v>
      </c>
      <c r="K41" s="33">
        <v>112809</v>
      </c>
      <c r="L41" s="33">
        <v>113430</v>
      </c>
      <c r="M41" s="33">
        <v>113228</v>
      </c>
      <c r="N41" s="33">
        <v>117174</v>
      </c>
      <c r="O41" s="303"/>
      <c r="P41" s="304">
        <f>ROUND(AVERAGE(D41:O41),0)</f>
        <v>112998</v>
      </c>
      <c r="Q41" s="293"/>
      <c r="R41" s="314"/>
      <c r="S41" s="293"/>
    </row>
    <row r="42" spans="2:19" ht="15.75" x14ac:dyDescent="0.25">
      <c r="B42" s="706"/>
      <c r="C42" s="298" t="s">
        <v>199</v>
      </c>
      <c r="D42" s="33">
        <v>21012</v>
      </c>
      <c r="E42" s="33">
        <v>21135</v>
      </c>
      <c r="F42" s="33">
        <v>21291</v>
      </c>
      <c r="G42" s="33">
        <v>21189</v>
      </c>
      <c r="H42" s="33">
        <v>21444</v>
      </c>
      <c r="I42" s="33">
        <v>21498</v>
      </c>
      <c r="J42" s="33">
        <v>21315</v>
      </c>
      <c r="K42" s="33">
        <v>21543</v>
      </c>
      <c r="L42" s="33">
        <v>21936</v>
      </c>
      <c r="M42" s="33">
        <v>21871</v>
      </c>
      <c r="N42" s="33">
        <v>23469</v>
      </c>
      <c r="O42" s="303"/>
      <c r="P42" s="304">
        <f t="shared" ref="P42:P43" si="3">ROUND(AVERAGE(D42:O42),0)</f>
        <v>21609</v>
      </c>
      <c r="Q42" s="293"/>
      <c r="R42" s="314"/>
      <c r="S42" s="293"/>
    </row>
    <row r="43" spans="2:19" ht="19.5" thickBot="1" x14ac:dyDescent="0.3">
      <c r="B43" s="706"/>
      <c r="C43" s="299" t="s">
        <v>254</v>
      </c>
      <c r="D43" s="305">
        <v>165</v>
      </c>
      <c r="E43" s="305">
        <v>457</v>
      </c>
      <c r="F43" s="305">
        <v>246</v>
      </c>
      <c r="G43" s="305">
        <v>246</v>
      </c>
      <c r="H43" s="305">
        <v>298</v>
      </c>
      <c r="I43" s="305">
        <v>200</v>
      </c>
      <c r="J43" s="305">
        <v>276</v>
      </c>
      <c r="K43" s="305">
        <v>254</v>
      </c>
      <c r="L43" s="305">
        <v>3450</v>
      </c>
      <c r="M43" s="305">
        <v>1651</v>
      </c>
      <c r="N43" s="305">
        <v>1359</v>
      </c>
      <c r="O43" s="306"/>
      <c r="P43" s="307">
        <f t="shared" si="3"/>
        <v>782</v>
      </c>
      <c r="R43" s="314"/>
      <c r="S43" s="293"/>
    </row>
    <row r="44" spans="2:19" ht="17.25" thickTop="1" thickBot="1" x14ac:dyDescent="0.3">
      <c r="B44" s="707"/>
      <c r="C44" s="308" t="s">
        <v>39</v>
      </c>
      <c r="D44" s="309">
        <v>252572</v>
      </c>
      <c r="E44" s="309">
        <v>253636</v>
      </c>
      <c r="F44" s="309">
        <v>254805</v>
      </c>
      <c r="G44" s="309">
        <v>252487</v>
      </c>
      <c r="H44" s="309">
        <v>255083</v>
      </c>
      <c r="I44" s="309">
        <v>255385</v>
      </c>
      <c r="J44" s="309">
        <v>253579</v>
      </c>
      <c r="K44" s="309">
        <v>255411</v>
      </c>
      <c r="L44" s="309">
        <v>259982</v>
      </c>
      <c r="M44" s="309">
        <v>257464</v>
      </c>
      <c r="N44" s="309">
        <v>266265</v>
      </c>
      <c r="O44" s="310"/>
      <c r="P44" s="311">
        <f t="shared" ref="P44:P64" si="4">ROUND(AVERAGE(D44:O44),0)</f>
        <v>256061</v>
      </c>
      <c r="Q44" s="17"/>
      <c r="R44" s="318"/>
      <c r="S44" s="293"/>
    </row>
    <row r="45" spans="2:19" ht="15.75" x14ac:dyDescent="0.25">
      <c r="B45" s="705" t="s">
        <v>248</v>
      </c>
      <c r="C45" s="297" t="s">
        <v>182</v>
      </c>
      <c r="D45" s="300">
        <v>6101</v>
      </c>
      <c r="E45" s="300">
        <v>6110</v>
      </c>
      <c r="F45" s="300">
        <v>6147</v>
      </c>
      <c r="G45" s="300">
        <v>6144</v>
      </c>
      <c r="H45" s="300">
        <v>6205</v>
      </c>
      <c r="I45" s="300">
        <v>6232</v>
      </c>
      <c r="J45" s="300">
        <v>6196</v>
      </c>
      <c r="K45" s="300">
        <v>6263</v>
      </c>
      <c r="L45" s="300">
        <v>6221</v>
      </c>
      <c r="M45" s="300">
        <v>6181</v>
      </c>
      <c r="N45" s="300">
        <v>6339</v>
      </c>
      <c r="O45" s="301"/>
      <c r="P45" s="302">
        <f t="shared" si="4"/>
        <v>6194</v>
      </c>
      <c r="Q45" s="318"/>
      <c r="R45" s="314"/>
      <c r="S45" s="293"/>
    </row>
    <row r="46" spans="2:19" ht="15.75" x14ac:dyDescent="0.25">
      <c r="B46" s="706"/>
      <c r="C46" s="298" t="s">
        <v>185</v>
      </c>
      <c r="D46" s="33">
        <v>1044</v>
      </c>
      <c r="E46" s="33">
        <v>1049</v>
      </c>
      <c r="F46" s="33">
        <v>1054</v>
      </c>
      <c r="G46" s="33">
        <v>1069</v>
      </c>
      <c r="H46" s="33">
        <v>1075</v>
      </c>
      <c r="I46" s="33">
        <v>1066</v>
      </c>
      <c r="J46" s="33">
        <v>1058</v>
      </c>
      <c r="K46" s="33">
        <v>1061</v>
      </c>
      <c r="L46" s="33">
        <v>1051</v>
      </c>
      <c r="M46" s="33">
        <v>1075</v>
      </c>
      <c r="N46" s="33">
        <v>1121</v>
      </c>
      <c r="O46" s="303"/>
      <c r="P46" s="304">
        <f t="shared" si="4"/>
        <v>1066</v>
      </c>
      <c r="Q46" s="430"/>
      <c r="R46" s="314"/>
      <c r="S46" s="293"/>
    </row>
    <row r="47" spans="2:19" ht="15.75" x14ac:dyDescent="0.25">
      <c r="B47" s="706"/>
      <c r="C47" s="298" t="s">
        <v>186</v>
      </c>
      <c r="D47" s="33">
        <v>1553</v>
      </c>
      <c r="E47" s="33">
        <v>1539</v>
      </c>
      <c r="F47" s="33">
        <v>1547</v>
      </c>
      <c r="G47" s="33">
        <v>1534</v>
      </c>
      <c r="H47" s="33">
        <v>1545</v>
      </c>
      <c r="I47" s="33">
        <v>1544</v>
      </c>
      <c r="J47" s="33">
        <v>1531</v>
      </c>
      <c r="K47" s="33">
        <v>1544</v>
      </c>
      <c r="L47" s="33">
        <v>1521</v>
      </c>
      <c r="M47" s="33">
        <v>1531</v>
      </c>
      <c r="N47" s="33">
        <v>1589</v>
      </c>
      <c r="O47" s="303"/>
      <c r="P47" s="304">
        <f t="shared" si="4"/>
        <v>1543</v>
      </c>
      <c r="R47" s="314"/>
      <c r="S47" s="293"/>
    </row>
    <row r="48" spans="2:19" ht="15.75" x14ac:dyDescent="0.25">
      <c r="B48" s="706"/>
      <c r="C48" s="298" t="s">
        <v>189</v>
      </c>
      <c r="D48" s="33">
        <v>3221</v>
      </c>
      <c r="E48" s="33">
        <v>3230</v>
      </c>
      <c r="F48" s="33">
        <v>3242</v>
      </c>
      <c r="G48" s="33">
        <v>3202</v>
      </c>
      <c r="H48" s="33">
        <v>3216</v>
      </c>
      <c r="I48" s="33">
        <v>3186</v>
      </c>
      <c r="J48" s="33">
        <v>3091</v>
      </c>
      <c r="K48" s="33">
        <v>3103</v>
      </c>
      <c r="L48" s="33">
        <v>3188</v>
      </c>
      <c r="M48" s="33">
        <v>3231</v>
      </c>
      <c r="N48" s="33">
        <v>3375</v>
      </c>
      <c r="O48" s="303"/>
      <c r="P48" s="304">
        <f t="shared" si="4"/>
        <v>3208</v>
      </c>
      <c r="Q48" s="293"/>
      <c r="R48" s="314"/>
      <c r="S48" s="293"/>
    </row>
    <row r="49" spans="2:19" ht="15.75" x14ac:dyDescent="0.25">
      <c r="B49" s="706"/>
      <c r="C49" s="298" t="s">
        <v>192</v>
      </c>
      <c r="D49" s="33">
        <v>2931</v>
      </c>
      <c r="E49" s="33">
        <v>2944</v>
      </c>
      <c r="F49" s="33">
        <v>2947</v>
      </c>
      <c r="G49" s="33">
        <v>2907</v>
      </c>
      <c r="H49" s="33">
        <v>2908</v>
      </c>
      <c r="I49" s="33">
        <v>2885</v>
      </c>
      <c r="J49" s="33">
        <v>2865</v>
      </c>
      <c r="K49" s="33">
        <v>2879</v>
      </c>
      <c r="L49" s="33">
        <v>2876</v>
      </c>
      <c r="M49" s="33">
        <v>2871</v>
      </c>
      <c r="N49" s="33">
        <v>3020</v>
      </c>
      <c r="O49" s="303"/>
      <c r="P49" s="304">
        <f t="shared" si="4"/>
        <v>2912</v>
      </c>
      <c r="Q49" s="293"/>
      <c r="R49" s="314"/>
      <c r="S49" s="293"/>
    </row>
    <row r="50" spans="2:19" ht="15.75" x14ac:dyDescent="0.25">
      <c r="B50" s="706"/>
      <c r="C50" s="298" t="s">
        <v>193</v>
      </c>
      <c r="D50" s="33">
        <v>1648</v>
      </c>
      <c r="E50" s="33">
        <v>1636</v>
      </c>
      <c r="F50" s="33">
        <v>1657</v>
      </c>
      <c r="G50" s="33">
        <v>1633</v>
      </c>
      <c r="H50" s="33">
        <v>1645</v>
      </c>
      <c r="I50" s="33">
        <v>1633</v>
      </c>
      <c r="J50" s="33">
        <v>1619</v>
      </c>
      <c r="K50" s="33">
        <v>1624</v>
      </c>
      <c r="L50" s="33">
        <v>1645</v>
      </c>
      <c r="M50" s="33">
        <v>1647</v>
      </c>
      <c r="N50" s="33">
        <v>1723</v>
      </c>
      <c r="O50" s="303"/>
      <c r="P50" s="304">
        <f t="shared" si="4"/>
        <v>1646</v>
      </c>
      <c r="R50" s="314"/>
      <c r="S50" s="293"/>
    </row>
    <row r="51" spans="2:19" ht="15.75" x14ac:dyDescent="0.25">
      <c r="B51" s="706"/>
      <c r="C51" s="298" t="s">
        <v>194</v>
      </c>
      <c r="D51" s="33">
        <v>1188</v>
      </c>
      <c r="E51" s="33">
        <v>1206</v>
      </c>
      <c r="F51" s="33">
        <v>1190</v>
      </c>
      <c r="G51" s="33">
        <v>1180</v>
      </c>
      <c r="H51" s="33">
        <v>1197</v>
      </c>
      <c r="I51" s="33">
        <v>1194</v>
      </c>
      <c r="J51" s="33">
        <v>1186</v>
      </c>
      <c r="K51" s="33">
        <v>1198</v>
      </c>
      <c r="L51" s="33">
        <v>1210</v>
      </c>
      <c r="M51" s="33">
        <v>1239</v>
      </c>
      <c r="N51" s="33">
        <v>1291</v>
      </c>
      <c r="O51" s="303"/>
      <c r="P51" s="304">
        <f t="shared" si="4"/>
        <v>1207</v>
      </c>
      <c r="R51" s="314"/>
      <c r="S51" s="293"/>
    </row>
    <row r="52" spans="2:19" ht="15.75" x14ac:dyDescent="0.25">
      <c r="B52" s="706"/>
      <c r="C52" s="298" t="s">
        <v>195</v>
      </c>
      <c r="D52" s="33">
        <v>711</v>
      </c>
      <c r="E52" s="33">
        <v>714</v>
      </c>
      <c r="F52" s="33">
        <v>723</v>
      </c>
      <c r="G52" s="33">
        <v>758</v>
      </c>
      <c r="H52" s="33">
        <v>768</v>
      </c>
      <c r="I52" s="33">
        <v>766</v>
      </c>
      <c r="J52" s="33">
        <v>763</v>
      </c>
      <c r="K52" s="33">
        <v>765</v>
      </c>
      <c r="L52" s="33">
        <v>775</v>
      </c>
      <c r="M52" s="33">
        <v>754</v>
      </c>
      <c r="N52" s="33">
        <v>782</v>
      </c>
      <c r="O52" s="303"/>
      <c r="P52" s="304">
        <f t="shared" si="4"/>
        <v>753</v>
      </c>
      <c r="R52" s="314"/>
      <c r="S52" s="293"/>
    </row>
    <row r="53" spans="2:19" ht="15.75" x14ac:dyDescent="0.25">
      <c r="B53" s="706"/>
      <c r="C53" s="298" t="s">
        <v>203</v>
      </c>
      <c r="D53" s="33">
        <v>10712</v>
      </c>
      <c r="E53" s="33">
        <v>10810</v>
      </c>
      <c r="F53" s="33">
        <v>10896</v>
      </c>
      <c r="G53" s="33">
        <v>10823</v>
      </c>
      <c r="H53" s="33">
        <v>10989</v>
      </c>
      <c r="I53" s="33">
        <v>11051</v>
      </c>
      <c r="J53" s="33">
        <v>11066</v>
      </c>
      <c r="K53" s="33">
        <v>11181</v>
      </c>
      <c r="L53" s="33">
        <v>11089</v>
      </c>
      <c r="M53" s="33">
        <v>11034</v>
      </c>
      <c r="N53" s="33">
        <v>11521</v>
      </c>
      <c r="O53" s="303"/>
      <c r="P53" s="304">
        <f>ROUND(AVERAGE(D53:O53),0)</f>
        <v>11016</v>
      </c>
      <c r="Q53" s="293"/>
      <c r="R53" s="314"/>
      <c r="S53" s="293"/>
    </row>
    <row r="54" spans="2:19" ht="15.75" x14ac:dyDescent="0.25">
      <c r="B54" s="706"/>
      <c r="C54" s="298" t="s">
        <v>209</v>
      </c>
      <c r="D54" s="33">
        <v>2377</v>
      </c>
      <c r="E54" s="33">
        <v>2389</v>
      </c>
      <c r="F54" s="33">
        <v>2387</v>
      </c>
      <c r="G54" s="33">
        <v>2387</v>
      </c>
      <c r="H54" s="33">
        <v>2409</v>
      </c>
      <c r="I54" s="33">
        <v>2395</v>
      </c>
      <c r="J54" s="33">
        <v>2394</v>
      </c>
      <c r="K54" s="33">
        <v>2407</v>
      </c>
      <c r="L54" s="33">
        <v>2402</v>
      </c>
      <c r="M54" s="33">
        <v>2429</v>
      </c>
      <c r="N54" s="33">
        <v>2546</v>
      </c>
      <c r="O54" s="303"/>
      <c r="P54" s="304">
        <f t="shared" si="4"/>
        <v>2411</v>
      </c>
      <c r="R54" s="314"/>
      <c r="S54" s="293"/>
    </row>
    <row r="55" spans="2:19" ht="15.75" x14ac:dyDescent="0.25">
      <c r="B55" s="706"/>
      <c r="C55" s="298" t="s">
        <v>212</v>
      </c>
      <c r="D55" s="33">
        <v>298</v>
      </c>
      <c r="E55" s="33">
        <v>300</v>
      </c>
      <c r="F55" s="33">
        <v>299</v>
      </c>
      <c r="G55" s="33">
        <v>300</v>
      </c>
      <c r="H55" s="33">
        <v>306</v>
      </c>
      <c r="I55" s="33">
        <v>317</v>
      </c>
      <c r="J55" s="33">
        <v>308</v>
      </c>
      <c r="K55" s="33">
        <v>313</v>
      </c>
      <c r="L55" s="33">
        <v>311</v>
      </c>
      <c r="M55" s="33">
        <v>309</v>
      </c>
      <c r="N55" s="33">
        <v>341</v>
      </c>
      <c r="O55" s="303"/>
      <c r="P55" s="304">
        <f t="shared" si="4"/>
        <v>309</v>
      </c>
      <c r="R55" s="314"/>
      <c r="S55" s="293"/>
    </row>
    <row r="56" spans="2:19" ht="15.75" x14ac:dyDescent="0.25">
      <c r="B56" s="706"/>
      <c r="C56" s="298" t="s">
        <v>215</v>
      </c>
      <c r="D56" s="33">
        <v>1517</v>
      </c>
      <c r="E56" s="33">
        <v>1490</v>
      </c>
      <c r="F56" s="33">
        <v>1489</v>
      </c>
      <c r="G56" s="33">
        <v>1476</v>
      </c>
      <c r="H56" s="33">
        <v>1447</v>
      </c>
      <c r="I56" s="33">
        <v>1422</v>
      </c>
      <c r="J56" s="33">
        <v>1393</v>
      </c>
      <c r="K56" s="33">
        <v>1369</v>
      </c>
      <c r="L56" s="33">
        <v>1349</v>
      </c>
      <c r="M56" s="33">
        <v>1311</v>
      </c>
      <c r="N56" s="33">
        <v>1331</v>
      </c>
      <c r="O56" s="303"/>
      <c r="P56" s="304">
        <f t="shared" si="4"/>
        <v>1418</v>
      </c>
      <c r="R56" s="314"/>
      <c r="S56" s="293"/>
    </row>
    <row r="57" spans="2:19" ht="15.75" x14ac:dyDescent="0.25">
      <c r="B57" s="706"/>
      <c r="C57" s="298" t="s">
        <v>217</v>
      </c>
      <c r="D57" s="33">
        <v>4605</v>
      </c>
      <c r="E57" s="33">
        <v>4654</v>
      </c>
      <c r="F57" s="33">
        <v>4649</v>
      </c>
      <c r="G57" s="33">
        <v>4654</v>
      </c>
      <c r="H57" s="33">
        <v>4693</v>
      </c>
      <c r="I57" s="33">
        <v>4762</v>
      </c>
      <c r="J57" s="33">
        <v>4758</v>
      </c>
      <c r="K57" s="33">
        <v>4834</v>
      </c>
      <c r="L57" s="33">
        <v>4818</v>
      </c>
      <c r="M57" s="33">
        <v>4843</v>
      </c>
      <c r="N57" s="33">
        <v>5117</v>
      </c>
      <c r="O57" s="303"/>
      <c r="P57" s="304">
        <f t="shared" si="4"/>
        <v>4762</v>
      </c>
      <c r="R57" s="314"/>
      <c r="S57" s="293"/>
    </row>
    <row r="58" spans="2:19" ht="15.75" x14ac:dyDescent="0.25">
      <c r="B58" s="706"/>
      <c r="C58" s="298" t="s">
        <v>221</v>
      </c>
      <c r="D58" s="33">
        <v>129</v>
      </c>
      <c r="E58" s="33">
        <v>128</v>
      </c>
      <c r="F58" s="33">
        <v>132</v>
      </c>
      <c r="G58" s="33">
        <v>131</v>
      </c>
      <c r="H58" s="33">
        <v>136</v>
      </c>
      <c r="I58" s="33">
        <v>138</v>
      </c>
      <c r="J58" s="33">
        <v>140</v>
      </c>
      <c r="K58" s="33">
        <v>142</v>
      </c>
      <c r="L58" s="33">
        <v>154</v>
      </c>
      <c r="M58" s="33">
        <v>154</v>
      </c>
      <c r="N58" s="33">
        <v>162</v>
      </c>
      <c r="O58" s="303"/>
      <c r="P58" s="304">
        <f t="shared" si="4"/>
        <v>141</v>
      </c>
      <c r="R58" s="314"/>
      <c r="S58" s="293"/>
    </row>
    <row r="59" spans="2:19" ht="15.75" x14ac:dyDescent="0.25">
      <c r="B59" s="706"/>
      <c r="C59" s="298" t="s">
        <v>226</v>
      </c>
      <c r="D59" s="33">
        <v>6457</v>
      </c>
      <c r="E59" s="33">
        <v>6479</v>
      </c>
      <c r="F59" s="33">
        <v>6545</v>
      </c>
      <c r="G59" s="33">
        <v>6486</v>
      </c>
      <c r="H59" s="33">
        <v>6517</v>
      </c>
      <c r="I59" s="33">
        <v>6531</v>
      </c>
      <c r="J59" s="33">
        <v>6475</v>
      </c>
      <c r="K59" s="33">
        <v>6526</v>
      </c>
      <c r="L59" s="33">
        <v>6524</v>
      </c>
      <c r="M59" s="33">
        <v>6613</v>
      </c>
      <c r="N59" s="33">
        <v>6976</v>
      </c>
      <c r="O59" s="303"/>
      <c r="P59" s="304">
        <f>ROUNDUP(AVERAGE(D59:O59),0)</f>
        <v>6558</v>
      </c>
      <c r="Q59" s="293"/>
      <c r="R59" s="314"/>
      <c r="S59" s="293"/>
    </row>
    <row r="60" spans="2:19" ht="15.75" x14ac:dyDescent="0.25">
      <c r="B60" s="706"/>
      <c r="C60" s="298" t="s">
        <v>231</v>
      </c>
      <c r="D60" s="33">
        <v>4400</v>
      </c>
      <c r="E60" s="33">
        <v>4441</v>
      </c>
      <c r="F60" s="33">
        <v>4463</v>
      </c>
      <c r="G60" s="33">
        <v>4352</v>
      </c>
      <c r="H60" s="33">
        <v>4350</v>
      </c>
      <c r="I60" s="33">
        <v>4342</v>
      </c>
      <c r="J60" s="33">
        <v>4349</v>
      </c>
      <c r="K60" s="33">
        <v>4382</v>
      </c>
      <c r="L60" s="33">
        <v>4373</v>
      </c>
      <c r="M60" s="33">
        <v>4436</v>
      </c>
      <c r="N60" s="33">
        <v>4515</v>
      </c>
      <c r="O60" s="303"/>
      <c r="P60" s="304">
        <f t="shared" si="4"/>
        <v>4400</v>
      </c>
      <c r="R60" s="314"/>
      <c r="S60" s="293"/>
    </row>
    <row r="61" spans="2:19" ht="15.75" x14ac:dyDescent="0.25">
      <c r="B61" s="706"/>
      <c r="C61" s="298" t="s">
        <v>232</v>
      </c>
      <c r="D61" s="33">
        <v>57279</v>
      </c>
      <c r="E61" s="33">
        <v>57480</v>
      </c>
      <c r="F61" s="33">
        <v>57846</v>
      </c>
      <c r="G61" s="33">
        <v>57639</v>
      </c>
      <c r="H61" s="33">
        <v>58178</v>
      </c>
      <c r="I61" s="33">
        <v>58370</v>
      </c>
      <c r="J61" s="33">
        <v>58109</v>
      </c>
      <c r="K61" s="33">
        <v>58633</v>
      </c>
      <c r="L61" s="33">
        <v>58936</v>
      </c>
      <c r="M61" s="33">
        <v>58961</v>
      </c>
      <c r="N61" s="33">
        <v>61238</v>
      </c>
      <c r="O61" s="303"/>
      <c r="P61" s="304">
        <f>ROUNDUP(AVERAGE(D61:O61),0)</f>
        <v>58425</v>
      </c>
      <c r="Q61" s="293"/>
      <c r="R61" s="314"/>
      <c r="S61" s="293"/>
    </row>
    <row r="62" spans="2:19" ht="15.75" x14ac:dyDescent="0.25">
      <c r="B62" s="706"/>
      <c r="C62" s="298" t="s">
        <v>234</v>
      </c>
      <c r="D62" s="33">
        <v>3908</v>
      </c>
      <c r="E62" s="33">
        <v>3886</v>
      </c>
      <c r="F62" s="33">
        <v>3899</v>
      </c>
      <c r="G62" s="33">
        <v>3851</v>
      </c>
      <c r="H62" s="33">
        <v>3852</v>
      </c>
      <c r="I62" s="33">
        <v>3871</v>
      </c>
      <c r="J62" s="33">
        <v>3845</v>
      </c>
      <c r="K62" s="33">
        <v>3838</v>
      </c>
      <c r="L62" s="33">
        <v>3841</v>
      </c>
      <c r="M62" s="33">
        <v>3860</v>
      </c>
      <c r="N62" s="33">
        <v>3996</v>
      </c>
      <c r="O62" s="303"/>
      <c r="P62" s="304">
        <f>ROUND(AVERAGE(D62:O62),0)</f>
        <v>3877</v>
      </c>
      <c r="Q62" s="293"/>
      <c r="R62" s="314"/>
      <c r="S62" s="293"/>
    </row>
    <row r="63" spans="2:19" ht="15.75" x14ac:dyDescent="0.25">
      <c r="B63" s="706"/>
      <c r="C63" s="298" t="s">
        <v>236</v>
      </c>
      <c r="D63" s="33">
        <v>2188</v>
      </c>
      <c r="E63" s="33">
        <v>2144</v>
      </c>
      <c r="F63" s="33">
        <v>2147</v>
      </c>
      <c r="G63" s="33">
        <v>2110</v>
      </c>
      <c r="H63" s="33">
        <v>2101</v>
      </c>
      <c r="I63" s="33">
        <v>2047</v>
      </c>
      <c r="J63" s="33">
        <v>1969</v>
      </c>
      <c r="K63" s="33">
        <v>1923</v>
      </c>
      <c r="L63" s="33">
        <v>1938</v>
      </c>
      <c r="M63" s="33">
        <v>1885</v>
      </c>
      <c r="N63" s="33">
        <v>1947</v>
      </c>
      <c r="O63" s="303"/>
      <c r="P63" s="304">
        <f>ROUND(AVERAGE(D63:O63),0)</f>
        <v>2036</v>
      </c>
      <c r="Q63" s="293"/>
      <c r="R63" s="314"/>
      <c r="S63" s="293"/>
    </row>
    <row r="64" spans="2:19" ht="19.5" thickBot="1" x14ac:dyDescent="0.3">
      <c r="B64" s="706"/>
      <c r="C64" s="299" t="s">
        <v>254</v>
      </c>
      <c r="D64" s="305">
        <v>20</v>
      </c>
      <c r="E64" s="305">
        <v>105</v>
      </c>
      <c r="F64" s="305">
        <v>19</v>
      </c>
      <c r="G64" s="305">
        <v>23</v>
      </c>
      <c r="H64" s="305">
        <v>34</v>
      </c>
      <c r="I64" s="305">
        <v>23</v>
      </c>
      <c r="J64" s="305">
        <v>28</v>
      </c>
      <c r="K64" s="305">
        <v>32</v>
      </c>
      <c r="L64" s="305">
        <v>807</v>
      </c>
      <c r="M64" s="305">
        <v>369</v>
      </c>
      <c r="N64" s="305">
        <v>347</v>
      </c>
      <c r="O64" s="306"/>
      <c r="P64" s="307">
        <f t="shared" si="4"/>
        <v>164</v>
      </c>
      <c r="R64" s="314"/>
      <c r="S64" s="293"/>
    </row>
    <row r="65" spans="2:23" ht="17.25" thickTop="1" thickBot="1" x14ac:dyDescent="0.3">
      <c r="B65" s="707"/>
      <c r="C65" s="308" t="s">
        <v>39</v>
      </c>
      <c r="D65" s="309">
        <v>112287</v>
      </c>
      <c r="E65" s="309">
        <v>112734</v>
      </c>
      <c r="F65" s="309">
        <v>113278</v>
      </c>
      <c r="G65" s="309">
        <v>112659</v>
      </c>
      <c r="H65" s="309">
        <v>113571</v>
      </c>
      <c r="I65" s="309">
        <v>113775</v>
      </c>
      <c r="J65" s="309">
        <v>113143</v>
      </c>
      <c r="K65" s="309">
        <v>114017</v>
      </c>
      <c r="L65" s="309">
        <v>115029</v>
      </c>
      <c r="M65" s="309">
        <v>114733</v>
      </c>
      <c r="N65" s="309">
        <v>119277</v>
      </c>
      <c r="O65" s="310"/>
      <c r="P65" s="311">
        <f>ROUND(AVERAGE(D65:O65),0)</f>
        <v>114046</v>
      </c>
      <c r="Q65" s="17"/>
      <c r="R65" s="314"/>
      <c r="S65" s="293"/>
    </row>
    <row r="66" spans="2:23" ht="15.75" x14ac:dyDescent="0.25">
      <c r="B66" s="705" t="s">
        <v>249</v>
      </c>
      <c r="C66" s="297" t="s">
        <v>197</v>
      </c>
      <c r="D66" s="300">
        <v>104088</v>
      </c>
      <c r="E66" s="300">
        <v>103519</v>
      </c>
      <c r="F66" s="300">
        <v>104644</v>
      </c>
      <c r="G66" s="300">
        <v>103188</v>
      </c>
      <c r="H66" s="300">
        <v>103504</v>
      </c>
      <c r="I66" s="300">
        <v>103635</v>
      </c>
      <c r="J66" s="300">
        <v>102828</v>
      </c>
      <c r="K66" s="300">
        <v>103179</v>
      </c>
      <c r="L66" s="300">
        <v>101687</v>
      </c>
      <c r="M66" s="300">
        <v>100489</v>
      </c>
      <c r="N66" s="300">
        <v>100421</v>
      </c>
      <c r="O66" s="301"/>
      <c r="P66" s="302">
        <f>ROUND(AVERAGE(D66:O66),0)</f>
        <v>102835</v>
      </c>
      <c r="Q66" s="293"/>
      <c r="R66" s="314"/>
      <c r="S66" s="293"/>
      <c r="W66" s="295"/>
    </row>
    <row r="67" spans="2:23" ht="19.5" thickBot="1" x14ac:dyDescent="0.3">
      <c r="B67" s="706"/>
      <c r="C67" s="299" t="s">
        <v>254</v>
      </c>
      <c r="D67" s="305">
        <v>50</v>
      </c>
      <c r="E67" s="305">
        <v>244</v>
      </c>
      <c r="F67" s="305">
        <v>94</v>
      </c>
      <c r="G67" s="305">
        <v>68</v>
      </c>
      <c r="H67" s="305">
        <v>130</v>
      </c>
      <c r="I67" s="305">
        <v>78</v>
      </c>
      <c r="J67" s="305">
        <v>76</v>
      </c>
      <c r="K67" s="305">
        <v>122</v>
      </c>
      <c r="L67" s="305">
        <v>1909</v>
      </c>
      <c r="M67" s="305">
        <v>876</v>
      </c>
      <c r="N67" s="305">
        <v>698</v>
      </c>
      <c r="O67" s="306"/>
      <c r="P67" s="307">
        <f t="shared" si="1"/>
        <v>395</v>
      </c>
      <c r="R67" s="314"/>
      <c r="S67" s="293"/>
    </row>
    <row r="68" spans="2:23" ht="17.25" thickTop="1" thickBot="1" x14ac:dyDescent="0.3">
      <c r="B68" s="707"/>
      <c r="C68" s="308" t="s">
        <v>39</v>
      </c>
      <c r="D68" s="309">
        <v>104138</v>
      </c>
      <c r="E68" s="309">
        <v>103763</v>
      </c>
      <c r="F68" s="309">
        <v>104738</v>
      </c>
      <c r="G68" s="309">
        <v>103256</v>
      </c>
      <c r="H68" s="309">
        <v>103634</v>
      </c>
      <c r="I68" s="309">
        <v>103713</v>
      </c>
      <c r="J68" s="309">
        <v>102904</v>
      </c>
      <c r="K68" s="309">
        <v>103301</v>
      </c>
      <c r="L68" s="309">
        <v>103596</v>
      </c>
      <c r="M68" s="309">
        <v>101365</v>
      </c>
      <c r="N68" s="309">
        <v>101119</v>
      </c>
      <c r="O68" s="310"/>
      <c r="P68" s="311">
        <f t="shared" ref="P68:P74" si="5">ROUND(AVERAGE(D68:O68),0)</f>
        <v>103230</v>
      </c>
      <c r="Q68" s="318"/>
      <c r="R68" s="314"/>
      <c r="S68" s="293"/>
    </row>
    <row r="69" spans="2:23" ht="15.75" x14ac:dyDescent="0.25">
      <c r="B69" s="705" t="s">
        <v>250</v>
      </c>
      <c r="C69" s="297" t="s">
        <v>187</v>
      </c>
      <c r="D69" s="300">
        <v>42390</v>
      </c>
      <c r="E69" s="300">
        <v>42531</v>
      </c>
      <c r="F69" s="300">
        <v>42905</v>
      </c>
      <c r="G69" s="300">
        <v>42687</v>
      </c>
      <c r="H69" s="300">
        <v>43095</v>
      </c>
      <c r="I69" s="300">
        <v>43194</v>
      </c>
      <c r="J69" s="300">
        <v>42863</v>
      </c>
      <c r="K69" s="300">
        <v>43321</v>
      </c>
      <c r="L69" s="300">
        <v>43807</v>
      </c>
      <c r="M69" s="300">
        <v>43701</v>
      </c>
      <c r="N69" s="300">
        <v>46016</v>
      </c>
      <c r="O69" s="301"/>
      <c r="P69" s="302">
        <f t="shared" si="5"/>
        <v>43319</v>
      </c>
      <c r="Q69" s="293"/>
      <c r="R69" s="314"/>
      <c r="S69" s="293"/>
    </row>
    <row r="70" spans="2:23" ht="15.75" x14ac:dyDescent="0.25">
      <c r="B70" s="706"/>
      <c r="C70" s="298" t="s">
        <v>188</v>
      </c>
      <c r="D70" s="33">
        <v>5327</v>
      </c>
      <c r="E70" s="33">
        <v>5377</v>
      </c>
      <c r="F70" s="33">
        <v>5403</v>
      </c>
      <c r="G70" s="33">
        <v>5412</v>
      </c>
      <c r="H70" s="33">
        <v>5418</v>
      </c>
      <c r="I70" s="33">
        <v>5390</v>
      </c>
      <c r="J70" s="33">
        <v>5304</v>
      </c>
      <c r="K70" s="33">
        <v>5221</v>
      </c>
      <c r="L70" s="33">
        <v>5267</v>
      </c>
      <c r="M70" s="33">
        <v>5262</v>
      </c>
      <c r="N70" s="33">
        <v>5655</v>
      </c>
      <c r="O70" s="303"/>
      <c r="P70" s="304">
        <f t="shared" si="5"/>
        <v>5367</v>
      </c>
      <c r="Q70" s="293"/>
      <c r="R70" s="314"/>
      <c r="S70" s="293"/>
    </row>
    <row r="71" spans="2:23" ht="15.75" x14ac:dyDescent="0.25">
      <c r="B71" s="706"/>
      <c r="C71" s="298" t="s">
        <v>191</v>
      </c>
      <c r="D71" s="33">
        <v>1301</v>
      </c>
      <c r="E71" s="33">
        <v>1331</v>
      </c>
      <c r="F71" s="33">
        <v>1340</v>
      </c>
      <c r="G71" s="33">
        <v>1325</v>
      </c>
      <c r="H71" s="33">
        <v>1352</v>
      </c>
      <c r="I71" s="33">
        <v>1362</v>
      </c>
      <c r="J71" s="33">
        <v>1321</v>
      </c>
      <c r="K71" s="33">
        <v>1347</v>
      </c>
      <c r="L71" s="33">
        <v>1323</v>
      </c>
      <c r="M71" s="33">
        <v>1334</v>
      </c>
      <c r="N71" s="33">
        <v>1389</v>
      </c>
      <c r="O71" s="303"/>
      <c r="P71" s="304">
        <f t="shared" si="5"/>
        <v>1339</v>
      </c>
      <c r="Q71" s="293"/>
      <c r="R71" s="314"/>
      <c r="S71" s="293"/>
    </row>
    <row r="72" spans="2:23" ht="15.75" x14ac:dyDescent="0.25">
      <c r="B72" s="706"/>
      <c r="C72" s="298" t="s">
        <v>205</v>
      </c>
      <c r="D72" s="33">
        <v>842</v>
      </c>
      <c r="E72" s="33">
        <v>829</v>
      </c>
      <c r="F72" s="33">
        <v>841</v>
      </c>
      <c r="G72" s="33">
        <v>832</v>
      </c>
      <c r="H72" s="33">
        <v>838</v>
      </c>
      <c r="I72" s="33">
        <v>846</v>
      </c>
      <c r="J72" s="33">
        <v>863</v>
      </c>
      <c r="K72" s="33">
        <v>853</v>
      </c>
      <c r="L72" s="33">
        <v>821</v>
      </c>
      <c r="M72" s="33">
        <v>830</v>
      </c>
      <c r="N72" s="33">
        <v>846</v>
      </c>
      <c r="O72" s="303"/>
      <c r="P72" s="304">
        <f t="shared" si="5"/>
        <v>840</v>
      </c>
      <c r="Q72" s="293"/>
      <c r="R72" s="314"/>
      <c r="S72" s="293"/>
    </row>
    <row r="73" spans="2:23" ht="15.75" x14ac:dyDescent="0.25">
      <c r="B73" s="706"/>
      <c r="C73" s="298" t="s">
        <v>211</v>
      </c>
      <c r="D73" s="33">
        <v>77297</v>
      </c>
      <c r="E73" s="33">
        <v>77543</v>
      </c>
      <c r="F73" s="33">
        <v>78204</v>
      </c>
      <c r="G73" s="33">
        <v>77618</v>
      </c>
      <c r="H73" s="33">
        <v>78258</v>
      </c>
      <c r="I73" s="33">
        <v>78403</v>
      </c>
      <c r="J73" s="33">
        <v>77819</v>
      </c>
      <c r="K73" s="33">
        <v>78474</v>
      </c>
      <c r="L73" s="33">
        <v>78727</v>
      </c>
      <c r="M73" s="33">
        <v>78537</v>
      </c>
      <c r="N73" s="33">
        <v>81860</v>
      </c>
      <c r="O73" s="303"/>
      <c r="P73" s="304">
        <f t="shared" si="5"/>
        <v>78431</v>
      </c>
      <c r="Q73" s="293"/>
      <c r="R73" s="314"/>
      <c r="S73" s="293"/>
    </row>
    <row r="74" spans="2:23" ht="19.5" thickBot="1" x14ac:dyDescent="0.3">
      <c r="B74" s="706"/>
      <c r="C74" s="299" t="s">
        <v>254</v>
      </c>
      <c r="D74" s="305">
        <v>43</v>
      </c>
      <c r="E74" s="305">
        <v>196</v>
      </c>
      <c r="F74" s="305">
        <v>72</v>
      </c>
      <c r="G74" s="305">
        <v>75</v>
      </c>
      <c r="H74" s="305">
        <v>112</v>
      </c>
      <c r="I74" s="305">
        <v>73</v>
      </c>
      <c r="J74" s="305">
        <v>68</v>
      </c>
      <c r="K74" s="305">
        <v>164</v>
      </c>
      <c r="L74" s="305">
        <v>1949</v>
      </c>
      <c r="M74" s="305">
        <v>807</v>
      </c>
      <c r="N74" s="305">
        <v>811</v>
      </c>
      <c r="O74" s="306"/>
      <c r="P74" s="307">
        <f t="shared" si="5"/>
        <v>397</v>
      </c>
      <c r="Q74" s="293"/>
      <c r="R74" s="314"/>
      <c r="S74" s="293"/>
    </row>
    <row r="75" spans="2:23" ht="17.25" thickTop="1" thickBot="1" x14ac:dyDescent="0.3">
      <c r="B75" s="707"/>
      <c r="C75" s="308" t="s">
        <v>39</v>
      </c>
      <c r="D75" s="309">
        <v>127200</v>
      </c>
      <c r="E75" s="309">
        <v>127807</v>
      </c>
      <c r="F75" s="309">
        <v>128765</v>
      </c>
      <c r="G75" s="309">
        <v>127949</v>
      </c>
      <c r="H75" s="309">
        <v>129073</v>
      </c>
      <c r="I75" s="309">
        <v>129268</v>
      </c>
      <c r="J75" s="309">
        <v>128238</v>
      </c>
      <c r="K75" s="309">
        <v>129380</v>
      </c>
      <c r="L75" s="309">
        <v>131894</v>
      </c>
      <c r="M75" s="309">
        <v>130471</v>
      </c>
      <c r="N75" s="309">
        <v>136577</v>
      </c>
      <c r="O75" s="310"/>
      <c r="P75" s="311">
        <f t="shared" ref="P75:P78" si="6">ROUND(AVERAGE(D75:O75),0)</f>
        <v>129693</v>
      </c>
      <c r="Q75" s="17"/>
      <c r="R75" s="314"/>
      <c r="S75" s="293"/>
    </row>
    <row r="76" spans="2:23" ht="15.75" x14ac:dyDescent="0.25">
      <c r="B76" s="705" t="s">
        <v>251</v>
      </c>
      <c r="C76" s="297" t="s">
        <v>201</v>
      </c>
      <c r="D76" s="300">
        <v>151406</v>
      </c>
      <c r="E76" s="300">
        <v>152581</v>
      </c>
      <c r="F76" s="300">
        <v>153822</v>
      </c>
      <c r="G76" s="300">
        <v>153445</v>
      </c>
      <c r="H76" s="300">
        <v>155385</v>
      </c>
      <c r="I76" s="300">
        <v>155876</v>
      </c>
      <c r="J76" s="300">
        <v>155210</v>
      </c>
      <c r="K76" s="300">
        <v>156761</v>
      </c>
      <c r="L76" s="300">
        <v>157999</v>
      </c>
      <c r="M76" s="300">
        <v>158004</v>
      </c>
      <c r="N76" s="300">
        <v>164491</v>
      </c>
      <c r="O76" s="301"/>
      <c r="P76" s="302">
        <f>ROUND(AVERAGE(D76:O76),0)</f>
        <v>155907</v>
      </c>
      <c r="Q76" s="293"/>
      <c r="R76" s="314"/>
      <c r="S76" s="293"/>
    </row>
    <row r="77" spans="2:23" ht="15.75" x14ac:dyDescent="0.25">
      <c r="B77" s="706"/>
      <c r="C77" s="298" t="s">
        <v>202</v>
      </c>
      <c r="D77" s="33">
        <v>2581</v>
      </c>
      <c r="E77" s="33">
        <v>2591</v>
      </c>
      <c r="F77" s="33">
        <v>2615</v>
      </c>
      <c r="G77" s="33">
        <v>2613</v>
      </c>
      <c r="H77" s="33">
        <v>2634</v>
      </c>
      <c r="I77" s="33">
        <v>2609</v>
      </c>
      <c r="J77" s="33">
        <v>2581</v>
      </c>
      <c r="K77" s="33">
        <v>2589</v>
      </c>
      <c r="L77" s="33">
        <v>2567</v>
      </c>
      <c r="M77" s="33">
        <v>2527</v>
      </c>
      <c r="N77" s="33">
        <v>2697</v>
      </c>
      <c r="O77" s="303"/>
      <c r="P77" s="304">
        <f>ROUND(AVERAGE(D77:O77),0)</f>
        <v>2600</v>
      </c>
      <c r="Q77" s="293"/>
      <c r="R77" s="314"/>
      <c r="S77" s="293"/>
    </row>
    <row r="78" spans="2:23" ht="15.75" x14ac:dyDescent="0.25">
      <c r="B78" s="706"/>
      <c r="C78" s="298" t="s">
        <v>228</v>
      </c>
      <c r="D78" s="33">
        <v>2701</v>
      </c>
      <c r="E78" s="33">
        <v>2706</v>
      </c>
      <c r="F78" s="33">
        <v>2709</v>
      </c>
      <c r="G78" s="33">
        <v>2694</v>
      </c>
      <c r="H78" s="33">
        <v>2713</v>
      </c>
      <c r="I78" s="33">
        <v>2726</v>
      </c>
      <c r="J78" s="33">
        <v>2697</v>
      </c>
      <c r="K78" s="33">
        <v>2737</v>
      </c>
      <c r="L78" s="33">
        <v>2783</v>
      </c>
      <c r="M78" s="33">
        <v>2761</v>
      </c>
      <c r="N78" s="33">
        <v>2855</v>
      </c>
      <c r="O78" s="303"/>
      <c r="P78" s="304">
        <f t="shared" si="6"/>
        <v>2735</v>
      </c>
      <c r="Q78" s="293"/>
      <c r="R78" s="314"/>
      <c r="S78" s="293"/>
    </row>
    <row r="79" spans="2:23" ht="15.75" x14ac:dyDescent="0.25">
      <c r="B79" s="706"/>
      <c r="C79" s="298" t="s">
        <v>241</v>
      </c>
      <c r="D79" s="33">
        <v>4576</v>
      </c>
      <c r="E79" s="33">
        <v>4596</v>
      </c>
      <c r="F79" s="33">
        <v>4646</v>
      </c>
      <c r="G79" s="33">
        <v>4627</v>
      </c>
      <c r="H79" s="33">
        <v>4737</v>
      </c>
      <c r="I79" s="33">
        <v>4768</v>
      </c>
      <c r="J79" s="33">
        <v>4722</v>
      </c>
      <c r="K79" s="33">
        <v>4799</v>
      </c>
      <c r="L79" s="33">
        <v>4856</v>
      </c>
      <c r="M79" s="33">
        <v>4821</v>
      </c>
      <c r="N79" s="33">
        <v>5083</v>
      </c>
      <c r="O79" s="303"/>
      <c r="P79" s="304">
        <f>ROUND(AVERAGE(D79:O79),0)</f>
        <v>4748</v>
      </c>
      <c r="Q79" s="293"/>
      <c r="R79" s="314"/>
      <c r="S79" s="293"/>
    </row>
    <row r="80" spans="2:23" ht="19.5" thickBot="1" x14ac:dyDescent="0.3">
      <c r="B80" s="706"/>
      <c r="C80" s="299" t="s">
        <v>254</v>
      </c>
      <c r="D80" s="305">
        <v>37</v>
      </c>
      <c r="E80" s="305">
        <v>106</v>
      </c>
      <c r="F80" s="305">
        <v>68</v>
      </c>
      <c r="G80" s="305">
        <v>37</v>
      </c>
      <c r="H80" s="305">
        <v>63</v>
      </c>
      <c r="I80" s="305">
        <v>33</v>
      </c>
      <c r="J80" s="305">
        <v>43</v>
      </c>
      <c r="K80" s="305">
        <v>65</v>
      </c>
      <c r="L80" s="305">
        <v>1423</v>
      </c>
      <c r="M80" s="305">
        <v>561</v>
      </c>
      <c r="N80" s="305">
        <v>465</v>
      </c>
      <c r="O80" s="306"/>
      <c r="P80" s="307">
        <f t="shared" ref="P80" si="7">ROUND(AVERAGE(D80:O80),0)</f>
        <v>264</v>
      </c>
      <c r="R80" s="314"/>
      <c r="S80" s="293"/>
    </row>
    <row r="81" spans="2:19" ht="17.25" thickTop="1" thickBot="1" x14ac:dyDescent="0.3">
      <c r="B81" s="707"/>
      <c r="C81" s="308" t="s">
        <v>39</v>
      </c>
      <c r="D81" s="309">
        <v>161301</v>
      </c>
      <c r="E81" s="309">
        <v>162580</v>
      </c>
      <c r="F81" s="309">
        <v>163860</v>
      </c>
      <c r="G81" s="309">
        <v>163416</v>
      </c>
      <c r="H81" s="309">
        <v>165532</v>
      </c>
      <c r="I81" s="309">
        <v>166012</v>
      </c>
      <c r="J81" s="309">
        <v>165253</v>
      </c>
      <c r="K81" s="309">
        <v>166951</v>
      </c>
      <c r="L81" s="309">
        <v>169628</v>
      </c>
      <c r="M81" s="309">
        <v>168674</v>
      </c>
      <c r="N81" s="309">
        <v>175591</v>
      </c>
      <c r="O81" s="310"/>
      <c r="P81" s="311">
        <f>ROUND(AVERAGE(D81:O81),0)</f>
        <v>166254</v>
      </c>
      <c r="Q81" s="17"/>
      <c r="R81" s="318"/>
      <c r="S81" s="293"/>
    </row>
    <row r="82" spans="2:19" ht="5.25" customHeight="1" thickBot="1" x14ac:dyDescent="0.3">
      <c r="B82" s="326"/>
      <c r="C82" s="327"/>
      <c r="D82" s="328"/>
      <c r="E82" s="328"/>
      <c r="F82" s="328"/>
      <c r="G82" s="328"/>
      <c r="H82" s="328"/>
      <c r="I82" s="328"/>
      <c r="J82" s="328"/>
      <c r="K82" s="328"/>
      <c r="L82" s="328"/>
      <c r="M82" s="328"/>
      <c r="N82" s="328"/>
      <c r="O82" s="328"/>
      <c r="P82" s="329"/>
      <c r="R82" s="314"/>
      <c r="S82" s="293"/>
    </row>
    <row r="83" spans="2:19" ht="16.5" thickBot="1" x14ac:dyDescent="0.3">
      <c r="B83" s="711" t="s">
        <v>252</v>
      </c>
      <c r="C83" s="712"/>
      <c r="D83" s="312">
        <f t="shared" ref="D83:H83" si="8">SUM(D81,D75,D68,D65,D44,D39,D27)</f>
        <v>999115</v>
      </c>
      <c r="E83" s="312">
        <f t="shared" si="8"/>
        <v>1002442</v>
      </c>
      <c r="F83" s="312">
        <f t="shared" si="8"/>
        <v>1008166</v>
      </c>
      <c r="G83" s="312">
        <f t="shared" si="8"/>
        <v>1001215</v>
      </c>
      <c r="H83" s="312">
        <f t="shared" si="8"/>
        <v>1010748</v>
      </c>
      <c r="I83" s="312">
        <f t="shared" ref="I83:J83" si="9">SUM(I81,I75,I68,I65,I44,I39,I27)</f>
        <v>1012107</v>
      </c>
      <c r="J83" s="312">
        <f t="shared" si="9"/>
        <v>1005033</v>
      </c>
      <c r="K83" s="312">
        <f t="shared" ref="K83:M83" si="10">SUM(K81,K75,K68,K65,K44,K39,K27)</f>
        <v>1012552</v>
      </c>
      <c r="L83" s="312">
        <f t="shared" si="10"/>
        <v>1027313</v>
      </c>
      <c r="M83" s="312">
        <f t="shared" si="10"/>
        <v>1018008</v>
      </c>
      <c r="N83" s="312">
        <f t="shared" ref="N83" si="11">SUM(N81,N75,N68,N65,N44,N39,N27)</f>
        <v>1053774</v>
      </c>
      <c r="O83" s="312"/>
      <c r="P83" s="313">
        <f>ROUND(AVERAGE(D83:O83),0)</f>
        <v>1013679</v>
      </c>
      <c r="Q83" s="332"/>
      <c r="R83" s="314"/>
      <c r="S83" s="293"/>
    </row>
    <row r="84" spans="2:19" ht="15.75" x14ac:dyDescent="0.25">
      <c r="B84" s="708" t="s">
        <v>253</v>
      </c>
      <c r="C84" s="709"/>
      <c r="D84" s="709"/>
      <c r="E84" s="709"/>
      <c r="F84" s="709"/>
      <c r="G84" s="709"/>
      <c r="H84" s="709"/>
      <c r="I84" s="709"/>
      <c r="J84" s="709"/>
      <c r="K84" s="709"/>
      <c r="L84" s="709"/>
      <c r="M84" s="709"/>
      <c r="N84" s="709"/>
      <c r="O84" s="709"/>
      <c r="P84" s="710"/>
      <c r="R84" s="314"/>
    </row>
    <row r="85" spans="2:19" ht="16.5" thickBot="1" x14ac:dyDescent="0.3">
      <c r="B85" s="699" t="s">
        <v>313</v>
      </c>
      <c r="C85" s="700"/>
      <c r="D85" s="700"/>
      <c r="E85" s="700"/>
      <c r="F85" s="700"/>
      <c r="G85" s="700"/>
      <c r="H85" s="700"/>
      <c r="I85" s="700"/>
      <c r="J85" s="700"/>
      <c r="K85" s="700"/>
      <c r="L85" s="700"/>
      <c r="M85" s="700"/>
      <c r="N85" s="700"/>
      <c r="O85" s="700"/>
      <c r="P85" s="701"/>
      <c r="R85" s="314"/>
    </row>
    <row r="86" spans="2:19" ht="15.75" x14ac:dyDescent="0.25">
      <c r="D86" s="315"/>
      <c r="E86" s="315"/>
      <c r="F86" s="315"/>
      <c r="G86" s="315"/>
      <c r="H86" s="315"/>
      <c r="I86" s="315"/>
      <c r="J86" s="315"/>
      <c r="K86" s="315"/>
      <c r="L86" s="315"/>
      <c r="M86" s="315"/>
      <c r="N86" s="315"/>
      <c r="O86" s="315"/>
      <c r="P86" s="17"/>
    </row>
    <row r="94" spans="2:19" x14ac:dyDescent="0.2">
      <c r="J94" s="295"/>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2016-17 Medical Premiums Expenditure and Caseload Report</oddHeader>
    <oddFooter>&amp;L&amp;"Times New Roman,Bold"&amp;12Page &amp;P</oddFooter>
  </headerFooter>
  <rowBreaks count="1" manualBreakCount="1">
    <brk id="44"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Normal="100" zoomScaleSheetLayoutView="100" workbookViewId="0">
      <selection activeCell="K25" sqref="K25"/>
    </sheetView>
  </sheetViews>
  <sheetFormatPr defaultColWidth="9.140625" defaultRowHeight="15.75" x14ac:dyDescent="0.25"/>
  <cols>
    <col min="1" max="1" width="36.42578125" style="133" customWidth="1"/>
    <col min="2" max="2" width="42.28515625" style="133" customWidth="1"/>
    <col min="3" max="3" width="26.7109375" style="133" customWidth="1"/>
    <col min="4" max="5" width="24.5703125" style="133" customWidth="1"/>
    <col min="6" max="6" width="15.85546875" style="133" customWidth="1"/>
    <col min="7" max="7" width="25.28515625" style="133" customWidth="1"/>
    <col min="8" max="8" width="14.85546875" style="133" bestFit="1" customWidth="1"/>
    <col min="9" max="9" width="13" style="133" bestFit="1" customWidth="1"/>
    <col min="10" max="10" width="8.7109375" style="133" bestFit="1" customWidth="1"/>
    <col min="11" max="12" width="9.140625" style="133"/>
    <col min="13" max="13" width="11.5703125" style="133" bestFit="1" customWidth="1"/>
    <col min="14" max="14" width="9.140625" style="133"/>
    <col min="15" max="15" width="9.28515625" style="133" bestFit="1" customWidth="1"/>
    <col min="16" max="16384" width="9.140625" style="133"/>
  </cols>
  <sheetData>
    <row r="1" spans="1:13" ht="21" customHeight="1" x14ac:dyDescent="0.25">
      <c r="A1" s="713" t="s">
        <v>316</v>
      </c>
      <c r="B1" s="714"/>
      <c r="C1" s="714"/>
      <c r="D1" s="715"/>
      <c r="E1" s="320"/>
      <c r="F1" s="320"/>
      <c r="G1" s="75"/>
      <c r="H1" s="145"/>
    </row>
    <row r="2" spans="1:13" ht="31.5" x14ac:dyDescent="0.25">
      <c r="A2" s="496"/>
      <c r="B2" s="546" t="s">
        <v>79</v>
      </c>
      <c r="C2" s="547" t="s">
        <v>30</v>
      </c>
      <c r="D2" s="548" t="s">
        <v>31</v>
      </c>
      <c r="E2" s="321"/>
      <c r="F2" s="321"/>
      <c r="G2" s="134"/>
      <c r="H2" s="145"/>
    </row>
    <row r="3" spans="1:13" x14ac:dyDescent="0.25">
      <c r="A3" s="213" t="s">
        <v>3</v>
      </c>
      <c r="B3" s="20">
        <f>C3+D3</f>
        <v>53123267</v>
      </c>
      <c r="C3" s="21">
        <v>52270009</v>
      </c>
      <c r="D3" s="497">
        <v>853258</v>
      </c>
      <c r="E3" s="218"/>
      <c r="F3" s="218"/>
      <c r="G3" s="218"/>
      <c r="H3" s="15"/>
      <c r="I3" s="135"/>
      <c r="J3" s="135"/>
    </row>
    <row r="4" spans="1:13" x14ac:dyDescent="0.25">
      <c r="A4" s="213" t="s">
        <v>4</v>
      </c>
      <c r="B4" s="20">
        <f t="shared" ref="B4:B13" si="0">C4+D4</f>
        <v>38038939</v>
      </c>
      <c r="C4" s="21">
        <v>37382354</v>
      </c>
      <c r="D4" s="434">
        <v>656585</v>
      </c>
      <c r="E4" s="322"/>
      <c r="F4" s="322"/>
      <c r="G4" s="218"/>
      <c r="H4" s="15"/>
      <c r="I4" s="135"/>
      <c r="J4" s="135"/>
      <c r="L4" s="142"/>
      <c r="M4" s="142"/>
    </row>
    <row r="5" spans="1:13" x14ac:dyDescent="0.25">
      <c r="A5" s="213" t="s">
        <v>5</v>
      </c>
      <c r="B5" s="20">
        <f t="shared" si="0"/>
        <v>53302527</v>
      </c>
      <c r="C5" s="21">
        <v>52885382</v>
      </c>
      <c r="D5" s="434">
        <v>417145</v>
      </c>
      <c r="E5" s="322"/>
      <c r="F5" s="322"/>
      <c r="G5" s="218"/>
      <c r="H5" s="152"/>
      <c r="I5" s="135"/>
      <c r="J5" s="135"/>
      <c r="L5" s="142"/>
      <c r="M5" s="142"/>
    </row>
    <row r="6" spans="1:13" x14ac:dyDescent="0.25">
      <c r="A6" s="213" t="s">
        <v>6</v>
      </c>
      <c r="B6" s="20">
        <f t="shared" si="0"/>
        <v>44058940</v>
      </c>
      <c r="C6" s="21">
        <v>43302800</v>
      </c>
      <c r="D6" s="434">
        <v>756140</v>
      </c>
      <c r="E6" s="322"/>
      <c r="F6" s="322"/>
      <c r="G6" s="218"/>
      <c r="H6" s="152"/>
      <c r="I6" s="135"/>
      <c r="J6" s="135"/>
      <c r="L6" s="142"/>
      <c r="M6" s="142"/>
    </row>
    <row r="7" spans="1:13" x14ac:dyDescent="0.25">
      <c r="A7" s="213" t="s">
        <v>7</v>
      </c>
      <c r="B7" s="20">
        <f t="shared" si="0"/>
        <v>45946584</v>
      </c>
      <c r="C7" s="21">
        <v>45559373</v>
      </c>
      <c r="D7" s="434">
        <v>387211</v>
      </c>
      <c r="E7" s="322"/>
      <c r="F7" s="322"/>
      <c r="G7" s="218"/>
      <c r="H7" s="152"/>
      <c r="I7" s="135"/>
      <c r="J7" s="135"/>
      <c r="L7" s="142"/>
      <c r="M7" s="142"/>
    </row>
    <row r="8" spans="1:13" x14ac:dyDescent="0.25">
      <c r="A8" s="213" t="s">
        <v>8</v>
      </c>
      <c r="B8" s="20">
        <f t="shared" si="0"/>
        <v>54546255</v>
      </c>
      <c r="C8" s="21">
        <v>53933081</v>
      </c>
      <c r="D8" s="498">
        <v>613174</v>
      </c>
      <c r="E8" s="323"/>
      <c r="F8" s="323"/>
      <c r="G8" s="218"/>
      <c r="H8" s="152"/>
      <c r="I8" s="135"/>
      <c r="J8" s="135"/>
      <c r="K8" s="136"/>
      <c r="L8" s="142"/>
      <c r="M8" s="142"/>
    </row>
    <row r="9" spans="1:13" x14ac:dyDescent="0.25">
      <c r="A9" s="213" t="s">
        <v>9</v>
      </c>
      <c r="B9" s="20">
        <f t="shared" si="0"/>
        <v>55428745</v>
      </c>
      <c r="C9" s="21">
        <v>54623395</v>
      </c>
      <c r="D9" s="498">
        <v>805350</v>
      </c>
      <c r="E9" s="323"/>
      <c r="F9" s="323"/>
      <c r="G9" s="218"/>
      <c r="H9" s="152"/>
      <c r="I9" s="135"/>
      <c r="M9" s="142"/>
    </row>
    <row r="10" spans="1:13" x14ac:dyDescent="0.25">
      <c r="A10" s="213" t="s">
        <v>10</v>
      </c>
      <c r="B10" s="20">
        <f t="shared" si="0"/>
        <v>55302877</v>
      </c>
      <c r="C10" s="21">
        <v>54542598</v>
      </c>
      <c r="D10" s="434">
        <v>760279</v>
      </c>
      <c r="E10" s="322"/>
      <c r="F10" s="322"/>
      <c r="G10" s="218"/>
      <c r="H10" s="152"/>
      <c r="I10" s="135"/>
      <c r="J10" s="120"/>
      <c r="K10" s="136"/>
      <c r="L10" s="142"/>
      <c r="M10" s="142"/>
    </row>
    <row r="11" spans="1:13" x14ac:dyDescent="0.25">
      <c r="A11" s="213" t="s">
        <v>11</v>
      </c>
      <c r="B11" s="575">
        <f t="shared" si="0"/>
        <v>46052541.989999987</v>
      </c>
      <c r="C11" s="576">
        <v>46336894.069999985</v>
      </c>
      <c r="D11" s="577">
        <v>-284352.08000000007</v>
      </c>
      <c r="E11" s="322"/>
      <c r="F11" s="322"/>
      <c r="G11" s="218"/>
      <c r="H11" s="152"/>
      <c r="I11" s="140"/>
      <c r="J11" s="120"/>
      <c r="K11" s="136"/>
      <c r="L11" s="142"/>
      <c r="M11" s="142"/>
    </row>
    <row r="12" spans="1:13" x14ac:dyDescent="0.25">
      <c r="A12" s="213" t="s">
        <v>12</v>
      </c>
      <c r="B12" s="575">
        <f t="shared" si="0"/>
        <v>60944225.169999965</v>
      </c>
      <c r="C12" s="576">
        <v>60936123.059999965</v>
      </c>
      <c r="D12" s="577">
        <v>8102.11</v>
      </c>
      <c r="E12" s="322"/>
      <c r="F12" s="322"/>
      <c r="G12" s="218"/>
      <c r="H12" s="152"/>
      <c r="I12" s="140"/>
      <c r="J12" s="120"/>
      <c r="K12" s="136"/>
      <c r="L12" s="142"/>
      <c r="M12" s="142"/>
    </row>
    <row r="13" spans="1:13" x14ac:dyDescent="0.25">
      <c r="A13" s="213" t="s">
        <v>13</v>
      </c>
      <c r="B13" s="575">
        <f t="shared" si="0"/>
        <v>51009562.020000041</v>
      </c>
      <c r="C13" s="576">
        <v>51000720.020000041</v>
      </c>
      <c r="D13" s="577">
        <v>8842</v>
      </c>
      <c r="E13" s="322"/>
      <c r="F13" s="322"/>
      <c r="G13" s="218"/>
      <c r="H13" s="152"/>
      <c r="I13" s="140"/>
      <c r="J13" s="120"/>
      <c r="L13" s="142"/>
      <c r="M13" s="142"/>
    </row>
    <row r="14" spans="1:13" x14ac:dyDescent="0.25">
      <c r="A14" s="213" t="s">
        <v>2</v>
      </c>
      <c r="B14" s="20"/>
      <c r="C14" s="22"/>
      <c r="D14" s="434"/>
      <c r="E14" s="554"/>
      <c r="F14" s="322"/>
      <c r="G14" s="218"/>
      <c r="H14" s="153"/>
      <c r="I14" s="141"/>
      <c r="L14" s="142"/>
      <c r="M14" s="142"/>
    </row>
    <row r="15" spans="1:13" x14ac:dyDescent="0.25">
      <c r="A15" s="499" t="s">
        <v>34</v>
      </c>
      <c r="B15" s="49">
        <f>SUM(B3:B14)</f>
        <v>557754463.18000007</v>
      </c>
      <c r="C15" s="23">
        <f>SUM(C3:C14)</f>
        <v>552772729.14999998</v>
      </c>
      <c r="D15" s="500">
        <f>SUM(D3:D14)</f>
        <v>4981734.03</v>
      </c>
      <c r="E15" s="324"/>
      <c r="F15" s="324"/>
      <c r="G15" s="218"/>
      <c r="H15" s="28"/>
      <c r="I15" s="28"/>
    </row>
    <row r="16" spans="1:13" s="145" customFormat="1" x14ac:dyDescent="0.25">
      <c r="A16" s="209" t="s">
        <v>35</v>
      </c>
      <c r="B16" s="20">
        <v>614282694</v>
      </c>
      <c r="C16" s="524">
        <v>605844642</v>
      </c>
      <c r="D16" s="525">
        <v>8438052</v>
      </c>
      <c r="E16" s="505"/>
      <c r="F16" s="506"/>
      <c r="G16" s="218"/>
      <c r="I16" s="28"/>
      <c r="J16" s="153"/>
    </row>
    <row r="17" spans="1:9" ht="16.5" thickBot="1" x14ac:dyDescent="0.3">
      <c r="A17" s="532" t="s">
        <v>23</v>
      </c>
      <c r="B17" s="533">
        <f>B16-B15</f>
        <v>56528230.819999933</v>
      </c>
      <c r="C17" s="23">
        <f>C16-C15</f>
        <v>53071912.850000024</v>
      </c>
      <c r="D17" s="500">
        <f>D16-D15</f>
        <v>3456317.9699999997</v>
      </c>
      <c r="E17" s="527"/>
      <c r="F17" s="324"/>
      <c r="G17" s="218"/>
      <c r="H17" s="145"/>
      <c r="I17" s="97"/>
    </row>
    <row r="18" spans="1:9" s="430" customFormat="1" x14ac:dyDescent="0.25">
      <c r="A18" s="716" t="s">
        <v>24</v>
      </c>
      <c r="B18" s="717"/>
      <c r="C18" s="717"/>
      <c r="D18" s="718"/>
      <c r="E18" s="317"/>
      <c r="F18" s="317"/>
      <c r="G18" s="218"/>
      <c r="H18" s="122"/>
    </row>
    <row r="19" spans="1:9" ht="14.25" customHeight="1" x14ac:dyDescent="0.25">
      <c r="A19" s="719" t="s">
        <v>33</v>
      </c>
      <c r="B19" s="720"/>
      <c r="C19" s="720"/>
      <c r="D19" s="721"/>
      <c r="E19" s="325"/>
      <c r="F19" s="325"/>
      <c r="G19" s="218"/>
      <c r="H19" s="145"/>
    </row>
    <row r="20" spans="1:9" ht="24.75" customHeight="1" x14ac:dyDescent="0.25">
      <c r="A20" s="726" t="s">
        <v>353</v>
      </c>
      <c r="B20" s="727"/>
      <c r="C20" s="727"/>
      <c r="D20" s="728"/>
      <c r="E20" s="325"/>
      <c r="F20" s="325"/>
      <c r="G20" s="218"/>
      <c r="H20" s="145"/>
    </row>
    <row r="21" spans="1:9" s="145" customFormat="1" ht="41.25" customHeight="1" thickBot="1" x14ac:dyDescent="0.3">
      <c r="A21" s="722" t="s">
        <v>356</v>
      </c>
      <c r="B21" s="723"/>
      <c r="C21" s="723"/>
      <c r="D21" s="724"/>
      <c r="E21" s="325"/>
      <c r="F21" s="325"/>
      <c r="G21" s="218"/>
    </row>
    <row r="22" spans="1:9" ht="30" customHeight="1" x14ac:dyDescent="0.25">
      <c r="A22" s="725"/>
      <c r="B22" s="725"/>
      <c r="C22" s="725"/>
      <c r="D22" s="725"/>
    </row>
    <row r="23" spans="1:9" x14ac:dyDescent="0.25">
      <c r="A23" s="141"/>
      <c r="B23" s="141"/>
      <c r="C23" s="141"/>
      <c r="D23" s="141"/>
    </row>
    <row r="24" spans="1:9" x14ac:dyDescent="0.25">
      <c r="A24" s="141"/>
      <c r="B24" s="141"/>
      <c r="C24" s="141"/>
      <c r="D24" s="141"/>
    </row>
    <row r="25" spans="1:9" x14ac:dyDescent="0.25">
      <c r="A25" s="141"/>
      <c r="B25" s="141"/>
      <c r="C25" s="141"/>
      <c r="D25" s="141"/>
    </row>
    <row r="26" spans="1:9" x14ac:dyDescent="0.25">
      <c r="A26" s="141"/>
      <c r="B26" s="141"/>
      <c r="C26" s="341"/>
      <c r="D26" s="341"/>
    </row>
    <row r="27" spans="1:9" x14ac:dyDescent="0.25">
      <c r="A27" s="141"/>
      <c r="B27" s="141"/>
      <c r="C27" s="341"/>
      <c r="D27" s="341"/>
    </row>
    <row r="28" spans="1:9" x14ac:dyDescent="0.25">
      <c r="A28" s="141"/>
      <c r="B28" s="141"/>
      <c r="C28" s="341"/>
      <c r="D28" s="341"/>
    </row>
    <row r="29" spans="1:9" x14ac:dyDescent="0.25">
      <c r="A29" s="141"/>
      <c r="B29" s="141"/>
      <c r="C29" s="341"/>
      <c r="D29" s="341"/>
    </row>
    <row r="30" spans="1:9" x14ac:dyDescent="0.25">
      <c r="A30" s="141"/>
      <c r="B30" s="141"/>
      <c r="C30" s="341"/>
      <c r="D30" s="341"/>
    </row>
    <row r="31" spans="1:9" x14ac:dyDescent="0.25">
      <c r="A31" s="141"/>
      <c r="B31" s="141"/>
      <c r="C31" s="341"/>
      <c r="D31" s="341"/>
    </row>
    <row r="32" spans="1:9" x14ac:dyDescent="0.25">
      <c r="A32" s="612"/>
      <c r="B32" s="612"/>
      <c r="C32" s="613"/>
      <c r="D32" s="613"/>
      <c r="E32" s="464"/>
    </row>
    <row r="33" spans="1:4" x14ac:dyDescent="0.25">
      <c r="A33" s="141"/>
      <c r="B33" s="141"/>
      <c r="C33" s="141"/>
      <c r="D33" s="141"/>
    </row>
    <row r="34" spans="1:4" x14ac:dyDescent="0.25">
      <c r="A34" s="141"/>
      <c r="B34" s="141"/>
      <c r="C34" s="141"/>
      <c r="D34" s="141"/>
    </row>
    <row r="35" spans="1:4" x14ac:dyDescent="0.25">
      <c r="A35" s="141"/>
      <c r="B35" s="141"/>
      <c r="C35" s="341"/>
      <c r="D35" s="141"/>
    </row>
    <row r="61" ht="37.5" customHeight="1" x14ac:dyDescent="0.25"/>
  </sheetData>
  <mergeCells count="6">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topLeftCell="A13" zoomScaleNormal="100" zoomScaleSheetLayoutView="100" workbookViewId="0">
      <selection activeCell="K25" sqref="K25"/>
    </sheetView>
  </sheetViews>
  <sheetFormatPr defaultColWidth="9.140625" defaultRowHeight="15.75" x14ac:dyDescent="0.25"/>
  <cols>
    <col min="1" max="1" width="33" style="430" bestFit="1" customWidth="1"/>
    <col min="2" max="2" width="17.85546875" style="430" customWidth="1"/>
    <col min="3" max="3" width="19.42578125" style="430" customWidth="1"/>
    <col min="4" max="4" width="20.140625" style="430" customWidth="1"/>
    <col min="5" max="5" width="18.42578125" style="430" customWidth="1"/>
    <col min="6" max="6" width="19.42578125" style="430" customWidth="1"/>
    <col min="7" max="7" width="19.5703125" style="430" bestFit="1" customWidth="1"/>
    <col min="8" max="8" width="13.140625" style="430" customWidth="1"/>
    <col min="9" max="9" width="13.42578125" style="430" bestFit="1" customWidth="1"/>
    <col min="10" max="10" width="12.7109375" style="430" bestFit="1" customWidth="1"/>
    <col min="11" max="11" width="12.85546875" style="430" bestFit="1" customWidth="1"/>
    <col min="12" max="12" width="11.5703125" style="430" bestFit="1" customWidth="1"/>
    <col min="13" max="14" width="9.140625" style="430"/>
    <col min="15" max="15" width="16.140625" style="430" bestFit="1" customWidth="1"/>
    <col min="16" max="16384" width="9.140625" style="430"/>
  </cols>
  <sheetData>
    <row r="1" spans="1:15" ht="15.75" customHeight="1" thickBot="1" x14ac:dyDescent="0.3">
      <c r="A1" s="731" t="s">
        <v>317</v>
      </c>
      <c r="B1" s="732"/>
      <c r="C1" s="732"/>
      <c r="D1" s="732"/>
      <c r="E1" s="732"/>
      <c r="F1" s="732"/>
      <c r="G1" s="732"/>
      <c r="H1" s="733"/>
      <c r="I1" s="491"/>
    </row>
    <row r="2" spans="1:15" ht="47.25" x14ac:dyDescent="0.25">
      <c r="A2" s="425"/>
      <c r="B2" s="426" t="s">
        <v>39</v>
      </c>
      <c r="C2" s="427" t="s">
        <v>40</v>
      </c>
      <c r="D2" s="427" t="s">
        <v>294</v>
      </c>
      <c r="E2" s="427" t="s">
        <v>293</v>
      </c>
      <c r="F2" s="427" t="s">
        <v>42</v>
      </c>
      <c r="G2" s="431" t="s">
        <v>128</v>
      </c>
      <c r="H2" s="553" t="s">
        <v>334</v>
      </c>
      <c r="I2" s="492"/>
    </row>
    <row r="3" spans="1:15" x14ac:dyDescent="0.25">
      <c r="A3" s="213" t="s">
        <v>3</v>
      </c>
      <c r="B3" s="19">
        <f>ROUND(SUM(C3:G3),0)</f>
        <v>52270009</v>
      </c>
      <c r="C3" s="19">
        <v>11672593</v>
      </c>
      <c r="D3" s="19">
        <v>10238579</v>
      </c>
      <c r="E3" s="19">
        <v>5612753</v>
      </c>
      <c r="F3" s="19">
        <v>17477224</v>
      </c>
      <c r="G3" s="322">
        <v>7268860</v>
      </c>
      <c r="H3" s="434">
        <v>0</v>
      </c>
      <c r="I3" s="493"/>
    </row>
    <row r="4" spans="1:15" x14ac:dyDescent="0.25">
      <c r="A4" s="213" t="s">
        <v>4</v>
      </c>
      <c r="B4" s="19">
        <f t="shared" ref="B4:B13" si="0">ROUND(SUM(C4:H4),0)</f>
        <v>37382354</v>
      </c>
      <c r="C4" s="19">
        <v>7170918</v>
      </c>
      <c r="D4" s="19">
        <v>10740767</v>
      </c>
      <c r="E4" s="19">
        <v>4372436</v>
      </c>
      <c r="F4" s="19">
        <v>12961768</v>
      </c>
      <c r="G4" s="322">
        <v>2228647</v>
      </c>
      <c r="H4" s="434">
        <v>-92182</v>
      </c>
      <c r="I4" s="493"/>
    </row>
    <row r="5" spans="1:15" x14ac:dyDescent="0.25">
      <c r="A5" s="213" t="s">
        <v>5</v>
      </c>
      <c r="B5" s="19">
        <f t="shared" si="0"/>
        <v>52885382</v>
      </c>
      <c r="C5" s="19">
        <v>12034684</v>
      </c>
      <c r="D5" s="19">
        <v>10534681</v>
      </c>
      <c r="E5" s="19">
        <v>5811459</v>
      </c>
      <c r="F5" s="19">
        <v>17908818</v>
      </c>
      <c r="G5" s="322">
        <v>7490952</v>
      </c>
      <c r="H5" s="434">
        <v>-895212</v>
      </c>
      <c r="I5" s="493"/>
      <c r="L5" s="147"/>
    </row>
    <row r="6" spans="1:15" x14ac:dyDescent="0.25">
      <c r="A6" s="213" t="s">
        <v>6</v>
      </c>
      <c r="B6" s="19">
        <f t="shared" si="0"/>
        <v>43302800</v>
      </c>
      <c r="C6" s="19">
        <v>4069035.9299999997</v>
      </c>
      <c r="D6" s="19">
        <v>10442297.289999999</v>
      </c>
      <c r="E6" s="19">
        <v>3514651.8400000003</v>
      </c>
      <c r="F6" s="19">
        <v>17838265.250000004</v>
      </c>
      <c r="G6" s="322">
        <v>7438549.9000000004</v>
      </c>
      <c r="H6" s="434">
        <v>0</v>
      </c>
      <c r="I6" s="493"/>
      <c r="L6" s="148"/>
    </row>
    <row r="7" spans="1:15" x14ac:dyDescent="0.25">
      <c r="A7" s="213" t="s">
        <v>1</v>
      </c>
      <c r="B7" s="19">
        <f t="shared" si="0"/>
        <v>45559373</v>
      </c>
      <c r="C7" s="19">
        <v>12218608</v>
      </c>
      <c r="D7" s="19">
        <v>10645983</v>
      </c>
      <c r="E7" s="19">
        <v>5907117</v>
      </c>
      <c r="F7" s="19">
        <v>11527455</v>
      </c>
      <c r="G7" s="322">
        <v>5352392</v>
      </c>
      <c r="H7" s="434">
        <v>-92182</v>
      </c>
      <c r="I7" s="522"/>
      <c r="L7" s="149"/>
      <c r="O7" s="147"/>
    </row>
    <row r="8" spans="1:15" x14ac:dyDescent="0.25">
      <c r="A8" s="213" t="s">
        <v>157</v>
      </c>
      <c r="B8" s="19">
        <f t="shared" si="0"/>
        <v>53933081</v>
      </c>
      <c r="C8" s="19">
        <v>12053165</v>
      </c>
      <c r="D8" s="19">
        <v>10471230</v>
      </c>
      <c r="E8" s="19">
        <v>5841792</v>
      </c>
      <c r="F8" s="238">
        <v>18044300</v>
      </c>
      <c r="G8" s="322">
        <v>7525689</v>
      </c>
      <c r="H8" s="434">
        <v>-3095</v>
      </c>
      <c r="I8" s="522"/>
      <c r="L8" s="551"/>
      <c r="M8" s="97"/>
      <c r="O8" s="147"/>
    </row>
    <row r="9" spans="1:15" x14ac:dyDescent="0.25">
      <c r="A9" s="213" t="s">
        <v>9</v>
      </c>
      <c r="B9" s="19">
        <f t="shared" si="0"/>
        <v>54623395</v>
      </c>
      <c r="C9" s="19">
        <v>12156417.189999999</v>
      </c>
      <c r="D9" s="19">
        <v>10613573.17</v>
      </c>
      <c r="E9" s="19">
        <v>5924933.9100000001</v>
      </c>
      <c r="F9" s="238">
        <v>18265118</v>
      </c>
      <c r="G9" s="322">
        <v>7663352.4700000007</v>
      </c>
      <c r="H9" s="434">
        <v>0</v>
      </c>
      <c r="I9" s="492"/>
      <c r="L9" s="551"/>
      <c r="M9" s="97"/>
    </row>
    <row r="10" spans="1:15" x14ac:dyDescent="0.25">
      <c r="A10" s="213" t="s">
        <v>10</v>
      </c>
      <c r="B10" s="19">
        <f t="shared" si="0"/>
        <v>54542598</v>
      </c>
      <c r="C10" s="19">
        <v>12156249</v>
      </c>
      <c r="D10" s="19">
        <v>10609889</v>
      </c>
      <c r="E10" s="19">
        <v>5905681</v>
      </c>
      <c r="F10" s="238">
        <v>18234708</v>
      </c>
      <c r="G10" s="322">
        <v>7636071</v>
      </c>
      <c r="H10" s="434">
        <v>0</v>
      </c>
      <c r="I10" s="492"/>
      <c r="J10" s="147"/>
      <c r="L10" s="552"/>
      <c r="O10" s="362"/>
    </row>
    <row r="11" spans="1:15" x14ac:dyDescent="0.25">
      <c r="A11" s="213" t="s">
        <v>11</v>
      </c>
      <c r="B11" s="578">
        <f t="shared" si="0"/>
        <v>46336894</v>
      </c>
      <c r="C11" s="578">
        <v>7872948.2100000028</v>
      </c>
      <c r="D11" s="578">
        <v>6927063.390000008</v>
      </c>
      <c r="E11" s="578">
        <v>3419833.0200000005</v>
      </c>
      <c r="F11" s="579">
        <v>22654193.419999994</v>
      </c>
      <c r="G11" s="580">
        <v>5458998.6000000061</v>
      </c>
      <c r="H11" s="577">
        <v>3857.06999998539</v>
      </c>
      <c r="I11" s="492"/>
      <c r="J11" s="147"/>
      <c r="K11" s="147"/>
    </row>
    <row r="12" spans="1:15" x14ac:dyDescent="0.25">
      <c r="A12" s="213" t="s">
        <v>12</v>
      </c>
      <c r="B12" s="578">
        <f t="shared" si="0"/>
        <v>60936123</v>
      </c>
      <c r="C12" s="578">
        <v>13292662.969999999</v>
      </c>
      <c r="D12" s="578">
        <v>12091224.050000004</v>
      </c>
      <c r="E12" s="578">
        <v>6607391.9000000022</v>
      </c>
      <c r="F12" s="579">
        <v>20635498.670000002</v>
      </c>
      <c r="G12" s="580">
        <v>8309345.469999996</v>
      </c>
      <c r="H12" s="577">
        <v>0</v>
      </c>
      <c r="I12" s="492"/>
    </row>
    <row r="13" spans="1:15" x14ac:dyDescent="0.25">
      <c r="A13" s="213" t="s">
        <v>13</v>
      </c>
      <c r="B13" s="578">
        <f t="shared" si="0"/>
        <v>51000720</v>
      </c>
      <c r="C13" s="578">
        <v>11380350.649999997</v>
      </c>
      <c r="D13" s="578">
        <v>9982234.680000009</v>
      </c>
      <c r="E13" s="578">
        <v>5440110.2200000025</v>
      </c>
      <c r="F13" s="579">
        <v>16990882.720000003</v>
      </c>
      <c r="G13" s="580">
        <v>7207141.4000000013</v>
      </c>
      <c r="H13" s="577">
        <v>0</v>
      </c>
      <c r="I13" s="492"/>
      <c r="K13" s="147"/>
    </row>
    <row r="14" spans="1:15" x14ac:dyDescent="0.25">
      <c r="A14" s="215" t="s">
        <v>25</v>
      </c>
      <c r="B14" s="19"/>
      <c r="C14" s="19"/>
      <c r="D14" s="19"/>
      <c r="E14" s="19"/>
      <c r="F14" s="238"/>
      <c r="G14" s="432"/>
      <c r="H14" s="435"/>
      <c r="I14" s="522"/>
    </row>
    <row r="15" spans="1:15" x14ac:dyDescent="0.25">
      <c r="A15" s="208" t="s">
        <v>34</v>
      </c>
      <c r="B15" s="68">
        <f>ROUND(SUM(C15:H15),0)</f>
        <v>552772730</v>
      </c>
      <c r="C15" s="68">
        <f>ROUND(SUM(C3:C14),0)</f>
        <v>116077632</v>
      </c>
      <c r="D15" s="68">
        <f t="shared" ref="D15:H15" si="1">ROUND(SUM(D3:D14),0)</f>
        <v>113297522</v>
      </c>
      <c r="E15" s="68">
        <f t="shared" si="1"/>
        <v>58358159</v>
      </c>
      <c r="F15" s="419">
        <f>ROUNDUP(SUM(F3:F14),0)</f>
        <v>192538232</v>
      </c>
      <c r="G15" s="433">
        <f t="shared" si="1"/>
        <v>73579999</v>
      </c>
      <c r="H15" s="436">
        <f t="shared" si="1"/>
        <v>-1078814</v>
      </c>
      <c r="I15" s="522"/>
      <c r="J15" s="147"/>
      <c r="K15" s="147"/>
    </row>
    <row r="16" spans="1:15" s="122" customFormat="1" x14ac:dyDescent="0.25">
      <c r="A16" s="209" t="s">
        <v>35</v>
      </c>
      <c r="B16" s="19">
        <v>605844642</v>
      </c>
      <c r="C16" s="734"/>
      <c r="D16" s="735"/>
      <c r="E16" s="735"/>
      <c r="F16" s="735"/>
      <c r="G16" s="735"/>
      <c r="H16" s="736"/>
      <c r="I16" s="522"/>
    </row>
    <row r="17" spans="1:13" ht="16.5" thickBot="1" x14ac:dyDescent="0.3">
      <c r="A17" s="216" t="s">
        <v>23</v>
      </c>
      <c r="B17" s="217">
        <f>B16-B15</f>
        <v>53071912</v>
      </c>
      <c r="C17" s="737"/>
      <c r="D17" s="738"/>
      <c r="E17" s="738"/>
      <c r="F17" s="738"/>
      <c r="G17" s="738"/>
      <c r="H17" s="739"/>
      <c r="I17" s="494"/>
    </row>
    <row r="18" spans="1:13" ht="15.75" hidden="1" customHeight="1" x14ac:dyDescent="0.25">
      <c r="A18" s="740" t="s">
        <v>24</v>
      </c>
      <c r="B18" s="741"/>
      <c r="C18" s="741"/>
      <c r="D18" s="741"/>
      <c r="E18" s="741"/>
      <c r="F18" s="741"/>
      <c r="G18" s="742"/>
      <c r="H18" s="557"/>
      <c r="I18" s="494"/>
    </row>
    <row r="19" spans="1:13" ht="12.75" hidden="1" customHeight="1" x14ac:dyDescent="0.25">
      <c r="A19" s="729" t="s">
        <v>132</v>
      </c>
      <c r="B19" s="730"/>
      <c r="C19" s="730"/>
      <c r="D19" s="730"/>
      <c r="E19" s="730"/>
      <c r="F19" s="730"/>
      <c r="G19" s="730"/>
      <c r="H19" s="556"/>
      <c r="I19" s="494"/>
    </row>
    <row r="20" spans="1:13" ht="12.75" hidden="1" customHeight="1" x14ac:dyDescent="0.25">
      <c r="A20" s="729" t="s">
        <v>129</v>
      </c>
      <c r="B20" s="730"/>
      <c r="C20" s="730"/>
      <c r="D20" s="730"/>
      <c r="E20" s="730"/>
      <c r="F20" s="730"/>
      <c r="G20" s="730"/>
      <c r="H20" s="556"/>
      <c r="I20" s="495"/>
    </row>
    <row r="21" spans="1:13" ht="12.75" hidden="1" customHeight="1" x14ac:dyDescent="0.25">
      <c r="A21" s="729" t="s">
        <v>131</v>
      </c>
      <c r="B21" s="730"/>
      <c r="C21" s="730"/>
      <c r="D21" s="730"/>
      <c r="E21" s="730"/>
      <c r="F21" s="730"/>
      <c r="G21" s="730"/>
      <c r="H21" s="556"/>
      <c r="I21" s="495"/>
    </row>
    <row r="22" spans="1:13" ht="16.5" thickBot="1" x14ac:dyDescent="0.3">
      <c r="A22" s="744"/>
      <c r="B22" s="745"/>
      <c r="C22" s="745"/>
      <c r="D22" s="745"/>
      <c r="E22" s="745"/>
      <c r="F22" s="745"/>
      <c r="G22" s="745"/>
      <c r="H22" s="745"/>
      <c r="I22" s="746"/>
    </row>
    <row r="23" spans="1:13" ht="16.5" thickBot="1" x14ac:dyDescent="0.3">
      <c r="A23" s="731" t="s">
        <v>318</v>
      </c>
      <c r="B23" s="732"/>
      <c r="C23" s="732"/>
      <c r="D23" s="732"/>
      <c r="E23" s="732"/>
      <c r="F23" s="732"/>
      <c r="G23" s="732"/>
      <c r="H23" s="732"/>
      <c r="I23" s="733"/>
    </row>
    <row r="24" spans="1:13" ht="47.25" x14ac:dyDescent="0.25">
      <c r="A24" s="219"/>
      <c r="B24" s="210" t="s">
        <v>39</v>
      </c>
      <c r="C24" s="211" t="s">
        <v>40</v>
      </c>
      <c r="D24" s="211" t="s">
        <v>294</v>
      </c>
      <c r="E24" s="211" t="s">
        <v>293</v>
      </c>
      <c r="F24" s="211" t="s">
        <v>42</v>
      </c>
      <c r="G24" s="211" t="s">
        <v>127</v>
      </c>
      <c r="H24" s="212" t="s">
        <v>41</v>
      </c>
      <c r="I24" s="422" t="s">
        <v>43</v>
      </c>
    </row>
    <row r="25" spans="1:13" x14ac:dyDescent="0.25">
      <c r="A25" s="220" t="s">
        <v>3</v>
      </c>
      <c r="B25" s="29">
        <f>SUM(C25:I25)</f>
        <v>1291778</v>
      </c>
      <c r="C25" s="29">
        <v>311908</v>
      </c>
      <c r="D25" s="351">
        <v>201968</v>
      </c>
      <c r="E25" s="29">
        <v>159684</v>
      </c>
      <c r="F25" s="29">
        <v>454039</v>
      </c>
      <c r="G25" s="29">
        <v>158133</v>
      </c>
      <c r="H25" s="3">
        <v>0</v>
      </c>
      <c r="I25" s="221">
        <v>6046</v>
      </c>
      <c r="J25" s="150"/>
    </row>
    <row r="26" spans="1:13" x14ac:dyDescent="0.25">
      <c r="A26" s="220" t="s">
        <v>4</v>
      </c>
      <c r="B26" s="29">
        <f t="shared" ref="B26:B35" si="2">SUM(C26:I26)</f>
        <v>1302422</v>
      </c>
      <c r="C26" s="29">
        <v>314840</v>
      </c>
      <c r="D26" s="29">
        <v>203407</v>
      </c>
      <c r="E26" s="29">
        <v>161379</v>
      </c>
      <c r="F26" s="29">
        <v>458137</v>
      </c>
      <c r="G26" s="29">
        <v>159538</v>
      </c>
      <c r="H26" s="3">
        <v>0</v>
      </c>
      <c r="I26" s="221">
        <v>5121</v>
      </c>
      <c r="J26" s="150"/>
    </row>
    <row r="27" spans="1:13" x14ac:dyDescent="0.25">
      <c r="A27" s="220" t="s">
        <v>5</v>
      </c>
      <c r="B27" s="29">
        <f t="shared" si="2"/>
        <v>1298709</v>
      </c>
      <c r="C27" s="29">
        <v>313764</v>
      </c>
      <c r="D27" s="29">
        <v>202392</v>
      </c>
      <c r="E27" s="29">
        <v>160879</v>
      </c>
      <c r="F27" s="29">
        <v>457526</v>
      </c>
      <c r="G27" s="29">
        <v>158771</v>
      </c>
      <c r="H27" s="3">
        <v>0</v>
      </c>
      <c r="I27" s="221">
        <v>5377</v>
      </c>
      <c r="J27" s="150"/>
    </row>
    <row r="28" spans="1:13" x14ac:dyDescent="0.25">
      <c r="A28" s="220" t="s">
        <v>6</v>
      </c>
      <c r="B28" s="29">
        <f t="shared" si="2"/>
        <v>1296218</v>
      </c>
      <c r="C28" s="29">
        <v>312470</v>
      </c>
      <c r="D28" s="29">
        <v>201632</v>
      </c>
      <c r="E28" s="29">
        <v>160829</v>
      </c>
      <c r="F28" s="29">
        <v>457567</v>
      </c>
      <c r="G28" s="29">
        <v>158343</v>
      </c>
      <c r="H28" s="3">
        <v>0</v>
      </c>
      <c r="I28" s="221">
        <v>5377</v>
      </c>
      <c r="J28" s="150"/>
    </row>
    <row r="29" spans="1:13" x14ac:dyDescent="0.25">
      <c r="A29" s="220" t="s">
        <v>7</v>
      </c>
      <c r="B29" s="29">
        <f t="shared" si="2"/>
        <v>1305548</v>
      </c>
      <c r="C29" s="29">
        <v>314945</v>
      </c>
      <c r="D29" s="29">
        <v>202735</v>
      </c>
      <c r="E29" s="29">
        <v>161856</v>
      </c>
      <c r="F29" s="29">
        <v>461027</v>
      </c>
      <c r="G29" s="29">
        <v>159523</v>
      </c>
      <c r="H29" s="3">
        <v>0</v>
      </c>
      <c r="I29" s="221">
        <v>5462</v>
      </c>
      <c r="J29" s="150"/>
      <c r="K29" s="17"/>
      <c r="M29" s="120"/>
    </row>
    <row r="30" spans="1:13" x14ac:dyDescent="0.25">
      <c r="A30" s="220" t="s">
        <v>8</v>
      </c>
      <c r="B30" s="29">
        <f t="shared" si="2"/>
        <v>1307884</v>
      </c>
      <c r="C30" s="29">
        <v>314849</v>
      </c>
      <c r="D30" s="29">
        <v>202513</v>
      </c>
      <c r="E30" s="29">
        <v>162277</v>
      </c>
      <c r="F30" s="29">
        <v>462242</v>
      </c>
      <c r="G30" s="29">
        <v>160436</v>
      </c>
      <c r="H30" s="3">
        <v>0</v>
      </c>
      <c r="I30" s="221">
        <v>5567</v>
      </c>
      <c r="J30" s="150"/>
      <c r="K30" s="17"/>
    </row>
    <row r="31" spans="1:13" x14ac:dyDescent="0.25">
      <c r="A31" s="220" t="s">
        <v>9</v>
      </c>
      <c r="B31" s="29">
        <f t="shared" si="2"/>
        <v>1308280</v>
      </c>
      <c r="C31" s="29">
        <v>314730</v>
      </c>
      <c r="D31" s="29">
        <v>202892</v>
      </c>
      <c r="E31" s="29">
        <v>162327</v>
      </c>
      <c r="F31" s="29">
        <v>462602</v>
      </c>
      <c r="G31" s="29">
        <v>160223</v>
      </c>
      <c r="H31" s="3">
        <v>0</v>
      </c>
      <c r="I31" s="221">
        <v>5506</v>
      </c>
      <c r="J31" s="150"/>
      <c r="K31" s="17"/>
    </row>
    <row r="32" spans="1:13" x14ac:dyDescent="0.25">
      <c r="A32" s="220" t="s">
        <v>10</v>
      </c>
      <c r="B32" s="29">
        <f t="shared" si="2"/>
        <v>1304516</v>
      </c>
      <c r="C32" s="29">
        <v>314018</v>
      </c>
      <c r="D32" s="29">
        <v>202797</v>
      </c>
      <c r="E32" s="29">
        <v>161640</v>
      </c>
      <c r="F32" s="29">
        <v>460960</v>
      </c>
      <c r="G32" s="29">
        <v>159920</v>
      </c>
      <c r="H32" s="3">
        <v>0</v>
      </c>
      <c r="I32" s="221">
        <v>5181</v>
      </c>
      <c r="J32" s="150"/>
      <c r="K32" s="17"/>
    </row>
    <row r="33" spans="1:16" x14ac:dyDescent="0.25">
      <c r="A33" s="220" t="s">
        <v>11</v>
      </c>
      <c r="B33" s="29">
        <f t="shared" si="2"/>
        <v>1324273</v>
      </c>
      <c r="C33" s="581">
        <v>315848</v>
      </c>
      <c r="D33" s="581">
        <v>203385</v>
      </c>
      <c r="E33" s="581">
        <v>161720</v>
      </c>
      <c r="F33" s="581">
        <v>462181</v>
      </c>
      <c r="G33" s="581">
        <v>160100</v>
      </c>
      <c r="H33" s="562">
        <v>0</v>
      </c>
      <c r="I33" s="582">
        <v>21039</v>
      </c>
      <c r="J33" s="150"/>
      <c r="K33" s="17"/>
    </row>
    <row r="34" spans="1:16" x14ac:dyDescent="0.25">
      <c r="A34" s="220" t="s">
        <v>12</v>
      </c>
      <c r="B34" s="29">
        <f t="shared" si="2"/>
        <v>1325183</v>
      </c>
      <c r="C34" s="581">
        <v>318220</v>
      </c>
      <c r="D34" s="581">
        <v>205266</v>
      </c>
      <c r="E34" s="581">
        <v>163218</v>
      </c>
      <c r="F34" s="581">
        <v>466059</v>
      </c>
      <c r="G34" s="581">
        <v>161343</v>
      </c>
      <c r="H34" s="562">
        <v>0</v>
      </c>
      <c r="I34" s="582">
        <v>11077</v>
      </c>
      <c r="J34" s="150"/>
    </row>
    <row r="35" spans="1:16" x14ac:dyDescent="0.25">
      <c r="A35" s="220" t="s">
        <v>13</v>
      </c>
      <c r="B35" s="29">
        <f t="shared" si="2"/>
        <v>1331306</v>
      </c>
      <c r="C35" s="581">
        <v>319151</v>
      </c>
      <c r="D35" s="581">
        <v>206242</v>
      </c>
      <c r="E35" s="581">
        <v>163506</v>
      </c>
      <c r="F35" s="581">
        <v>467557</v>
      </c>
      <c r="G35" s="581">
        <v>161757</v>
      </c>
      <c r="H35" s="562">
        <v>0</v>
      </c>
      <c r="I35" s="582">
        <v>13093</v>
      </c>
      <c r="J35" s="150"/>
    </row>
    <row r="36" spans="1:16" x14ac:dyDescent="0.25">
      <c r="A36" s="222" t="s">
        <v>25</v>
      </c>
      <c r="B36" s="29"/>
      <c r="C36" s="66"/>
      <c r="D36" s="66"/>
      <c r="E36" s="66"/>
      <c r="F36" s="66"/>
      <c r="G36" s="66"/>
      <c r="H36" s="420"/>
      <c r="I36" s="423"/>
      <c r="J36" s="150"/>
    </row>
    <row r="37" spans="1:16" x14ac:dyDescent="0.25">
      <c r="A37" s="208" t="s">
        <v>44</v>
      </c>
      <c r="B37" s="67">
        <f>ROUND(AVERAGE(B25:B36),0)</f>
        <v>1308738</v>
      </c>
      <c r="C37" s="67">
        <f t="shared" ref="C37:I37" si="3">ROUND(AVERAGE(C25:C36),0)</f>
        <v>314977</v>
      </c>
      <c r="D37" s="67">
        <f t="shared" si="3"/>
        <v>203203</v>
      </c>
      <c r="E37" s="67">
        <f t="shared" si="3"/>
        <v>161756</v>
      </c>
      <c r="F37" s="67">
        <f t="shared" si="3"/>
        <v>460900</v>
      </c>
      <c r="G37" s="67">
        <f t="shared" si="3"/>
        <v>159826</v>
      </c>
      <c r="H37" s="421"/>
      <c r="I37" s="424">
        <f t="shared" si="3"/>
        <v>8077</v>
      </c>
    </row>
    <row r="38" spans="1:16" ht="16.5" thickBot="1" x14ac:dyDescent="0.3">
      <c r="A38" s="223" t="s">
        <v>35</v>
      </c>
      <c r="B38" s="526">
        <v>1316550</v>
      </c>
      <c r="C38" s="747"/>
      <c r="D38" s="747"/>
      <c r="E38" s="747"/>
      <c r="F38" s="747"/>
      <c r="G38" s="747"/>
      <c r="H38" s="747"/>
      <c r="I38" s="748"/>
    </row>
    <row r="39" spans="1:16" x14ac:dyDescent="0.25">
      <c r="A39" s="749" t="s">
        <v>24</v>
      </c>
      <c r="B39" s="750"/>
      <c r="C39" s="750"/>
      <c r="D39" s="750"/>
      <c r="E39" s="750"/>
      <c r="F39" s="750"/>
      <c r="G39" s="750"/>
      <c r="H39" s="750"/>
      <c r="I39" s="751"/>
    </row>
    <row r="40" spans="1:16" x14ac:dyDescent="0.25">
      <c r="A40" s="752" t="s">
        <v>162</v>
      </c>
      <c r="B40" s="753"/>
      <c r="C40" s="753"/>
      <c r="D40" s="753"/>
      <c r="E40" s="753"/>
      <c r="F40" s="753"/>
      <c r="G40" s="753"/>
      <c r="H40" s="753"/>
      <c r="I40" s="754"/>
      <c r="K40" s="147"/>
    </row>
    <row r="41" spans="1:16" ht="25.5" customHeight="1" x14ac:dyDescent="0.25">
      <c r="A41" s="755" t="s">
        <v>256</v>
      </c>
      <c r="B41" s="756"/>
      <c r="C41" s="756"/>
      <c r="D41" s="756"/>
      <c r="E41" s="756"/>
      <c r="F41" s="756"/>
      <c r="G41" s="756"/>
      <c r="H41" s="756"/>
      <c r="I41" s="757"/>
      <c r="K41" s="147"/>
    </row>
    <row r="42" spans="1:16" ht="25.5" customHeight="1" thickBot="1" x14ac:dyDescent="0.3">
      <c r="A42" s="670" t="s">
        <v>356</v>
      </c>
      <c r="B42" s="671"/>
      <c r="C42" s="671"/>
      <c r="D42" s="671"/>
      <c r="E42" s="671"/>
      <c r="F42" s="671"/>
      <c r="G42" s="671"/>
      <c r="H42" s="671"/>
      <c r="I42" s="672"/>
    </row>
    <row r="43" spans="1:16" ht="50.25" customHeight="1" x14ac:dyDescent="0.25">
      <c r="A43" s="668"/>
      <c r="B43" s="668"/>
      <c r="C43" s="668"/>
      <c r="D43" s="668"/>
      <c r="E43" s="668"/>
      <c r="F43" s="668"/>
      <c r="G43" s="668"/>
      <c r="H43" s="668"/>
      <c r="I43" s="668"/>
    </row>
    <row r="44" spans="1:16" ht="14.25" customHeight="1" x14ac:dyDescent="0.25">
      <c r="A44" s="743"/>
      <c r="B44" s="743"/>
      <c r="C44" s="743"/>
      <c r="D44" s="743"/>
      <c r="E44" s="743"/>
      <c r="F44" s="743"/>
      <c r="G44" s="743"/>
      <c r="H44" s="743"/>
      <c r="I44" s="743"/>
      <c r="J44" s="151"/>
      <c r="K44" s="151"/>
      <c r="L44" s="151"/>
      <c r="M44" s="151"/>
      <c r="N44" s="151"/>
      <c r="O44" s="151"/>
      <c r="P44" s="15"/>
    </row>
    <row r="45" spans="1:16" x14ac:dyDescent="0.25">
      <c r="A45" s="15"/>
      <c r="B45" s="15"/>
      <c r="C45" s="15"/>
      <c r="D45" s="15"/>
      <c r="E45" s="15"/>
      <c r="F45" s="15"/>
      <c r="G45" s="15"/>
      <c r="H45" s="15"/>
      <c r="I45" s="15"/>
    </row>
    <row r="46" spans="1:16" x14ac:dyDescent="0.25">
      <c r="A46" s="15"/>
      <c r="B46" s="13"/>
      <c r="C46" s="614"/>
      <c r="D46" s="615"/>
      <c r="E46" s="615"/>
      <c r="F46" s="615"/>
      <c r="G46" s="615"/>
      <c r="H46" s="615"/>
      <c r="I46" s="15"/>
    </row>
    <row r="47" spans="1:16" x14ac:dyDescent="0.25">
      <c r="C47" s="429"/>
    </row>
    <row r="61" ht="37.5" customHeight="1" x14ac:dyDescent="0.25"/>
  </sheetData>
  <mergeCells count="15">
    <mergeCell ref="A43:I43"/>
    <mergeCell ref="A44:I44"/>
    <mergeCell ref="A22:I22"/>
    <mergeCell ref="A23:I23"/>
    <mergeCell ref="C38:I38"/>
    <mergeCell ref="A39:I39"/>
    <mergeCell ref="A40:I40"/>
    <mergeCell ref="A42:I42"/>
    <mergeCell ref="A41:I41"/>
    <mergeCell ref="A21:G21"/>
    <mergeCell ref="A1:H1"/>
    <mergeCell ref="C16:H17"/>
    <mergeCell ref="A18:G18"/>
    <mergeCell ref="A19:G19"/>
    <mergeCell ref="A20:G20"/>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110" zoomScaleNormal="100" zoomScaleSheetLayoutView="110" workbookViewId="0">
      <selection activeCell="G19" sqref="G19"/>
    </sheetView>
  </sheetViews>
  <sheetFormatPr defaultColWidth="9.140625" defaultRowHeight="15.75" x14ac:dyDescent="0.25"/>
  <cols>
    <col min="1" max="1" width="33.85546875" style="133" customWidth="1"/>
    <col min="2" max="2" width="38.140625" style="133" customWidth="1"/>
    <col min="3" max="3" width="18.5703125" style="133" customWidth="1"/>
    <col min="4" max="4" width="20.42578125" style="133" customWidth="1"/>
    <col min="5" max="5" width="19.5703125" style="133" customWidth="1"/>
    <col min="6" max="6" width="20" style="133" customWidth="1"/>
    <col min="7" max="7" width="17.42578125" style="133" bestFit="1" customWidth="1"/>
    <col min="8" max="8" width="12.85546875" style="133" bestFit="1" customWidth="1"/>
    <col min="9" max="9" width="12.5703125" style="133" bestFit="1" customWidth="1"/>
    <col min="10" max="10" width="9.7109375" style="133" bestFit="1" customWidth="1"/>
    <col min="11" max="11" width="12.28515625" style="133" bestFit="1" customWidth="1"/>
    <col min="12" max="12" width="11.5703125" style="133" bestFit="1" customWidth="1"/>
    <col min="13" max="14" width="9.140625" style="133"/>
    <col min="15" max="15" width="10.28515625" style="133" bestFit="1" customWidth="1"/>
    <col min="16" max="16384" width="9.140625" style="133"/>
  </cols>
  <sheetData>
    <row r="1" spans="1:15" ht="24.75" customHeight="1" x14ac:dyDescent="0.25">
      <c r="A1" s="758" t="s">
        <v>319</v>
      </c>
      <c r="B1" s="759"/>
      <c r="C1" s="759"/>
      <c r="D1" s="759"/>
      <c r="E1" s="760"/>
      <c r="F1" s="75"/>
    </row>
    <row r="2" spans="1:15" ht="32.25" customHeight="1" x14ac:dyDescent="0.25">
      <c r="A2" s="224"/>
      <c r="B2" s="542" t="s">
        <v>79</v>
      </c>
      <c r="C2" s="543" t="s">
        <v>104</v>
      </c>
      <c r="D2" s="544" t="s">
        <v>22</v>
      </c>
      <c r="E2" s="545" t="s">
        <v>105</v>
      </c>
      <c r="F2" s="134"/>
    </row>
    <row r="3" spans="1:15" x14ac:dyDescent="0.25">
      <c r="A3" s="220" t="s">
        <v>3</v>
      </c>
      <c r="B3" s="19">
        <f t="shared" ref="B3:B13" si="0">SUM(C3:E3)</f>
        <v>11626336.130000001</v>
      </c>
      <c r="C3" s="19">
        <v>9762999.8400000017</v>
      </c>
      <c r="D3" s="19">
        <v>1093770.3599999999</v>
      </c>
      <c r="E3" s="214">
        <v>769565.93</v>
      </c>
      <c r="F3" s="456"/>
      <c r="G3" s="135"/>
      <c r="H3" s="135"/>
      <c r="I3" s="135"/>
      <c r="J3" s="136"/>
      <c r="K3" s="137"/>
      <c r="L3" s="138"/>
    </row>
    <row r="4" spans="1:15" x14ac:dyDescent="0.25">
      <c r="A4" s="220" t="s">
        <v>4</v>
      </c>
      <c r="B4" s="19">
        <f t="shared" si="0"/>
        <v>12324460.65</v>
      </c>
      <c r="C4" s="19">
        <v>10448654.609999999</v>
      </c>
      <c r="D4" s="19">
        <v>1115003.0699999998</v>
      </c>
      <c r="E4" s="214">
        <v>760802.97</v>
      </c>
      <c r="F4" s="139"/>
      <c r="G4" s="135"/>
      <c r="H4" s="135"/>
      <c r="I4" s="135"/>
      <c r="J4" s="136"/>
      <c r="K4" s="137"/>
      <c r="L4" s="138"/>
    </row>
    <row r="5" spans="1:15" x14ac:dyDescent="0.25">
      <c r="A5" s="220" t="s">
        <v>5</v>
      </c>
      <c r="B5" s="19">
        <f t="shared" si="0"/>
        <v>13125882.91</v>
      </c>
      <c r="C5" s="19">
        <v>11201190.779999999</v>
      </c>
      <c r="D5" s="19">
        <v>1235957.22</v>
      </c>
      <c r="E5" s="214">
        <v>688734.90999999992</v>
      </c>
      <c r="F5" s="456"/>
      <c r="G5" s="135"/>
      <c r="H5" s="135"/>
      <c r="I5" s="135"/>
      <c r="J5" s="136"/>
      <c r="K5" s="137"/>
      <c r="L5" s="138"/>
    </row>
    <row r="6" spans="1:15" x14ac:dyDescent="0.25">
      <c r="A6" s="220" t="s">
        <v>6</v>
      </c>
      <c r="B6" s="19">
        <f t="shared" si="0"/>
        <v>12521123.569999998</v>
      </c>
      <c r="C6" s="19">
        <v>10549219.219999999</v>
      </c>
      <c r="D6" s="19">
        <v>1272220.6000000001</v>
      </c>
      <c r="E6" s="214">
        <v>699683.75</v>
      </c>
      <c r="F6" s="456"/>
      <c r="G6" s="135"/>
      <c r="H6" s="135"/>
      <c r="I6" s="135"/>
      <c r="J6" s="136"/>
      <c r="K6" s="137"/>
      <c r="L6" s="138"/>
    </row>
    <row r="7" spans="1:15" x14ac:dyDescent="0.25">
      <c r="A7" s="220" t="s">
        <v>7</v>
      </c>
      <c r="B7" s="19">
        <f t="shared" si="0"/>
        <v>12646667.520000001</v>
      </c>
      <c r="C7" s="19">
        <v>10797842.65</v>
      </c>
      <c r="D7" s="19">
        <v>1152212.6499999999</v>
      </c>
      <c r="E7" s="214">
        <v>696612.22</v>
      </c>
      <c r="F7" s="428"/>
      <c r="G7" s="135"/>
      <c r="H7" s="135"/>
      <c r="I7" s="135"/>
      <c r="J7" s="136"/>
      <c r="K7" s="137"/>
      <c r="L7" s="138"/>
    </row>
    <row r="8" spans="1:15" x14ac:dyDescent="0.25">
      <c r="A8" s="220" t="s">
        <v>8</v>
      </c>
      <c r="B8" s="19">
        <f t="shared" si="0"/>
        <v>13132090.790000001</v>
      </c>
      <c r="C8" s="19">
        <v>10792118.26</v>
      </c>
      <c r="D8" s="19">
        <v>1600979.79</v>
      </c>
      <c r="E8" s="214">
        <v>738992.74</v>
      </c>
      <c r="F8" s="456"/>
      <c r="G8" s="135"/>
      <c r="H8" s="135"/>
      <c r="I8" s="135"/>
      <c r="J8" s="136"/>
      <c r="K8" s="137"/>
      <c r="L8" s="138"/>
    </row>
    <row r="9" spans="1:15" x14ac:dyDescent="0.25">
      <c r="A9" s="220" t="s">
        <v>9</v>
      </c>
      <c r="B9" s="19">
        <f t="shared" si="0"/>
        <v>13452162.26</v>
      </c>
      <c r="C9" s="19">
        <v>11101155.16</v>
      </c>
      <c r="D9" s="19">
        <v>1562278.0000000002</v>
      </c>
      <c r="E9" s="214">
        <v>788729.1</v>
      </c>
      <c r="F9" s="456"/>
      <c r="G9" s="135"/>
      <c r="H9" s="135"/>
      <c r="I9" s="135"/>
      <c r="J9" s="136"/>
      <c r="K9" s="137"/>
      <c r="L9" s="138"/>
    </row>
    <row r="10" spans="1:15" x14ac:dyDescent="0.25">
      <c r="A10" s="220" t="s">
        <v>10</v>
      </c>
      <c r="B10" s="19">
        <f t="shared" si="0"/>
        <v>8918421.4287332688</v>
      </c>
      <c r="C10" s="19">
        <v>7508695.3210321013</v>
      </c>
      <c r="D10" s="19">
        <v>1190914.79</v>
      </c>
      <c r="E10" s="214">
        <v>218811.31770116597</v>
      </c>
      <c r="F10" s="139"/>
      <c r="G10" s="135"/>
      <c r="H10" s="135"/>
      <c r="I10" s="135"/>
      <c r="J10" s="136"/>
      <c r="K10" s="137"/>
      <c r="L10" s="138"/>
    </row>
    <row r="11" spans="1:15" x14ac:dyDescent="0.25">
      <c r="A11" s="220" t="s">
        <v>11</v>
      </c>
      <c r="B11" s="578">
        <f t="shared" si="0"/>
        <v>11444725.330000004</v>
      </c>
      <c r="C11" s="578">
        <v>10059956.940000003</v>
      </c>
      <c r="D11" s="578">
        <v>1384768.3900000001</v>
      </c>
      <c r="E11" s="583">
        <v>0</v>
      </c>
      <c r="F11" s="456"/>
      <c r="G11" s="135"/>
      <c r="H11" s="140"/>
      <c r="I11" s="135"/>
      <c r="J11" s="136"/>
      <c r="K11" s="137"/>
      <c r="L11" s="138"/>
    </row>
    <row r="12" spans="1:15" x14ac:dyDescent="0.25">
      <c r="A12" s="220" t="s">
        <v>12</v>
      </c>
      <c r="B12" s="578">
        <f t="shared" si="0"/>
        <v>14972372</v>
      </c>
      <c r="C12" s="578">
        <v>12270623</v>
      </c>
      <c r="D12" s="578">
        <v>1301749</v>
      </c>
      <c r="E12" s="583">
        <v>1400000</v>
      </c>
      <c r="F12" s="456"/>
      <c r="G12" s="135"/>
      <c r="H12" s="140"/>
      <c r="I12" s="135"/>
      <c r="J12" s="136"/>
      <c r="K12" s="137"/>
      <c r="L12" s="138"/>
      <c r="O12" s="138"/>
    </row>
    <row r="13" spans="1:15" x14ac:dyDescent="0.25">
      <c r="A13" s="220" t="s">
        <v>13</v>
      </c>
      <c r="B13" s="578">
        <f t="shared" si="0"/>
        <v>11568245</v>
      </c>
      <c r="C13" s="578">
        <v>11012998</v>
      </c>
      <c r="D13" s="578">
        <v>555247.00000000012</v>
      </c>
      <c r="E13" s="583">
        <v>0</v>
      </c>
      <c r="F13" s="456"/>
      <c r="G13" s="135"/>
      <c r="H13" s="140"/>
      <c r="I13" s="135"/>
      <c r="J13" s="136"/>
      <c r="K13" s="137"/>
      <c r="L13" s="138"/>
    </row>
    <row r="14" spans="1:15" x14ac:dyDescent="0.25">
      <c r="A14" s="222" t="s">
        <v>25</v>
      </c>
      <c r="B14" s="338"/>
      <c r="C14" s="65"/>
      <c r="D14" s="65"/>
      <c r="E14" s="226"/>
      <c r="F14" s="456"/>
      <c r="G14" s="135"/>
      <c r="H14" s="341"/>
      <c r="K14" s="142"/>
      <c r="L14" s="142"/>
    </row>
    <row r="15" spans="1:15" x14ac:dyDescent="0.25">
      <c r="A15" s="227" t="s">
        <v>34</v>
      </c>
      <c r="B15" s="24">
        <f>SUM(B3:B14)</f>
        <v>135732487.58873329</v>
      </c>
      <c r="C15" s="24">
        <f>SUM(C3:C14)</f>
        <v>115505453.7810321</v>
      </c>
      <c r="D15" s="24">
        <f>SUM(D3:D14)</f>
        <v>13465100.870000001</v>
      </c>
      <c r="E15" s="228">
        <f>SUM(E3:E14)</f>
        <v>6761932.9377011647</v>
      </c>
      <c r="F15" s="143"/>
      <c r="G15" s="143"/>
      <c r="H15" s="97"/>
      <c r="I15" s="136"/>
    </row>
    <row r="16" spans="1:15" x14ac:dyDescent="0.25">
      <c r="A16" s="209" t="s">
        <v>35</v>
      </c>
      <c r="B16" s="19">
        <v>166010066</v>
      </c>
      <c r="C16" s="19"/>
      <c r="D16" s="19"/>
      <c r="E16" s="214"/>
      <c r="F16" s="144"/>
      <c r="G16" s="340"/>
    </row>
    <row r="17" spans="1:8" ht="16.5" thickBot="1" x14ac:dyDescent="0.3">
      <c r="A17" s="229" t="s">
        <v>23</v>
      </c>
      <c r="B17" s="217">
        <f>B16-B15</f>
        <v>30277578.411266714</v>
      </c>
      <c r="C17" s="230"/>
      <c r="D17" s="230"/>
      <c r="E17" s="231"/>
      <c r="F17" s="141"/>
    </row>
    <row r="18" spans="1:8" ht="12.75" customHeight="1" x14ac:dyDescent="0.25">
      <c r="A18" s="761" t="s">
        <v>24</v>
      </c>
      <c r="B18" s="762"/>
      <c r="C18" s="762"/>
      <c r="D18" s="762"/>
      <c r="E18" s="763"/>
      <c r="F18" s="141"/>
    </row>
    <row r="19" spans="1:8" ht="27.75" customHeight="1" x14ac:dyDescent="0.25">
      <c r="A19" s="667" t="s">
        <v>352</v>
      </c>
      <c r="B19" s="668"/>
      <c r="C19" s="668"/>
      <c r="D19" s="668"/>
      <c r="E19" s="669"/>
      <c r="F19" s="141"/>
      <c r="H19" s="569"/>
    </row>
    <row r="20" spans="1:8" s="145" customFormat="1" ht="42" customHeight="1" thickBot="1" x14ac:dyDescent="0.3">
      <c r="A20" s="670" t="s">
        <v>357</v>
      </c>
      <c r="B20" s="671"/>
      <c r="C20" s="671"/>
      <c r="D20" s="671"/>
      <c r="E20" s="672"/>
      <c r="F20" s="134"/>
      <c r="G20" s="153"/>
      <c r="H20" s="569"/>
    </row>
    <row r="21" spans="1:8" x14ac:dyDescent="0.25">
      <c r="A21" s="690"/>
      <c r="B21" s="690"/>
      <c r="C21" s="690"/>
      <c r="D21" s="690"/>
      <c r="E21" s="690"/>
    </row>
    <row r="22" spans="1:8" ht="26.25" customHeight="1" x14ac:dyDescent="0.25">
      <c r="A22" s="764"/>
      <c r="B22" s="764"/>
      <c r="C22" s="764"/>
      <c r="D22" s="764"/>
      <c r="E22" s="764"/>
      <c r="F22" s="337"/>
    </row>
    <row r="23" spans="1:8" x14ac:dyDescent="0.25">
      <c r="A23" s="141"/>
      <c r="B23" s="341"/>
      <c r="C23" s="141"/>
      <c r="D23" s="141"/>
      <c r="E23" s="141"/>
    </row>
    <row r="24" spans="1:8" x14ac:dyDescent="0.25">
      <c r="A24" s="141"/>
      <c r="B24" s="141"/>
      <c r="C24" s="141"/>
      <c r="D24" s="141"/>
      <c r="E24" s="141"/>
    </row>
    <row r="25" spans="1:8" x14ac:dyDescent="0.25">
      <c r="A25" s="141"/>
      <c r="B25" s="141"/>
      <c r="C25" s="141"/>
      <c r="D25" s="141"/>
      <c r="E25" s="141"/>
    </row>
    <row r="26" spans="1:8" x14ac:dyDescent="0.25">
      <c r="A26" s="141"/>
      <c r="B26" s="141"/>
      <c r="C26" s="341"/>
      <c r="D26" s="141"/>
      <c r="E26" s="141"/>
    </row>
    <row r="27" spans="1:8" x14ac:dyDescent="0.25">
      <c r="A27" s="141"/>
      <c r="B27" s="141"/>
      <c r="C27" s="341"/>
      <c r="D27" s="141"/>
      <c r="E27" s="141"/>
    </row>
    <row r="28" spans="1:8" x14ac:dyDescent="0.25">
      <c r="A28" s="141"/>
      <c r="B28" s="141"/>
      <c r="C28" s="341"/>
      <c r="D28" s="141"/>
      <c r="E28" s="141"/>
    </row>
    <row r="29" spans="1:8" x14ac:dyDescent="0.25">
      <c r="A29" s="141"/>
      <c r="B29" s="141"/>
      <c r="C29" s="341"/>
      <c r="D29" s="341"/>
      <c r="E29" s="141"/>
    </row>
    <row r="30" spans="1:8" x14ac:dyDescent="0.25">
      <c r="A30" s="141"/>
      <c r="B30" s="141"/>
      <c r="C30" s="341"/>
      <c r="D30" s="141"/>
      <c r="E30" s="141"/>
    </row>
    <row r="31" spans="1:8" x14ac:dyDescent="0.25">
      <c r="A31" s="141"/>
      <c r="B31" s="141"/>
      <c r="C31" s="341"/>
      <c r="D31" s="141"/>
      <c r="E31" s="141"/>
    </row>
    <row r="32" spans="1:8" x14ac:dyDescent="0.25">
      <c r="A32" s="612"/>
      <c r="B32" s="612"/>
      <c r="C32" s="613"/>
      <c r="D32" s="141"/>
      <c r="E32" s="141"/>
    </row>
    <row r="33" spans="1:5" x14ac:dyDescent="0.25">
      <c r="A33" s="141"/>
      <c r="B33" s="141"/>
      <c r="C33" s="341"/>
      <c r="D33" s="141"/>
      <c r="E33" s="141"/>
    </row>
    <row r="34" spans="1:5" x14ac:dyDescent="0.25">
      <c r="A34" s="141"/>
      <c r="B34" s="141"/>
      <c r="C34" s="341"/>
      <c r="D34" s="141"/>
      <c r="E34" s="141"/>
    </row>
    <row r="35" spans="1:5" x14ac:dyDescent="0.25">
      <c r="A35" s="141"/>
      <c r="B35" s="141"/>
      <c r="C35" s="141"/>
      <c r="D35" s="141"/>
      <c r="E35" s="141"/>
    </row>
    <row r="61" ht="37.5" customHeight="1" x14ac:dyDescent="0.25"/>
  </sheetData>
  <mergeCells count="6">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Expansion Expenditure</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Coutts, Beverly</cp:lastModifiedBy>
  <cp:lastPrinted>2017-06-15T21:52:58Z</cp:lastPrinted>
  <dcterms:created xsi:type="dcterms:W3CDTF">2003-06-04T15:46:14Z</dcterms:created>
  <dcterms:modified xsi:type="dcterms:W3CDTF">2017-06-15T21:53:33Z</dcterms:modified>
</cp:coreProperties>
</file>