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defaultThemeVersion="124226"/>
  <mc:AlternateContent xmlns:mc="http://schemas.openxmlformats.org/markup-compatibility/2006">
    <mc:Choice Requires="x15">
      <x15ac:absPath xmlns:x15ac="http://schemas.microsoft.com/office/spreadsheetml/2010/11/ac" url="S:\Monthly Reporting\JBC Monthly Reports\FY 2016-17\08 February 2017\"/>
    </mc:Choice>
  </mc:AlternateContent>
  <bookViews>
    <workbookView xWindow="0" yWindow="0" windowWidth="16200" windowHeight="12435" tabRatio="692" firstSheet="6" activeTab="13"/>
  </bookViews>
  <sheets>
    <sheet name="Premiums Expend" sheetId="22" r:id="rId1"/>
    <sheet name="Premiums Approp" sheetId="11" r:id="rId2"/>
    <sheet name="Hospital Supplemental Payments" sheetId="25" r:id="rId3"/>
    <sheet name="Expansion Expenditure" sheetId="28" state="hidden" r:id="rId4"/>
    <sheet name="Medicaid Caseload" sheetId="29" r:id="rId5"/>
    <sheet name="Caseload by Program" sheetId="26" r:id="rId6"/>
    <sheet name="ACC RCCO County" sheetId="27" r:id="rId7"/>
    <sheet name="MH Expend" sheetId="17" r:id="rId8"/>
    <sheet name="MH by BHO" sheetId="19" r:id="rId9"/>
    <sheet name="CBHP Expend" sheetId="12" r:id="rId10"/>
    <sheet name="CBHP Caseload" sheetId="15" r:id="rId11"/>
    <sheet name="DiDD Expend and Caseload" sheetId="24" r:id="rId12"/>
    <sheet name="OAP Expend and Caseload" sheetId="20" r:id="rId13"/>
    <sheet name="MMA Expend and Caseload" sheetId="21" r:id="rId14"/>
    <sheet name="Graph for Web- DO NOT PRINT" sheetId="23" state="hidden"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ra1" localSheetId="2">'[1]% Cost Covd'!#REF!</definedName>
    <definedName name="_ra1" localSheetId="4">'[1]% Cost Covd'!#REF!</definedName>
    <definedName name="_ra1">'[1]% Cost Covd'!#REF!</definedName>
    <definedName name="mec" localSheetId="2">'[1]% Cost Covd'!#REF!</definedName>
    <definedName name="mec" localSheetId="4">'[1]% Cost Covd'!#REF!</definedName>
    <definedName name="mec">'[1]% Cost Covd'!#REF!</definedName>
    <definedName name="MedEdCap" localSheetId="4">'[2]% Cost Covd'!#REF!</definedName>
    <definedName name="MedEdCap">'[2]% Cost Covd'!#REF!</definedName>
    <definedName name="mm">'[1]% Cost Covd'!#REF!</definedName>
    <definedName name="nn">'[1]% Cost Covd'!#REF!</definedName>
    <definedName name="_xlnm.Print_Area" localSheetId="6">'ACC RCCO County'!$B$2:$P$85</definedName>
    <definedName name="_xlnm.Print_Area" localSheetId="5">'Caseload by Program'!$A$1:$Q$121</definedName>
    <definedName name="_xlnm.Print_Area" localSheetId="10">'CBHP Caseload'!$B$1:$J$114</definedName>
    <definedName name="_xlnm.Print_Area" localSheetId="9">'CBHP Expend'!$A$1:$E$19</definedName>
    <definedName name="_xlnm.Print_Area" localSheetId="11">'DiDD Expend and Caseload'!$A$1:$Q$36</definedName>
    <definedName name="_xlnm.Print_Area" localSheetId="3">'Expansion Expenditure'!$B$2:$Q$39,'Expansion Expenditure'!$B$41:$Q$78,'Expansion Expenditure'!$B$80:$Q$117</definedName>
    <definedName name="_xlnm.Print_Area" localSheetId="2">'Hospital Supplemental Payments'!$A$2:$O$12</definedName>
    <definedName name="_xlnm.Print_Area" localSheetId="4">'Medicaid Caseload'!$B$1:$R$119</definedName>
    <definedName name="_xlnm.Print_Area" localSheetId="8">'MH by BHO'!$A$1:$I$41</definedName>
    <definedName name="_xlnm.Print_Area" localSheetId="7">'MH Expend'!$A$1:$D$19</definedName>
    <definedName name="_xlnm.Print_Area" localSheetId="13">'MMA Expend and Caseload'!$A$1:$C$21</definedName>
    <definedName name="_xlnm.Print_Area" localSheetId="12">'OAP Expend and Caseload'!$A$1:$C$34</definedName>
    <definedName name="_xlnm.Print_Area" localSheetId="1">'Premiums Approp'!$B$3:$C$12</definedName>
    <definedName name="_xlnm.Print_Area" localSheetId="0">'Premiums Expend'!$A$1:$O$60</definedName>
    <definedName name="_xlnm.Print_Titles" localSheetId="6">'ACC RCCO County'!$2:$3</definedName>
    <definedName name="_xlnm.Print_Titles" localSheetId="5">'Caseload by Program'!$2:$2</definedName>
    <definedName name="rahc" localSheetId="2">'[1]% Cost Covd'!#REF!</definedName>
    <definedName name="rahc">'[1]% Cost Covd'!#REF!</definedName>
    <definedName name="rcap1" localSheetId="2">'[1]% Cost Covd'!#REF!</definedName>
    <definedName name="rcap1">'[1]% Cost Covd'!#REF!</definedName>
    <definedName name="rcc" localSheetId="2">'[1]% Cost Covd'!#REF!</definedName>
    <definedName name="rcc">'[1]% Cost Covd'!#REF!</definedName>
    <definedName name="rr" localSheetId="2">'[1]% Cost Covd'!#REF!</definedName>
    <definedName name="rr">'[1]% Cost Covd'!#REF!</definedName>
    <definedName name="RurAncil1">'[2]% Cost Covd'!#REF!</definedName>
    <definedName name="RurAncilHospCap">'[2]% Cost Covd'!#REF!</definedName>
    <definedName name="RurCaptl1">'[2]% Cost Covd'!#REF!</definedName>
    <definedName name="RurCaptlHospCap">'[2]% Cost Covd'!#REF!</definedName>
    <definedName name="RurMeded1">'[2]% Cost Covd'!#REF!</definedName>
    <definedName name="RurMededHospCap">'[2]% Cost Covd'!#REF!</definedName>
    <definedName name="RurRout1">'[2]% Cost Covd'!#REF!</definedName>
    <definedName name="RurRoutHospCap">'[2]% Cost Covd'!#REF!</definedName>
    <definedName name="trwe">'[1]% Cost Covd'!#REF!</definedName>
  </definedNames>
  <calcPr calcId="171027"/>
</workbook>
</file>

<file path=xl/calcChain.xml><?xml version="1.0" encoding="utf-8"?>
<calcChain xmlns="http://schemas.openxmlformats.org/spreadsheetml/2006/main">
  <c r="G8" i="19" l="1"/>
  <c r="C8" i="19"/>
  <c r="H8" i="19"/>
  <c r="B9" i="19"/>
  <c r="F34" i="26"/>
  <c r="J100" i="15" l="1"/>
  <c r="F100" i="15"/>
  <c r="D95" i="26" l="1"/>
  <c r="E95" i="26"/>
  <c r="H95" i="26"/>
  <c r="L95" i="26"/>
  <c r="M95" i="26"/>
  <c r="N95" i="26"/>
  <c r="P95" i="26"/>
  <c r="C95" i="26"/>
  <c r="G95" i="26"/>
  <c r="K95" i="26"/>
  <c r="O95" i="26"/>
  <c r="B80" i="26"/>
  <c r="C80" i="26"/>
  <c r="D80" i="26"/>
  <c r="E80" i="26"/>
  <c r="F80" i="26"/>
  <c r="G80" i="26"/>
  <c r="H80" i="26"/>
  <c r="I80" i="26"/>
  <c r="J80" i="26"/>
  <c r="K80" i="26"/>
  <c r="L80" i="26"/>
  <c r="M80" i="26"/>
  <c r="N80" i="26"/>
  <c r="O80" i="26"/>
  <c r="P80" i="26"/>
  <c r="Q80" i="26"/>
  <c r="B66" i="26"/>
  <c r="C66" i="26"/>
  <c r="D66" i="26"/>
  <c r="E66" i="26"/>
  <c r="F66" i="26"/>
  <c r="G66" i="26"/>
  <c r="H66" i="26"/>
  <c r="I66" i="26"/>
  <c r="J66" i="26"/>
  <c r="K66" i="26"/>
  <c r="L66" i="26"/>
  <c r="M66" i="26"/>
  <c r="N66" i="26"/>
  <c r="O66" i="26"/>
  <c r="P66" i="26"/>
  <c r="Q66" i="26"/>
  <c r="B52" i="26"/>
  <c r="C52" i="26"/>
  <c r="D52" i="26"/>
  <c r="E52" i="26"/>
  <c r="F52" i="26"/>
  <c r="G52" i="26"/>
  <c r="H52" i="26"/>
  <c r="I52" i="26"/>
  <c r="J52" i="26"/>
  <c r="K52" i="26"/>
  <c r="L52" i="26"/>
  <c r="M52" i="26"/>
  <c r="N52" i="26"/>
  <c r="O52" i="26"/>
  <c r="P52" i="26"/>
  <c r="Q52" i="26"/>
  <c r="B38" i="26"/>
  <c r="C38" i="26"/>
  <c r="D38" i="26"/>
  <c r="E38" i="26"/>
  <c r="F38" i="26"/>
  <c r="G38" i="26"/>
  <c r="H38" i="26"/>
  <c r="I38" i="26"/>
  <c r="J38" i="26"/>
  <c r="K38" i="26"/>
  <c r="L38" i="26"/>
  <c r="M38" i="26"/>
  <c r="N38" i="26"/>
  <c r="O38" i="26"/>
  <c r="P38" i="26"/>
  <c r="Q38" i="26"/>
  <c r="B24" i="26"/>
  <c r="B10" i="26" s="1"/>
  <c r="C24" i="26"/>
  <c r="C10" i="26" s="1"/>
  <c r="D24" i="26"/>
  <c r="D10" i="26" s="1"/>
  <c r="E24" i="26"/>
  <c r="E10" i="26" s="1"/>
  <c r="F24" i="26"/>
  <c r="F10" i="26" s="1"/>
  <c r="G24" i="26"/>
  <c r="G10" i="26" s="1"/>
  <c r="H24" i="26"/>
  <c r="H10" i="26" s="1"/>
  <c r="I24" i="26"/>
  <c r="I10" i="26" s="1"/>
  <c r="J24" i="26"/>
  <c r="J10" i="26" s="1"/>
  <c r="K24" i="26"/>
  <c r="K10" i="26" s="1"/>
  <c r="L24" i="26"/>
  <c r="L10" i="26" s="1"/>
  <c r="M24" i="26"/>
  <c r="M10" i="26" s="1"/>
  <c r="N24" i="26"/>
  <c r="N10" i="26" s="1"/>
  <c r="O24" i="26"/>
  <c r="O10" i="26" s="1"/>
  <c r="P24" i="26"/>
  <c r="P10" i="26" s="1"/>
  <c r="Q24" i="26" l="1"/>
  <c r="Q95" i="26"/>
  <c r="J95" i="26"/>
  <c r="F95" i="26"/>
  <c r="B95" i="26"/>
  <c r="I95" i="26"/>
  <c r="J4" i="27"/>
  <c r="J5" i="27"/>
  <c r="J6" i="27"/>
  <c r="J7" i="27"/>
  <c r="J8" i="27"/>
  <c r="J9" i="27"/>
  <c r="J10" i="27"/>
  <c r="J11" i="27"/>
  <c r="J12" i="27"/>
  <c r="J13" i="27"/>
  <c r="J14" i="27"/>
  <c r="J15" i="27"/>
  <c r="J16" i="27"/>
  <c r="J17" i="27"/>
  <c r="J18" i="27"/>
  <c r="J19" i="27"/>
  <c r="J20" i="27"/>
  <c r="J21" i="27"/>
  <c r="J22" i="27"/>
  <c r="J23" i="27"/>
  <c r="J24" i="27"/>
  <c r="J25" i="27"/>
  <c r="J26" i="27"/>
  <c r="J28" i="27"/>
  <c r="J29" i="27"/>
  <c r="J30" i="27"/>
  <c r="J31" i="27"/>
  <c r="J32" i="27"/>
  <c r="J33" i="27"/>
  <c r="J34" i="27"/>
  <c r="J35" i="27"/>
  <c r="J36" i="27"/>
  <c r="J37" i="27"/>
  <c r="J38" i="27"/>
  <c r="J40" i="27"/>
  <c r="J41" i="27"/>
  <c r="J44" i="27" s="1"/>
  <c r="J42" i="27"/>
  <c r="J43" i="27"/>
  <c r="J45" i="27"/>
  <c r="J46" i="27"/>
  <c r="J47" i="27"/>
  <c r="J48" i="27"/>
  <c r="J49" i="27"/>
  <c r="J50" i="27"/>
  <c r="J51" i="27"/>
  <c r="J52" i="27"/>
  <c r="J53" i="27"/>
  <c r="J54" i="27"/>
  <c r="J55" i="27"/>
  <c r="J56" i="27"/>
  <c r="J57" i="27"/>
  <c r="J58" i="27"/>
  <c r="J59" i="27"/>
  <c r="J60" i="27"/>
  <c r="J61" i="27"/>
  <c r="J62" i="27"/>
  <c r="J63" i="27"/>
  <c r="J64" i="27"/>
  <c r="J66" i="27"/>
  <c r="J67" i="27"/>
  <c r="J69" i="27"/>
  <c r="J70" i="27"/>
  <c r="J71" i="27"/>
  <c r="J72" i="27"/>
  <c r="J73" i="27"/>
  <c r="J74" i="27"/>
  <c r="J76" i="27"/>
  <c r="J77" i="27"/>
  <c r="J78" i="27"/>
  <c r="J79" i="27"/>
  <c r="J80" i="27"/>
  <c r="J65" i="27" l="1"/>
  <c r="J68" i="27"/>
  <c r="J27" i="27"/>
  <c r="J81" i="27"/>
  <c r="J75" i="27"/>
  <c r="J39" i="27"/>
  <c r="R100" i="29"/>
  <c r="Q10" i="26" s="1"/>
  <c r="J83" i="27" l="1"/>
  <c r="I17" i="22"/>
  <c r="I3" i="22"/>
  <c r="I10" i="22"/>
  <c r="I14" i="22"/>
  <c r="I34" i="22"/>
  <c r="I29" i="22"/>
  <c r="I26" i="22"/>
  <c r="I25" i="22"/>
  <c r="I15" i="22"/>
  <c r="I7" i="22"/>
  <c r="I35" i="22"/>
  <c r="I46" i="22"/>
  <c r="I51" i="22"/>
  <c r="I38" i="22"/>
  <c r="I11" i="25" l="1"/>
  <c r="I4" i="25" l="1"/>
  <c r="I5" i="25"/>
  <c r="I6" i="25"/>
  <c r="I7" i="25"/>
  <c r="I8" i="25" l="1"/>
  <c r="I12" i="25" l="1"/>
  <c r="B21" i="20" l="1"/>
  <c r="B9" i="12"/>
  <c r="B31" i="19"/>
  <c r="I31" i="19" s="1"/>
  <c r="D9" i="17"/>
  <c r="C9" i="17"/>
  <c r="I4" i="22"/>
  <c r="I5" i="22"/>
  <c r="I6" i="22"/>
  <c r="I8" i="22"/>
  <c r="I9" i="22"/>
  <c r="I11" i="22"/>
  <c r="I12" i="22"/>
  <c r="I13" i="22"/>
  <c r="I16" i="22"/>
  <c r="I18" i="22"/>
  <c r="I19" i="22"/>
  <c r="I20" i="22"/>
  <c r="I21" i="22"/>
  <c r="I24" i="22"/>
  <c r="I27" i="22"/>
  <c r="I28" i="22"/>
  <c r="I30" i="22"/>
  <c r="I31" i="22"/>
  <c r="I32" i="22"/>
  <c r="I33" i="22"/>
  <c r="I22" i="22"/>
  <c r="I36" i="22"/>
  <c r="I39" i="22"/>
  <c r="I40" i="22"/>
  <c r="I41" i="22"/>
  <c r="I42" i="22"/>
  <c r="I44" i="22"/>
  <c r="I45" i="22"/>
  <c r="I48" i="22"/>
  <c r="I49" i="22"/>
  <c r="I50" i="22"/>
  <c r="I52" i="22"/>
  <c r="I53" i="22"/>
  <c r="I54" i="22"/>
  <c r="I55" i="22"/>
  <c r="B9" i="17" l="1"/>
  <c r="I43" i="22"/>
  <c r="I47" i="22"/>
  <c r="I56" i="22"/>
  <c r="I37" i="22"/>
  <c r="I23" i="22"/>
  <c r="C7" i="21" l="1"/>
  <c r="B8" i="12" l="1"/>
  <c r="D8" i="19"/>
  <c r="E8" i="19"/>
  <c r="F8" i="19"/>
  <c r="Q94" i="26"/>
  <c r="Q93" i="26"/>
  <c r="Q92" i="26"/>
  <c r="Q91" i="26"/>
  <c r="Q90" i="26"/>
  <c r="Q89" i="26"/>
  <c r="I22" i="27" l="1"/>
  <c r="I18" i="27"/>
  <c r="I14" i="27"/>
  <c r="I10" i="27"/>
  <c r="I6" i="27"/>
  <c r="I42" i="27"/>
  <c r="I25" i="27"/>
  <c r="I21" i="27"/>
  <c r="I17" i="27"/>
  <c r="I13" i="27"/>
  <c r="I9" i="27"/>
  <c r="I5" i="27"/>
  <c r="I41" i="27"/>
  <c r="I24" i="27"/>
  <c r="I20" i="27"/>
  <c r="I16" i="27"/>
  <c r="I12" i="27"/>
  <c r="I8" i="27"/>
  <c r="I40" i="27"/>
  <c r="I4" i="27"/>
  <c r="I23" i="27"/>
  <c r="I19" i="27"/>
  <c r="I15" i="27"/>
  <c r="I11" i="27"/>
  <c r="I7" i="27"/>
  <c r="I76" i="27"/>
  <c r="I77" i="27"/>
  <c r="I79" i="27"/>
  <c r="I78" i="27"/>
  <c r="I73" i="27"/>
  <c r="I72" i="27"/>
  <c r="I69" i="27"/>
  <c r="I71" i="27"/>
  <c r="I70" i="27"/>
  <c r="I66" i="27"/>
  <c r="I60" i="27"/>
  <c r="I56" i="27"/>
  <c r="I52" i="27"/>
  <c r="I63" i="27"/>
  <c r="I59" i="27"/>
  <c r="I55" i="27"/>
  <c r="I51" i="27"/>
  <c r="I62" i="27"/>
  <c r="I58" i="27"/>
  <c r="I54" i="27"/>
  <c r="I61" i="27"/>
  <c r="I57" i="27"/>
  <c r="I53" i="27"/>
  <c r="I48" i="27"/>
  <c r="I47" i="27"/>
  <c r="I50" i="27"/>
  <c r="I46" i="27"/>
  <c r="I45" i="27"/>
  <c r="I49" i="27"/>
  <c r="I28" i="27"/>
  <c r="I35" i="27"/>
  <c r="I31" i="27"/>
  <c r="I34" i="27"/>
  <c r="I30" i="27"/>
  <c r="I37" i="27"/>
  <c r="I33" i="27"/>
  <c r="I29" i="27"/>
  <c r="I36" i="27"/>
  <c r="I32" i="27"/>
  <c r="I26" i="27" l="1"/>
  <c r="I27" i="27" s="1"/>
  <c r="I67" i="27"/>
  <c r="I68" i="27" s="1"/>
  <c r="I74" i="27"/>
  <c r="I75" i="27" s="1"/>
  <c r="I80" i="27"/>
  <c r="I81" i="27" s="1"/>
  <c r="I64" i="27"/>
  <c r="I65" i="27" s="1"/>
  <c r="I43" i="27"/>
  <c r="I44" i="27" s="1"/>
  <c r="I38" i="27"/>
  <c r="I39" i="27" s="1"/>
  <c r="C94" i="26"/>
  <c r="E94" i="26"/>
  <c r="F94" i="26"/>
  <c r="G94" i="26"/>
  <c r="H94" i="26"/>
  <c r="I94" i="26"/>
  <c r="J94" i="26"/>
  <c r="K94" i="26"/>
  <c r="L94" i="26"/>
  <c r="M94" i="26"/>
  <c r="N94" i="26"/>
  <c r="O94" i="26"/>
  <c r="P94" i="26"/>
  <c r="B37" i="26"/>
  <c r="C37" i="26"/>
  <c r="D37" i="26"/>
  <c r="E37" i="26"/>
  <c r="F37" i="26"/>
  <c r="G37" i="26"/>
  <c r="H37" i="26"/>
  <c r="I37" i="26"/>
  <c r="J37" i="26"/>
  <c r="K37" i="26"/>
  <c r="L37" i="26"/>
  <c r="M37" i="26"/>
  <c r="N37" i="26"/>
  <c r="O37" i="26"/>
  <c r="P37" i="26"/>
  <c r="Q37" i="26"/>
  <c r="B51" i="26"/>
  <c r="C51" i="26"/>
  <c r="D51" i="26"/>
  <c r="E51" i="26"/>
  <c r="F51" i="26"/>
  <c r="G51" i="26"/>
  <c r="H51" i="26"/>
  <c r="I51" i="26"/>
  <c r="J51" i="26"/>
  <c r="K51" i="26"/>
  <c r="L51" i="26"/>
  <c r="M51" i="26"/>
  <c r="N51" i="26"/>
  <c r="O51" i="26"/>
  <c r="P51" i="26"/>
  <c r="Q51" i="26"/>
  <c r="A65" i="26"/>
  <c r="B65" i="26"/>
  <c r="C65" i="26"/>
  <c r="D65" i="26"/>
  <c r="E65" i="26"/>
  <c r="F65" i="26"/>
  <c r="G65" i="26"/>
  <c r="H65" i="26"/>
  <c r="I65" i="26"/>
  <c r="J65" i="26"/>
  <c r="K65" i="26"/>
  <c r="L65" i="26"/>
  <c r="M65" i="26"/>
  <c r="N65" i="26"/>
  <c r="O65" i="26"/>
  <c r="P65" i="26"/>
  <c r="Q65" i="26"/>
  <c r="B79" i="26"/>
  <c r="C79" i="26"/>
  <c r="D79" i="26"/>
  <c r="E79" i="26"/>
  <c r="F79" i="26"/>
  <c r="G79" i="26"/>
  <c r="H79" i="26"/>
  <c r="I79" i="26"/>
  <c r="J79" i="26"/>
  <c r="K79" i="26"/>
  <c r="L79" i="26"/>
  <c r="M79" i="26"/>
  <c r="N79" i="26"/>
  <c r="O79" i="26"/>
  <c r="P79" i="26"/>
  <c r="Q79" i="26"/>
  <c r="D94" i="26"/>
  <c r="Q23" i="26" l="1"/>
  <c r="J23" i="26"/>
  <c r="J9" i="26" s="1"/>
  <c r="B23" i="26"/>
  <c r="B9" i="26" s="1"/>
  <c r="C23" i="26"/>
  <c r="C9" i="26" s="1"/>
  <c r="M23" i="26"/>
  <c r="M9" i="26" s="1"/>
  <c r="E23" i="26"/>
  <c r="E9" i="26" s="1"/>
  <c r="P23" i="26"/>
  <c r="P9" i="26" s="1"/>
  <c r="L23" i="26"/>
  <c r="L9" i="26" s="1"/>
  <c r="H23" i="26"/>
  <c r="H9" i="26" s="1"/>
  <c r="D23" i="26"/>
  <c r="D9" i="26" s="1"/>
  <c r="N23" i="26"/>
  <c r="N9" i="26" s="1"/>
  <c r="F23" i="26"/>
  <c r="F9" i="26" s="1"/>
  <c r="O23" i="26"/>
  <c r="O9" i="26" s="1"/>
  <c r="K23" i="26"/>
  <c r="K9" i="26" s="1"/>
  <c r="G23" i="26"/>
  <c r="G9" i="26" s="1"/>
  <c r="I23" i="26"/>
  <c r="I9" i="26" s="1"/>
  <c r="I83" i="27"/>
  <c r="B94" i="26"/>
  <c r="J99" i="15"/>
  <c r="F99" i="15"/>
  <c r="R99" i="29" l="1"/>
  <c r="B30" i="19" l="1"/>
  <c r="I30" i="19" s="1"/>
  <c r="Q9" i="26"/>
  <c r="B20" i="20"/>
  <c r="H4" i="25" l="1"/>
  <c r="H5" i="25"/>
  <c r="H6" i="25"/>
  <c r="H7" i="25"/>
  <c r="D8" i="17" l="1"/>
  <c r="C8" i="17"/>
  <c r="H26" i="22"/>
  <c r="H25" i="22"/>
  <c r="H24" i="22"/>
  <c r="H44" i="22"/>
  <c r="H46" i="22"/>
  <c r="H48" i="22"/>
  <c r="H51" i="22"/>
  <c r="H52" i="22"/>
  <c r="H3" i="22"/>
  <c r="B8" i="17" l="1"/>
  <c r="B8" i="19"/>
  <c r="H4" i="22"/>
  <c r="H5" i="22"/>
  <c r="H6" i="22"/>
  <c r="H7" i="22"/>
  <c r="H8" i="22"/>
  <c r="H9" i="22"/>
  <c r="H10" i="22"/>
  <c r="H11" i="22"/>
  <c r="H12" i="22"/>
  <c r="H13" i="22"/>
  <c r="H14" i="22"/>
  <c r="H15" i="22"/>
  <c r="H16" i="22"/>
  <c r="H17" i="22"/>
  <c r="H18" i="22"/>
  <c r="H19" i="22"/>
  <c r="H20" i="22"/>
  <c r="H21" i="22"/>
  <c r="H27" i="22"/>
  <c r="H28" i="22"/>
  <c r="H29" i="22"/>
  <c r="H30" i="22"/>
  <c r="H31" i="22"/>
  <c r="H32" i="22"/>
  <c r="H33" i="22"/>
  <c r="H34" i="22"/>
  <c r="H35" i="22"/>
  <c r="H22" i="22" s="1"/>
  <c r="H36" i="22"/>
  <c r="H38" i="22"/>
  <c r="H39" i="22"/>
  <c r="H40" i="22"/>
  <c r="H41" i="22"/>
  <c r="H42" i="22"/>
  <c r="H45" i="22"/>
  <c r="H47" i="22" s="1"/>
  <c r="H49" i="22"/>
  <c r="H50" i="22"/>
  <c r="H53" i="22"/>
  <c r="H54" i="22"/>
  <c r="H55" i="22"/>
  <c r="H56" i="22" l="1"/>
  <c r="H43" i="22"/>
  <c r="H37" i="22"/>
  <c r="H23" i="22"/>
  <c r="H58" i="22" l="1"/>
  <c r="C6" i="21" l="1"/>
  <c r="B78" i="26" l="1"/>
  <c r="C78" i="26"/>
  <c r="D78" i="26"/>
  <c r="E78" i="26"/>
  <c r="F78" i="26"/>
  <c r="G78" i="26"/>
  <c r="H78" i="26"/>
  <c r="I78" i="26"/>
  <c r="J78" i="26"/>
  <c r="K78" i="26"/>
  <c r="L78" i="26"/>
  <c r="M78" i="26"/>
  <c r="N78" i="26"/>
  <c r="O78" i="26"/>
  <c r="P78" i="26"/>
  <c r="Q78" i="26"/>
  <c r="B64" i="26"/>
  <c r="C64" i="26"/>
  <c r="D64" i="26"/>
  <c r="E64" i="26"/>
  <c r="F64" i="26"/>
  <c r="G64" i="26"/>
  <c r="H64" i="26"/>
  <c r="I64" i="26"/>
  <c r="J64" i="26"/>
  <c r="K64" i="26"/>
  <c r="L64" i="26"/>
  <c r="M64" i="26"/>
  <c r="N64" i="26"/>
  <c r="O64" i="26"/>
  <c r="P64" i="26"/>
  <c r="Q64" i="26"/>
  <c r="B50" i="26"/>
  <c r="C50" i="26"/>
  <c r="D50" i="26"/>
  <c r="E50" i="26"/>
  <c r="F50" i="26"/>
  <c r="G50" i="26"/>
  <c r="H50" i="26"/>
  <c r="I50" i="26"/>
  <c r="J50" i="26"/>
  <c r="K50" i="26"/>
  <c r="L50" i="26"/>
  <c r="M50" i="26"/>
  <c r="N50" i="26"/>
  <c r="O50" i="26"/>
  <c r="P50" i="26"/>
  <c r="Q50" i="26"/>
  <c r="B36" i="26"/>
  <c r="C36" i="26"/>
  <c r="D36" i="26"/>
  <c r="E36" i="26"/>
  <c r="F36" i="26"/>
  <c r="F22" i="26" s="1"/>
  <c r="F8" i="26" s="1"/>
  <c r="G36" i="26"/>
  <c r="G22" i="26" s="1"/>
  <c r="G8" i="26" s="1"/>
  <c r="H36" i="26"/>
  <c r="H22" i="26" s="1"/>
  <c r="H8" i="26" s="1"/>
  <c r="I36" i="26"/>
  <c r="I22" i="26" s="1"/>
  <c r="I8" i="26" s="1"/>
  <c r="J36" i="26"/>
  <c r="J22" i="26" s="1"/>
  <c r="J8" i="26" s="1"/>
  <c r="K36" i="26"/>
  <c r="K22" i="26" s="1"/>
  <c r="K8" i="26" s="1"/>
  <c r="L36" i="26"/>
  <c r="L22" i="26" s="1"/>
  <c r="L8" i="26" s="1"/>
  <c r="M36" i="26"/>
  <c r="M22" i="26" s="1"/>
  <c r="M8" i="26" s="1"/>
  <c r="N36" i="26"/>
  <c r="N22" i="26" s="1"/>
  <c r="N8" i="26" s="1"/>
  <c r="O36" i="26"/>
  <c r="O22" i="26" s="1"/>
  <c r="O8" i="26" s="1"/>
  <c r="P36" i="26"/>
  <c r="P22" i="26" s="1"/>
  <c r="P8" i="26" s="1"/>
  <c r="Q36" i="26"/>
  <c r="Q22" i="26" s="1"/>
  <c r="B22" i="26"/>
  <c r="B8" i="26" s="1"/>
  <c r="C22" i="26"/>
  <c r="C8" i="26" s="1"/>
  <c r="D22" i="26"/>
  <c r="D8" i="26" s="1"/>
  <c r="E22" i="26" l="1"/>
  <c r="E8" i="26" s="1"/>
  <c r="H4" i="27"/>
  <c r="H5" i="27"/>
  <c r="H6" i="27"/>
  <c r="H7" i="27"/>
  <c r="H8" i="27"/>
  <c r="H9" i="27"/>
  <c r="H10" i="27"/>
  <c r="H11" i="27"/>
  <c r="H12" i="27"/>
  <c r="H13" i="27"/>
  <c r="H14" i="27"/>
  <c r="H15" i="27"/>
  <c r="H16" i="27"/>
  <c r="H17" i="27"/>
  <c r="H18" i="27"/>
  <c r="H19" i="27"/>
  <c r="H20" i="27"/>
  <c r="H21" i="27"/>
  <c r="H22" i="27"/>
  <c r="H23" i="27"/>
  <c r="H24" i="27"/>
  <c r="H25" i="27"/>
  <c r="H26" i="27"/>
  <c r="H28" i="27"/>
  <c r="H29" i="27"/>
  <c r="H30" i="27"/>
  <c r="H31" i="27"/>
  <c r="H32" i="27"/>
  <c r="H33" i="27"/>
  <c r="H34" i="27"/>
  <c r="H35" i="27"/>
  <c r="H36" i="27"/>
  <c r="H37" i="27"/>
  <c r="H38" i="27"/>
  <c r="H40" i="27"/>
  <c r="H41" i="27"/>
  <c r="H42" i="27"/>
  <c r="H43" i="27"/>
  <c r="H45" i="27"/>
  <c r="H46" i="27"/>
  <c r="H47" i="27"/>
  <c r="H48" i="27"/>
  <c r="H49" i="27"/>
  <c r="H50" i="27"/>
  <c r="H51" i="27"/>
  <c r="H52" i="27"/>
  <c r="H53" i="27"/>
  <c r="H54" i="27"/>
  <c r="H55" i="27"/>
  <c r="H56" i="27"/>
  <c r="H57" i="27"/>
  <c r="H58" i="27"/>
  <c r="H59" i="27"/>
  <c r="H60" i="27"/>
  <c r="H61" i="27"/>
  <c r="H62" i="27"/>
  <c r="H63" i="27"/>
  <c r="H64" i="27"/>
  <c r="H66" i="27"/>
  <c r="H67" i="27"/>
  <c r="H69" i="27"/>
  <c r="H70" i="27"/>
  <c r="H71" i="27"/>
  <c r="H72" i="27"/>
  <c r="H73" i="27"/>
  <c r="H74" i="27"/>
  <c r="H76" i="27"/>
  <c r="H77" i="27"/>
  <c r="H78" i="27"/>
  <c r="H79" i="27"/>
  <c r="H80" i="27"/>
  <c r="H39" i="27" l="1"/>
  <c r="H81" i="27"/>
  <c r="H68" i="27"/>
  <c r="H65" i="27"/>
  <c r="H44" i="27"/>
  <c r="H75" i="27"/>
  <c r="H27" i="27"/>
  <c r="B93" i="26"/>
  <c r="C93" i="26"/>
  <c r="D93" i="26"/>
  <c r="E93" i="26"/>
  <c r="F93" i="26"/>
  <c r="G93" i="26"/>
  <c r="H93" i="26"/>
  <c r="I93" i="26"/>
  <c r="J93" i="26"/>
  <c r="K93" i="26"/>
  <c r="L93" i="26"/>
  <c r="M93" i="26"/>
  <c r="N93" i="26"/>
  <c r="O93" i="26"/>
  <c r="P93" i="26"/>
  <c r="H83" i="27" l="1"/>
  <c r="J98" i="15" l="1"/>
  <c r="F98" i="15"/>
  <c r="R98" i="29" l="1"/>
  <c r="Q8" i="26" l="1"/>
  <c r="B29" i="19"/>
  <c r="I29" i="19" s="1"/>
  <c r="G7" i="25"/>
  <c r="G6" i="25"/>
  <c r="G5" i="25"/>
  <c r="G4" i="25"/>
  <c r="B7" i="12"/>
  <c r="H7" i="19"/>
  <c r="G7" i="19"/>
  <c r="F7" i="19"/>
  <c r="E7" i="19"/>
  <c r="D7" i="19"/>
  <c r="C7" i="19"/>
  <c r="D7" i="17"/>
  <c r="C7" i="17"/>
  <c r="G3" i="22"/>
  <c r="G4" i="22"/>
  <c r="G5" i="22"/>
  <c r="G6" i="22"/>
  <c r="G7" i="22"/>
  <c r="G8" i="22"/>
  <c r="G9" i="22"/>
  <c r="G10" i="22"/>
  <c r="G11" i="22"/>
  <c r="G12" i="22"/>
  <c r="G13" i="22"/>
  <c r="G14" i="22"/>
  <c r="G15" i="22"/>
  <c r="G16" i="22"/>
  <c r="G17" i="22"/>
  <c r="G18" i="22"/>
  <c r="G19" i="22"/>
  <c r="G20" i="22"/>
  <c r="G21" i="22"/>
  <c r="G24" i="22"/>
  <c r="G25" i="22"/>
  <c r="G26" i="22"/>
  <c r="G27" i="22"/>
  <c r="G28" i="22"/>
  <c r="G29" i="22"/>
  <c r="G30" i="22"/>
  <c r="G31" i="22"/>
  <c r="G32" i="22"/>
  <c r="G33" i="22"/>
  <c r="G34" i="22"/>
  <c r="G35" i="22"/>
  <c r="G22" i="22" s="1"/>
  <c r="G36" i="22"/>
  <c r="G38" i="22"/>
  <c r="G39" i="22"/>
  <c r="G40" i="22"/>
  <c r="G41" i="22"/>
  <c r="G42" i="22"/>
  <c r="G44" i="22"/>
  <c r="G45" i="22"/>
  <c r="G46" i="22"/>
  <c r="G48" i="22"/>
  <c r="G49" i="22"/>
  <c r="G50" i="22"/>
  <c r="G51" i="22"/>
  <c r="G52" i="22"/>
  <c r="G53" i="22"/>
  <c r="G54" i="22"/>
  <c r="G55" i="22"/>
  <c r="B7" i="17" l="1"/>
  <c r="G43" i="22"/>
  <c r="G47" i="22"/>
  <c r="G56" i="22"/>
  <c r="G37" i="22"/>
  <c r="G23" i="22"/>
  <c r="B7" i="19"/>
  <c r="L107" i="29"/>
  <c r="G107" i="29"/>
  <c r="K107" i="29"/>
  <c r="G4" i="27" l="1"/>
  <c r="G5" i="27"/>
  <c r="G6" i="27"/>
  <c r="G7" i="27"/>
  <c r="G8" i="27"/>
  <c r="G9" i="27"/>
  <c r="G10" i="27"/>
  <c r="G11" i="27"/>
  <c r="G12" i="27"/>
  <c r="G13" i="27"/>
  <c r="G14" i="27"/>
  <c r="G15" i="27"/>
  <c r="G16" i="27"/>
  <c r="G17" i="27"/>
  <c r="G18" i="27"/>
  <c r="G19" i="27"/>
  <c r="G20" i="27"/>
  <c r="G21" i="27"/>
  <c r="G22" i="27"/>
  <c r="G23" i="27"/>
  <c r="G24" i="27"/>
  <c r="G25" i="27"/>
  <c r="G26" i="27"/>
  <c r="G28" i="27"/>
  <c r="G29" i="27"/>
  <c r="G30" i="27"/>
  <c r="G31" i="27"/>
  <c r="G32" i="27"/>
  <c r="G33" i="27"/>
  <c r="G34" i="27"/>
  <c r="G35" i="27"/>
  <c r="G36" i="27"/>
  <c r="G37" i="27"/>
  <c r="G38" i="27"/>
  <c r="G40" i="27"/>
  <c r="G41" i="27"/>
  <c r="G42" i="27"/>
  <c r="G43" i="27"/>
  <c r="G45" i="27"/>
  <c r="G46" i="27"/>
  <c r="G47" i="27"/>
  <c r="G48" i="27"/>
  <c r="G49" i="27"/>
  <c r="G50" i="27"/>
  <c r="G51" i="27"/>
  <c r="G52" i="27"/>
  <c r="G53" i="27"/>
  <c r="G54" i="27"/>
  <c r="G55" i="27"/>
  <c r="G56" i="27"/>
  <c r="G57" i="27"/>
  <c r="G58" i="27"/>
  <c r="G59" i="27"/>
  <c r="G60" i="27"/>
  <c r="G61" i="27"/>
  <c r="G62" i="27"/>
  <c r="G63" i="27"/>
  <c r="G64" i="27"/>
  <c r="G66" i="27"/>
  <c r="G67" i="27"/>
  <c r="G69" i="27"/>
  <c r="G70" i="27"/>
  <c r="G71" i="27"/>
  <c r="G72" i="27"/>
  <c r="G73" i="27"/>
  <c r="G74" i="27"/>
  <c r="G76" i="27"/>
  <c r="G77" i="27"/>
  <c r="G78" i="27"/>
  <c r="G79" i="27"/>
  <c r="G80" i="27"/>
  <c r="G81" i="27" l="1"/>
  <c r="G75" i="27"/>
  <c r="G27" i="27"/>
  <c r="G65" i="27"/>
  <c r="G44" i="27"/>
  <c r="G39" i="27"/>
  <c r="G68" i="27"/>
  <c r="C92" i="26"/>
  <c r="E92" i="26"/>
  <c r="G92" i="26"/>
  <c r="H92" i="26"/>
  <c r="K92" i="26"/>
  <c r="L92" i="26"/>
  <c r="M92" i="26"/>
  <c r="O92" i="26"/>
  <c r="P92" i="26"/>
  <c r="B92" i="26"/>
  <c r="F92" i="26"/>
  <c r="J92" i="26"/>
  <c r="N92" i="26"/>
  <c r="B77" i="26"/>
  <c r="C77" i="26"/>
  <c r="D77" i="26"/>
  <c r="E77" i="26"/>
  <c r="F77" i="26"/>
  <c r="G77" i="26"/>
  <c r="H77" i="26"/>
  <c r="I77" i="26"/>
  <c r="J77" i="26"/>
  <c r="K77" i="26"/>
  <c r="L77" i="26"/>
  <c r="M77" i="26"/>
  <c r="N77" i="26"/>
  <c r="O77" i="26"/>
  <c r="P77" i="26"/>
  <c r="Q77" i="26"/>
  <c r="B63" i="26"/>
  <c r="C63" i="26"/>
  <c r="D63" i="26"/>
  <c r="E63" i="26"/>
  <c r="F63" i="26"/>
  <c r="G63" i="26"/>
  <c r="H63" i="26"/>
  <c r="I63" i="26"/>
  <c r="J63" i="26"/>
  <c r="K63" i="26"/>
  <c r="L63" i="26"/>
  <c r="M63" i="26"/>
  <c r="N63" i="26"/>
  <c r="O63" i="26"/>
  <c r="P63" i="26"/>
  <c r="Q63" i="26"/>
  <c r="B49" i="26"/>
  <c r="C49" i="26"/>
  <c r="D49" i="26"/>
  <c r="E49" i="26"/>
  <c r="F49" i="26"/>
  <c r="G49" i="26"/>
  <c r="H49" i="26"/>
  <c r="I49" i="26"/>
  <c r="J49" i="26"/>
  <c r="K49" i="26"/>
  <c r="L49" i="26"/>
  <c r="M49" i="26"/>
  <c r="N49" i="26"/>
  <c r="O49" i="26"/>
  <c r="P49" i="26"/>
  <c r="Q49" i="26"/>
  <c r="B35" i="26"/>
  <c r="C35" i="26"/>
  <c r="D35" i="26"/>
  <c r="E35" i="26"/>
  <c r="F35" i="26"/>
  <c r="G35" i="26"/>
  <c r="H35" i="26"/>
  <c r="I35" i="26"/>
  <c r="J35" i="26"/>
  <c r="J21" i="26" s="1"/>
  <c r="J7" i="26" s="1"/>
  <c r="K35" i="26"/>
  <c r="K21" i="26" s="1"/>
  <c r="K7" i="26" s="1"/>
  <c r="L35" i="26"/>
  <c r="L21" i="26" s="1"/>
  <c r="L7" i="26" s="1"/>
  <c r="M35" i="26"/>
  <c r="M21" i="26" s="1"/>
  <c r="M7" i="26" s="1"/>
  <c r="N35" i="26"/>
  <c r="N21" i="26" s="1"/>
  <c r="N7" i="26" s="1"/>
  <c r="O35" i="26"/>
  <c r="O21" i="26" s="1"/>
  <c r="O7" i="26" s="1"/>
  <c r="P35" i="26"/>
  <c r="P21" i="26" s="1"/>
  <c r="P7" i="26" s="1"/>
  <c r="Q35" i="26"/>
  <c r="Q21" i="26" s="1"/>
  <c r="B21" i="26"/>
  <c r="B7" i="26" s="1"/>
  <c r="C21" i="26"/>
  <c r="C7" i="26" s="1"/>
  <c r="D21" i="26"/>
  <c r="D7" i="26" s="1"/>
  <c r="E21" i="26"/>
  <c r="E7" i="26" s="1"/>
  <c r="F21" i="26"/>
  <c r="F7" i="26" s="1"/>
  <c r="G21" i="26"/>
  <c r="G7" i="26" s="1"/>
  <c r="R97" i="29"/>
  <c r="I21" i="26" l="1"/>
  <c r="I7" i="26" s="1"/>
  <c r="Q7" i="26"/>
  <c r="G83" i="27"/>
  <c r="H21" i="26"/>
  <c r="H7" i="26" s="1"/>
  <c r="I92" i="26"/>
  <c r="D92" i="26"/>
  <c r="B28" i="19" l="1"/>
  <c r="I28" i="19" s="1"/>
  <c r="J97" i="15" l="1"/>
  <c r="F97" i="15"/>
  <c r="B6" i="12" l="1"/>
  <c r="B6" i="19" l="1"/>
  <c r="D6" i="17"/>
  <c r="C6" i="17"/>
  <c r="G8" i="25"/>
  <c r="G11" i="25"/>
  <c r="F11" i="25"/>
  <c r="B6" i="17" l="1"/>
  <c r="G12" i="25"/>
  <c r="F4" i="25"/>
  <c r="F5" i="25"/>
  <c r="F6" i="25"/>
  <c r="F7" i="25"/>
  <c r="F8" i="25" l="1"/>
  <c r="F12" i="25" l="1"/>
  <c r="F3" i="22"/>
  <c r="F4" i="22"/>
  <c r="F5" i="22"/>
  <c r="F6" i="22"/>
  <c r="F7" i="22"/>
  <c r="F8" i="22"/>
  <c r="F9" i="22"/>
  <c r="F10" i="22"/>
  <c r="F11" i="22"/>
  <c r="F12" i="22"/>
  <c r="F13" i="22"/>
  <c r="F14" i="22"/>
  <c r="F15" i="22"/>
  <c r="F16" i="22"/>
  <c r="F17" i="22"/>
  <c r="F18" i="22"/>
  <c r="F19" i="22"/>
  <c r="F20" i="22"/>
  <c r="F21" i="22"/>
  <c r="F24" i="22"/>
  <c r="F25" i="22"/>
  <c r="F26" i="22"/>
  <c r="F27" i="22"/>
  <c r="F28" i="22"/>
  <c r="F29" i="22"/>
  <c r="F30" i="22"/>
  <c r="F31" i="22"/>
  <c r="F32" i="22"/>
  <c r="F33" i="22"/>
  <c r="F34" i="22"/>
  <c r="F35" i="22"/>
  <c r="F36" i="22"/>
  <c r="F38" i="22"/>
  <c r="F39" i="22"/>
  <c r="F40" i="22"/>
  <c r="F41" i="22"/>
  <c r="F42" i="22"/>
  <c r="F44" i="22"/>
  <c r="F45" i="22"/>
  <c r="F46" i="22"/>
  <c r="F48" i="22"/>
  <c r="F49" i="22"/>
  <c r="F50" i="22"/>
  <c r="F51" i="22"/>
  <c r="F52" i="22"/>
  <c r="F53" i="22"/>
  <c r="F54" i="22"/>
  <c r="F55" i="22"/>
  <c r="F43" i="22" l="1"/>
  <c r="F56" i="22"/>
  <c r="F47" i="22"/>
  <c r="F37" i="22"/>
  <c r="F22" i="22"/>
  <c r="F23" i="22" s="1"/>
  <c r="E5" i="19" l="1"/>
  <c r="B17" i="20" l="1"/>
  <c r="B16" i="20"/>
  <c r="B15" i="20"/>
  <c r="I107" i="29" l="1"/>
  <c r="B75" i="26" l="1"/>
  <c r="C75" i="26"/>
  <c r="D75" i="26"/>
  <c r="E75" i="26"/>
  <c r="F75" i="26"/>
  <c r="G75" i="26"/>
  <c r="H75" i="26"/>
  <c r="I75" i="26"/>
  <c r="J75" i="26"/>
  <c r="K75" i="26"/>
  <c r="L75" i="26"/>
  <c r="M75" i="26"/>
  <c r="N75" i="26"/>
  <c r="O75" i="26"/>
  <c r="P75" i="26"/>
  <c r="Q75" i="26"/>
  <c r="B76" i="26"/>
  <c r="C76" i="26"/>
  <c r="D76" i="26"/>
  <c r="E76" i="26"/>
  <c r="F76" i="26"/>
  <c r="G76" i="26"/>
  <c r="H76" i="26"/>
  <c r="I76" i="26"/>
  <c r="J76" i="26"/>
  <c r="K76" i="26"/>
  <c r="L76" i="26"/>
  <c r="M76" i="26"/>
  <c r="N76" i="26"/>
  <c r="O76" i="26"/>
  <c r="P76" i="26"/>
  <c r="Q76" i="26"/>
  <c r="B5" i="12" l="1"/>
  <c r="J96" i="15" l="1"/>
  <c r="F96" i="15"/>
  <c r="F4" i="27" l="1"/>
  <c r="F5" i="27"/>
  <c r="F6" i="27"/>
  <c r="F7" i="27"/>
  <c r="F8" i="27"/>
  <c r="F9" i="27"/>
  <c r="F10" i="27"/>
  <c r="F11" i="27"/>
  <c r="F12" i="27"/>
  <c r="F13" i="27"/>
  <c r="F14" i="27"/>
  <c r="F15" i="27"/>
  <c r="F16" i="27"/>
  <c r="F17" i="27"/>
  <c r="F18" i="27"/>
  <c r="F19" i="27"/>
  <c r="F20" i="27"/>
  <c r="F21" i="27"/>
  <c r="F22" i="27"/>
  <c r="F23" i="27"/>
  <c r="F24" i="27"/>
  <c r="F25" i="27"/>
  <c r="F26" i="27"/>
  <c r="F28" i="27"/>
  <c r="F29" i="27"/>
  <c r="F30" i="27"/>
  <c r="F31" i="27"/>
  <c r="F32" i="27"/>
  <c r="F33" i="27"/>
  <c r="F34" i="27"/>
  <c r="F35" i="27"/>
  <c r="F36" i="27"/>
  <c r="F37" i="27"/>
  <c r="F38" i="27"/>
  <c r="F40" i="27"/>
  <c r="F41" i="27"/>
  <c r="F42" i="27"/>
  <c r="F43" i="27"/>
  <c r="F45" i="27"/>
  <c r="F46" i="27"/>
  <c r="F47" i="27"/>
  <c r="F48" i="27"/>
  <c r="F49" i="27"/>
  <c r="F50" i="27"/>
  <c r="F51" i="27"/>
  <c r="F52" i="27"/>
  <c r="F53" i="27"/>
  <c r="F54" i="27"/>
  <c r="F55" i="27"/>
  <c r="F56" i="27"/>
  <c r="F57" i="27"/>
  <c r="F58" i="27"/>
  <c r="F59" i="27"/>
  <c r="F60" i="27"/>
  <c r="F61" i="27"/>
  <c r="F62" i="27"/>
  <c r="F63" i="27"/>
  <c r="F64" i="27"/>
  <c r="F66" i="27"/>
  <c r="F67" i="27"/>
  <c r="F69" i="27"/>
  <c r="F70" i="27"/>
  <c r="F71" i="27"/>
  <c r="F72" i="27"/>
  <c r="F73" i="27"/>
  <c r="F74" i="27"/>
  <c r="F76" i="27"/>
  <c r="F77" i="27"/>
  <c r="F78" i="27"/>
  <c r="F79" i="27"/>
  <c r="F80" i="27"/>
  <c r="B62" i="26"/>
  <c r="C62" i="26"/>
  <c r="D62" i="26"/>
  <c r="E62" i="26"/>
  <c r="F62" i="26"/>
  <c r="G62" i="26"/>
  <c r="H62" i="26"/>
  <c r="I62" i="26"/>
  <c r="J62" i="26"/>
  <c r="K62" i="26"/>
  <c r="L62" i="26"/>
  <c r="M62" i="26"/>
  <c r="N62" i="26"/>
  <c r="O62" i="26"/>
  <c r="P62" i="26"/>
  <c r="Q62" i="26"/>
  <c r="B48" i="26"/>
  <c r="C48" i="26"/>
  <c r="D48" i="26"/>
  <c r="E48" i="26"/>
  <c r="F48" i="26"/>
  <c r="F20" i="26" s="1"/>
  <c r="F6" i="26" s="1"/>
  <c r="G48" i="26"/>
  <c r="H48" i="26"/>
  <c r="I48" i="26"/>
  <c r="J48" i="26"/>
  <c r="K48" i="26"/>
  <c r="K20" i="26" s="1"/>
  <c r="K6" i="26" s="1"/>
  <c r="L48" i="26"/>
  <c r="M48" i="26"/>
  <c r="N48" i="26"/>
  <c r="O48" i="26"/>
  <c r="P48" i="26"/>
  <c r="Q48" i="26"/>
  <c r="B34" i="26"/>
  <c r="B20" i="26" s="1"/>
  <c r="B6" i="26" s="1"/>
  <c r="C34" i="26"/>
  <c r="C20" i="26" s="1"/>
  <c r="C6" i="26" s="1"/>
  <c r="D34" i="26"/>
  <c r="D20" i="26" s="1"/>
  <c r="D6" i="26" s="1"/>
  <c r="E34" i="26"/>
  <c r="E20" i="26" s="1"/>
  <c r="E6" i="26" s="1"/>
  <c r="G34" i="26"/>
  <c r="H34" i="26"/>
  <c r="H20" i="26" s="1"/>
  <c r="H6" i="26" s="1"/>
  <c r="I34" i="26"/>
  <c r="J34" i="26"/>
  <c r="K34" i="26"/>
  <c r="L34" i="26"/>
  <c r="L20" i="26" s="1"/>
  <c r="L6" i="26" s="1"/>
  <c r="M34" i="26"/>
  <c r="N34" i="26"/>
  <c r="O34" i="26"/>
  <c r="P34" i="26"/>
  <c r="P20" i="26" s="1"/>
  <c r="P6" i="26" s="1"/>
  <c r="Q34" i="26"/>
  <c r="G20" i="26"/>
  <c r="G6" i="26" s="1"/>
  <c r="O20" i="26"/>
  <c r="O6" i="26" s="1"/>
  <c r="R96" i="29"/>
  <c r="M20" i="26" l="1"/>
  <c r="M6" i="26" s="1"/>
  <c r="I20" i="26"/>
  <c r="I6" i="26" s="1"/>
  <c r="N20" i="26"/>
  <c r="N6" i="26" s="1"/>
  <c r="J20" i="26"/>
  <c r="J6" i="26" s="1"/>
  <c r="Q20" i="26"/>
  <c r="Q6" i="26" s="1"/>
  <c r="F44" i="27"/>
  <c r="B27" i="19"/>
  <c r="I27" i="19" s="1"/>
  <c r="F81" i="27"/>
  <c r="F68" i="27"/>
  <c r="F65" i="27"/>
  <c r="F27" i="27"/>
  <c r="F39" i="27"/>
  <c r="F75" i="27"/>
  <c r="F83" i="27" l="1"/>
  <c r="E4" i="25"/>
  <c r="E5" i="25"/>
  <c r="E6" i="25"/>
  <c r="E7" i="25"/>
  <c r="H5" i="19" l="1"/>
  <c r="G5" i="19"/>
  <c r="F5" i="19"/>
  <c r="D5" i="19"/>
  <c r="C5" i="19"/>
  <c r="D5" i="17"/>
  <c r="C5" i="17"/>
  <c r="E34" i="22"/>
  <c r="E29" i="22"/>
  <c r="E15" i="22"/>
  <c r="E9" i="22"/>
  <c r="E7" i="22"/>
  <c r="E35" i="22"/>
  <c r="E41" i="22"/>
  <c r="E38" i="22"/>
  <c r="E25" i="22"/>
  <c r="E24" i="22"/>
  <c r="E3" i="22"/>
  <c r="E4" i="22"/>
  <c r="E5" i="22"/>
  <c r="E6" i="22"/>
  <c r="E8" i="22"/>
  <c r="E10" i="22"/>
  <c r="E11" i="22"/>
  <c r="E12" i="22"/>
  <c r="E13" i="22"/>
  <c r="E14" i="22"/>
  <c r="E16" i="22"/>
  <c r="E17" i="22"/>
  <c r="E18" i="22"/>
  <c r="E19" i="22"/>
  <c r="E20" i="22"/>
  <c r="E21" i="22"/>
  <c r="E26" i="22"/>
  <c r="E27" i="22"/>
  <c r="E28" i="22"/>
  <c r="E30" i="22"/>
  <c r="E31" i="22"/>
  <c r="E32" i="22"/>
  <c r="E33" i="22"/>
  <c r="E36" i="22"/>
  <c r="E39" i="22"/>
  <c r="E40" i="22"/>
  <c r="E42" i="22"/>
  <c r="E44" i="22"/>
  <c r="E45" i="22"/>
  <c r="E46" i="22"/>
  <c r="E48" i="22"/>
  <c r="E49" i="22"/>
  <c r="E50" i="22"/>
  <c r="E51" i="22"/>
  <c r="E52" i="22"/>
  <c r="E53" i="22"/>
  <c r="E54" i="22"/>
  <c r="E55" i="22"/>
  <c r="B5" i="19" l="1"/>
  <c r="B5" i="17"/>
  <c r="E47" i="22"/>
  <c r="E56" i="22"/>
  <c r="E43" i="22"/>
  <c r="E22" i="22" l="1"/>
  <c r="E23" i="22" s="1"/>
  <c r="E37" i="22"/>
  <c r="C4" i="21" l="1"/>
  <c r="Q107" i="29" l="1"/>
  <c r="C10" i="11"/>
  <c r="E107" i="29" l="1"/>
  <c r="J95" i="15" l="1"/>
  <c r="F95" i="15"/>
  <c r="B4" i="12"/>
  <c r="E4" i="27" l="1"/>
  <c r="E5" i="27"/>
  <c r="E6" i="27"/>
  <c r="E7" i="27"/>
  <c r="E8" i="27"/>
  <c r="E9" i="27"/>
  <c r="E10" i="27"/>
  <c r="E11" i="27"/>
  <c r="E12" i="27"/>
  <c r="E13" i="27"/>
  <c r="E14" i="27"/>
  <c r="E15" i="27"/>
  <c r="E16" i="27"/>
  <c r="E17" i="27"/>
  <c r="E18" i="27"/>
  <c r="E19" i="27"/>
  <c r="E20" i="27"/>
  <c r="E21" i="27"/>
  <c r="E22" i="27"/>
  <c r="E23" i="27"/>
  <c r="E24" i="27"/>
  <c r="E25" i="27"/>
  <c r="E26" i="27"/>
  <c r="E28" i="27"/>
  <c r="E29" i="27"/>
  <c r="E30" i="27"/>
  <c r="E31" i="27"/>
  <c r="E32" i="27"/>
  <c r="E33" i="27"/>
  <c r="E34" i="27"/>
  <c r="E35" i="27"/>
  <c r="E36" i="27"/>
  <c r="E37" i="27"/>
  <c r="E38" i="27"/>
  <c r="E45" i="27"/>
  <c r="E46" i="27"/>
  <c r="E47" i="27"/>
  <c r="E48" i="27"/>
  <c r="E49" i="27"/>
  <c r="E50" i="27"/>
  <c r="E51" i="27"/>
  <c r="E52" i="27"/>
  <c r="E53" i="27"/>
  <c r="E54" i="27"/>
  <c r="E55" i="27"/>
  <c r="E56" i="27"/>
  <c r="E57" i="27"/>
  <c r="E58" i="27"/>
  <c r="E59" i="27"/>
  <c r="E60" i="27"/>
  <c r="E61" i="27"/>
  <c r="E62" i="27"/>
  <c r="E63" i="27"/>
  <c r="E64" i="27"/>
  <c r="E66" i="27"/>
  <c r="E67" i="27"/>
  <c r="E69" i="27"/>
  <c r="E70" i="27"/>
  <c r="E71" i="27"/>
  <c r="E72" i="27"/>
  <c r="E73" i="27"/>
  <c r="E74" i="27"/>
  <c r="E76" i="27"/>
  <c r="E77" i="27"/>
  <c r="E78" i="27"/>
  <c r="E79" i="27"/>
  <c r="E80" i="27"/>
  <c r="E68" i="27" l="1"/>
  <c r="E81" i="27"/>
  <c r="E65" i="27"/>
  <c r="E39" i="27"/>
  <c r="E75" i="27"/>
  <c r="E27" i="27"/>
  <c r="E40" i="27"/>
  <c r="E41" i="27"/>
  <c r="E42" i="27"/>
  <c r="E43" i="27" l="1"/>
  <c r="E44" i="27" s="1"/>
  <c r="E83" i="27" s="1"/>
  <c r="B90" i="26"/>
  <c r="C90" i="26"/>
  <c r="D90" i="26"/>
  <c r="E90" i="26"/>
  <c r="F90" i="26"/>
  <c r="G90" i="26"/>
  <c r="H90" i="26"/>
  <c r="I90" i="26"/>
  <c r="J90" i="26"/>
  <c r="K90" i="26"/>
  <c r="L90" i="26"/>
  <c r="M90" i="26"/>
  <c r="N90" i="26"/>
  <c r="O90" i="26"/>
  <c r="P90" i="26"/>
  <c r="B61" i="26"/>
  <c r="C61" i="26"/>
  <c r="D61" i="26"/>
  <c r="E61" i="26"/>
  <c r="F61" i="26"/>
  <c r="G61" i="26"/>
  <c r="H61" i="26"/>
  <c r="I61" i="26"/>
  <c r="J61" i="26"/>
  <c r="K61" i="26"/>
  <c r="L61" i="26"/>
  <c r="M61" i="26"/>
  <c r="N61" i="26"/>
  <c r="O61" i="26"/>
  <c r="P61" i="26"/>
  <c r="Q61" i="26"/>
  <c r="B47" i="26"/>
  <c r="C47" i="26"/>
  <c r="D47" i="26"/>
  <c r="E47" i="26"/>
  <c r="F47" i="26"/>
  <c r="G47" i="26"/>
  <c r="H47" i="26"/>
  <c r="I47" i="26"/>
  <c r="J47" i="26"/>
  <c r="K47" i="26"/>
  <c r="L47" i="26"/>
  <c r="M47" i="26"/>
  <c r="N47" i="26"/>
  <c r="O47" i="26"/>
  <c r="P47" i="26"/>
  <c r="Q47" i="26"/>
  <c r="B33" i="26"/>
  <c r="C33" i="26"/>
  <c r="C19" i="26" s="1"/>
  <c r="C5" i="26" s="1"/>
  <c r="D33" i="26"/>
  <c r="E33" i="26"/>
  <c r="F33" i="26"/>
  <c r="G33" i="26"/>
  <c r="H33" i="26"/>
  <c r="I33" i="26"/>
  <c r="J33" i="26"/>
  <c r="K33" i="26"/>
  <c r="L33" i="26"/>
  <c r="M33" i="26"/>
  <c r="N33" i="26"/>
  <c r="O33" i="26"/>
  <c r="P33" i="26"/>
  <c r="Q33" i="26"/>
  <c r="Q19" i="26" s="1"/>
  <c r="N19" i="26" l="1"/>
  <c r="N5" i="26" s="1"/>
  <c r="F19" i="26"/>
  <c r="F5" i="26" s="1"/>
  <c r="P19" i="26"/>
  <c r="P5" i="26" s="1"/>
  <c r="O19" i="26"/>
  <c r="O5" i="26" s="1"/>
  <c r="K19" i="26"/>
  <c r="K5" i="26" s="1"/>
  <c r="G19" i="26"/>
  <c r="G5" i="26" s="1"/>
  <c r="L19" i="26"/>
  <c r="L5" i="26" s="1"/>
  <c r="H19" i="26"/>
  <c r="H5" i="26" s="1"/>
  <c r="D19" i="26"/>
  <c r="D5" i="26" s="1"/>
  <c r="J19" i="26"/>
  <c r="J5" i="26" s="1"/>
  <c r="B19" i="26"/>
  <c r="B5" i="26" s="1"/>
  <c r="M19" i="26"/>
  <c r="M5" i="26" s="1"/>
  <c r="I19" i="26"/>
  <c r="I5" i="26" s="1"/>
  <c r="E19" i="26"/>
  <c r="E5" i="26" s="1"/>
  <c r="R95" i="29"/>
  <c r="B26" i="19" l="1"/>
  <c r="I26" i="19" s="1"/>
  <c r="Q5" i="26"/>
  <c r="D55" i="22"/>
  <c r="D5" i="25" l="1"/>
  <c r="D6" i="25"/>
  <c r="D7" i="25"/>
  <c r="D4" i="25" l="1"/>
  <c r="B4" i="21" l="1"/>
  <c r="B3" i="21"/>
  <c r="D4" i="19"/>
  <c r="E4" i="19"/>
  <c r="H4" i="19"/>
  <c r="G4" i="19" l="1"/>
  <c r="F4" i="19"/>
  <c r="C4" i="19"/>
  <c r="D4" i="17"/>
  <c r="C4" i="17"/>
  <c r="B4" i="17" l="1"/>
  <c r="B4" i="19"/>
  <c r="D9" i="22"/>
  <c r="D7" i="22"/>
  <c r="D5" i="22"/>
  <c r="D4" i="22"/>
  <c r="D14" i="22"/>
  <c r="D3" i="22"/>
  <c r="D6" i="22" l="1"/>
  <c r="D8" i="22"/>
  <c r="D10" i="22"/>
  <c r="D11" i="22"/>
  <c r="D12" i="22"/>
  <c r="D13" i="22"/>
  <c r="D15" i="22"/>
  <c r="D16" i="22"/>
  <c r="D17" i="22"/>
  <c r="D18" i="22"/>
  <c r="D19" i="22"/>
  <c r="D20" i="22"/>
  <c r="D21" i="22"/>
  <c r="D24" i="22"/>
  <c r="D25" i="22"/>
  <c r="D26" i="22"/>
  <c r="D27" i="22"/>
  <c r="D28" i="22"/>
  <c r="D29" i="22"/>
  <c r="D30" i="22"/>
  <c r="D31" i="22"/>
  <c r="D32" i="22"/>
  <c r="D33" i="22"/>
  <c r="D34" i="22"/>
  <c r="D35" i="22"/>
  <c r="D22" i="22" s="1"/>
  <c r="D36" i="22"/>
  <c r="D38" i="22"/>
  <c r="D39" i="22"/>
  <c r="D40" i="22"/>
  <c r="D41" i="22"/>
  <c r="D42" i="22"/>
  <c r="D44" i="22"/>
  <c r="D45" i="22"/>
  <c r="D46" i="22"/>
  <c r="D48" i="22"/>
  <c r="D49" i="22"/>
  <c r="D50" i="22"/>
  <c r="D51" i="22"/>
  <c r="D52" i="22"/>
  <c r="D53" i="22"/>
  <c r="D54" i="22"/>
  <c r="D43" i="22" l="1"/>
  <c r="D47" i="22"/>
  <c r="D37" i="22"/>
  <c r="D56" i="22"/>
  <c r="D23" i="22"/>
  <c r="D58" i="22" l="1"/>
  <c r="C3" i="21" l="1"/>
  <c r="C7" i="25" l="1"/>
  <c r="C6" i="25"/>
  <c r="C5" i="25"/>
  <c r="C4" i="25"/>
  <c r="E3" i="19" l="1"/>
  <c r="G3" i="19"/>
  <c r="F3" i="19"/>
  <c r="F15" i="19" s="1"/>
  <c r="D3" i="19"/>
  <c r="C3" i="19"/>
  <c r="D3" i="17"/>
  <c r="C3" i="17"/>
  <c r="C14" i="22"/>
  <c r="C24" i="22"/>
  <c r="C33" i="22"/>
  <c r="B3" i="17" l="1"/>
  <c r="C55" i="22"/>
  <c r="C54" i="22"/>
  <c r="C53" i="22"/>
  <c r="C52" i="22"/>
  <c r="C51" i="22"/>
  <c r="C50" i="22"/>
  <c r="C49" i="22"/>
  <c r="C48" i="22"/>
  <c r="C46" i="22"/>
  <c r="C45" i="22"/>
  <c r="C44" i="22"/>
  <c r="C42" i="22"/>
  <c r="C41" i="22"/>
  <c r="C40" i="22"/>
  <c r="C39" i="22"/>
  <c r="C38" i="22"/>
  <c r="C36" i="22"/>
  <c r="C34" i="22"/>
  <c r="C32" i="22"/>
  <c r="C31" i="22"/>
  <c r="C30" i="22"/>
  <c r="C29" i="22"/>
  <c r="C28" i="22"/>
  <c r="C27" i="22"/>
  <c r="C26" i="22"/>
  <c r="C25" i="22"/>
  <c r="C21" i="22"/>
  <c r="C20" i="22"/>
  <c r="C19" i="22"/>
  <c r="C18" i="22"/>
  <c r="C17" i="22"/>
  <c r="C16" i="22"/>
  <c r="C15" i="22"/>
  <c r="C13" i="22"/>
  <c r="C12" i="22"/>
  <c r="C11" i="22"/>
  <c r="C10" i="22"/>
  <c r="C9" i="22"/>
  <c r="C8" i="22"/>
  <c r="C7" i="22"/>
  <c r="C6" i="22"/>
  <c r="C5" i="22"/>
  <c r="C4" i="22"/>
  <c r="C3" i="22"/>
  <c r="C56" i="22" l="1"/>
  <c r="J94" i="15" l="1"/>
  <c r="F94" i="15"/>
  <c r="D107" i="15" l="1"/>
  <c r="E107" i="15"/>
  <c r="F107" i="15"/>
  <c r="G107" i="15"/>
  <c r="H107" i="15"/>
  <c r="I107" i="15"/>
  <c r="J107" i="15"/>
  <c r="C107" i="15"/>
  <c r="A94" i="15"/>
  <c r="A95" i="15"/>
  <c r="A96" i="15"/>
  <c r="A97" i="15"/>
  <c r="A98" i="15"/>
  <c r="A99" i="15"/>
  <c r="A100" i="15"/>
  <c r="A101" i="15"/>
  <c r="A102" i="15"/>
  <c r="A103" i="15"/>
  <c r="A104" i="15"/>
  <c r="A105" i="15"/>
  <c r="A106" i="15"/>
  <c r="I93" i="15"/>
  <c r="H93" i="15"/>
  <c r="G93" i="15"/>
  <c r="E93" i="15"/>
  <c r="C93" i="15"/>
  <c r="A93" i="15" s="1"/>
  <c r="E109" i="15" l="1" a="1"/>
  <c r="E109" i="15" s="1"/>
  <c r="E110" i="15" s="1" a="1"/>
  <c r="E110" i="15" s="1"/>
  <c r="G109" i="15" a="1"/>
  <c r="G109" i="15" s="1"/>
  <c r="G110" i="15" s="1" a="1"/>
  <c r="G110" i="15" s="1"/>
  <c r="C109" i="15" a="1"/>
  <c r="C109" i="15" s="1"/>
  <c r="C110" i="15" s="1" a="1"/>
  <c r="C110" i="15" s="1"/>
  <c r="D111" i="15" a="1"/>
  <c r="D111" i="15" s="1"/>
  <c r="D112" i="15" s="1" a="1"/>
  <c r="D112" i="15" s="1"/>
  <c r="I109" i="15" a="1"/>
  <c r="I109" i="15" s="1"/>
  <c r="I110" i="15" s="1" a="1"/>
  <c r="I110" i="15" s="1"/>
  <c r="G111" i="15" a="1"/>
  <c r="G111" i="15" s="1"/>
  <c r="G112" i="15" s="1" a="1"/>
  <c r="G112" i="15" s="1"/>
  <c r="I111" i="15" a="1"/>
  <c r="I111" i="15" s="1"/>
  <c r="I112" i="15" s="1" a="1"/>
  <c r="I112" i="15" s="1"/>
  <c r="H109" i="15" a="1"/>
  <c r="H109" i="15" s="1"/>
  <c r="H110" i="15" s="1" a="1"/>
  <c r="H110" i="15" s="1"/>
  <c r="D109" i="15" a="1"/>
  <c r="D109" i="15" s="1"/>
  <c r="D110" i="15" s="1" a="1"/>
  <c r="D110" i="15" s="1"/>
  <c r="H111" i="15" a="1"/>
  <c r="H111" i="15" s="1"/>
  <c r="H112" i="15" s="1" a="1"/>
  <c r="H112" i="15" s="1"/>
  <c r="C111" i="15" a="1"/>
  <c r="C111" i="15" s="1"/>
  <c r="C112" i="15" s="1" a="1"/>
  <c r="C112" i="15" s="1"/>
  <c r="E111" i="15" a="1"/>
  <c r="E111" i="15" s="1"/>
  <c r="E112" i="15" s="1" a="1"/>
  <c r="E112" i="15" s="1"/>
  <c r="C89" i="26"/>
  <c r="D89" i="26"/>
  <c r="E89" i="26"/>
  <c r="F89" i="26"/>
  <c r="G89" i="26"/>
  <c r="H89" i="26"/>
  <c r="I89" i="26"/>
  <c r="J89" i="26"/>
  <c r="K89" i="26"/>
  <c r="L89" i="26"/>
  <c r="M89" i="26"/>
  <c r="N89" i="26"/>
  <c r="O89" i="26"/>
  <c r="P89" i="26"/>
  <c r="B89" i="26"/>
  <c r="C74" i="26"/>
  <c r="C86" i="26" s="1"/>
  <c r="D74" i="26"/>
  <c r="D86" i="26" s="1"/>
  <c r="E74" i="26"/>
  <c r="F74" i="26"/>
  <c r="G74" i="26"/>
  <c r="H74" i="26"/>
  <c r="I74" i="26"/>
  <c r="J74" i="26"/>
  <c r="K74" i="26"/>
  <c r="L74" i="26"/>
  <c r="M74" i="26"/>
  <c r="N74" i="26"/>
  <c r="O74" i="26"/>
  <c r="P74" i="26"/>
  <c r="Q74" i="26"/>
  <c r="B74" i="26"/>
  <c r="B86" i="26" s="1"/>
  <c r="C60" i="26"/>
  <c r="D60" i="26"/>
  <c r="E60" i="26"/>
  <c r="F60" i="26"/>
  <c r="F72" i="26" s="1"/>
  <c r="G60" i="26"/>
  <c r="H60" i="26"/>
  <c r="H72" i="26" s="1"/>
  <c r="I60" i="26"/>
  <c r="I72" i="26" s="1"/>
  <c r="J60" i="26"/>
  <c r="J72" i="26" s="1"/>
  <c r="K60" i="26"/>
  <c r="K72" i="26" s="1"/>
  <c r="L60" i="26"/>
  <c r="L72" i="26" s="1"/>
  <c r="M60" i="26"/>
  <c r="M72" i="26" s="1"/>
  <c r="N60" i="26"/>
  <c r="N72" i="26" s="1"/>
  <c r="O60" i="26"/>
  <c r="P60" i="26"/>
  <c r="P72" i="26" s="1"/>
  <c r="Q60" i="26"/>
  <c r="B60" i="26"/>
  <c r="B72" i="26" s="1"/>
  <c r="C46" i="26"/>
  <c r="C58" i="26" s="1"/>
  <c r="D46" i="26"/>
  <c r="D58" i="26" s="1"/>
  <c r="E46" i="26"/>
  <c r="E58" i="26" s="1"/>
  <c r="F46" i="26"/>
  <c r="F58" i="26" s="1"/>
  <c r="G46" i="26"/>
  <c r="G58" i="26" s="1"/>
  <c r="H46" i="26"/>
  <c r="H58" i="26" s="1"/>
  <c r="I46" i="26"/>
  <c r="I58" i="26" s="1"/>
  <c r="J46" i="26"/>
  <c r="J58" i="26" s="1"/>
  <c r="K46" i="26"/>
  <c r="K58" i="26" s="1"/>
  <c r="L46" i="26"/>
  <c r="L58" i="26" s="1"/>
  <c r="M46" i="26"/>
  <c r="M58" i="26" s="1"/>
  <c r="N46" i="26"/>
  <c r="N58" i="26" s="1"/>
  <c r="O46" i="26"/>
  <c r="O58" i="26" s="1"/>
  <c r="P46" i="26"/>
  <c r="P58" i="26" s="1"/>
  <c r="Q46" i="26"/>
  <c r="B46" i="26"/>
  <c r="B58" i="26" s="1"/>
  <c r="A90" i="26"/>
  <c r="A91" i="26"/>
  <c r="A92" i="26"/>
  <c r="A93" i="26"/>
  <c r="A94" i="26"/>
  <c r="A95" i="26"/>
  <c r="A96" i="26"/>
  <c r="A97" i="26"/>
  <c r="A98" i="26"/>
  <c r="A99" i="26"/>
  <c r="A100" i="26"/>
  <c r="A101" i="26"/>
  <c r="A75" i="26"/>
  <c r="A76" i="26"/>
  <c r="A77" i="26"/>
  <c r="A78" i="26"/>
  <c r="A79" i="26"/>
  <c r="A80" i="26"/>
  <c r="A81" i="26"/>
  <c r="A82" i="26"/>
  <c r="A83" i="26"/>
  <c r="A84" i="26"/>
  <c r="A85" i="26"/>
  <c r="A86" i="26"/>
  <c r="A61" i="26"/>
  <c r="A62" i="26"/>
  <c r="A63" i="26"/>
  <c r="A64" i="26"/>
  <c r="A66" i="26"/>
  <c r="A67" i="26"/>
  <c r="A68" i="26"/>
  <c r="A69" i="26"/>
  <c r="A70" i="26"/>
  <c r="A71" i="26"/>
  <c r="A72" i="26"/>
  <c r="A47" i="26"/>
  <c r="A48" i="26"/>
  <c r="A49" i="26"/>
  <c r="A50" i="26"/>
  <c r="A51" i="26"/>
  <c r="A52" i="26"/>
  <c r="A53" i="26"/>
  <c r="A54" i="26"/>
  <c r="A55" i="26"/>
  <c r="A56" i="26"/>
  <c r="A57" i="26"/>
  <c r="A58" i="26"/>
  <c r="A33" i="26"/>
  <c r="A34" i="26"/>
  <c r="A35" i="26"/>
  <c r="A36" i="26"/>
  <c r="A37" i="26"/>
  <c r="A38" i="26"/>
  <c r="A39" i="26"/>
  <c r="A40" i="26"/>
  <c r="A41" i="26"/>
  <c r="A42" i="26"/>
  <c r="A43" i="26"/>
  <c r="A44" i="26"/>
  <c r="A89" i="26"/>
  <c r="A74" i="26"/>
  <c r="A60" i="26"/>
  <c r="A46" i="26"/>
  <c r="A32" i="26"/>
  <c r="A19" i="26"/>
  <c r="A20" i="26"/>
  <c r="A21" i="26"/>
  <c r="A22" i="26"/>
  <c r="A23" i="26"/>
  <c r="A24" i="26"/>
  <c r="A25" i="26"/>
  <c r="A26" i="26"/>
  <c r="A27" i="26"/>
  <c r="A28" i="26"/>
  <c r="A29" i="26"/>
  <c r="A30" i="26"/>
  <c r="A18" i="26"/>
  <c r="C32" i="26"/>
  <c r="C44" i="26" s="1"/>
  <c r="D32" i="26"/>
  <c r="D44" i="26" s="1"/>
  <c r="E32" i="26"/>
  <c r="E44" i="26" s="1"/>
  <c r="F32" i="26"/>
  <c r="F44" i="26" s="1"/>
  <c r="G32" i="26"/>
  <c r="G44" i="26" s="1"/>
  <c r="H32" i="26"/>
  <c r="H44" i="26" s="1"/>
  <c r="I32" i="26"/>
  <c r="J32" i="26"/>
  <c r="J44" i="26" s="1"/>
  <c r="K32" i="26"/>
  <c r="L32" i="26"/>
  <c r="M32" i="26"/>
  <c r="N32" i="26"/>
  <c r="O32" i="26"/>
  <c r="P32" i="26"/>
  <c r="Q32" i="26"/>
  <c r="Q18" i="26" s="1"/>
  <c r="B32" i="26"/>
  <c r="B44" i="26" s="1"/>
  <c r="O18" i="26" l="1"/>
  <c r="K18" i="26"/>
  <c r="K30" i="26" s="1"/>
  <c r="G18" i="26"/>
  <c r="C18" i="26"/>
  <c r="C30" i="26" s="1"/>
  <c r="P18" i="26"/>
  <c r="L18" i="26"/>
  <c r="H18" i="26"/>
  <c r="H30" i="26" s="1"/>
  <c r="D18" i="26"/>
  <c r="D30" i="26" s="1"/>
  <c r="B18" i="26"/>
  <c r="B30" i="26" s="1"/>
  <c r="N18" i="26"/>
  <c r="J18" i="26"/>
  <c r="J30" i="26" s="1"/>
  <c r="F18" i="26"/>
  <c r="F30" i="26" s="1"/>
  <c r="M18" i="26"/>
  <c r="M30" i="26" s="1"/>
  <c r="I18" i="26"/>
  <c r="E18" i="26"/>
  <c r="E30" i="26" s="1"/>
  <c r="Q58" i="26" l="1"/>
  <c r="R94" i="29" l="1"/>
  <c r="B25" i="19" l="1"/>
  <c r="I25" i="19" s="1"/>
  <c r="K93" i="29"/>
  <c r="D107" i="29" l="1"/>
  <c r="F107" i="29"/>
  <c r="H107" i="29"/>
  <c r="J107" i="29"/>
  <c r="M107" i="29"/>
  <c r="N107" i="29"/>
  <c r="O107" i="29"/>
  <c r="P107" i="29"/>
  <c r="C107" i="29"/>
  <c r="A94" i="29"/>
  <c r="A95" i="29"/>
  <c r="A96" i="29"/>
  <c r="A97" i="29"/>
  <c r="A98" i="29"/>
  <c r="A99" i="29"/>
  <c r="A100" i="29"/>
  <c r="A101" i="29"/>
  <c r="A102" i="29"/>
  <c r="A103" i="29"/>
  <c r="A104" i="29"/>
  <c r="A105" i="29"/>
  <c r="Q93" i="29"/>
  <c r="P93" i="29"/>
  <c r="O93" i="29"/>
  <c r="N93" i="29"/>
  <c r="M93" i="29"/>
  <c r="L93" i="29"/>
  <c r="H93" i="29"/>
  <c r="G93" i="29"/>
  <c r="F93" i="29"/>
  <c r="E93" i="29"/>
  <c r="D93" i="29"/>
  <c r="C93" i="29"/>
  <c r="A93" i="29" s="1"/>
  <c r="C111" i="29" l="1" a="1"/>
  <c r="C111" i="29" s="1"/>
  <c r="C112" i="29" s="1" a="1"/>
  <c r="C112" i="29" s="1"/>
  <c r="E111" i="29" a="1"/>
  <c r="E111" i="29" s="1"/>
  <c r="E109" i="29" a="1"/>
  <c r="E109" i="29" s="1"/>
  <c r="E110" i="29" s="1" a="1"/>
  <c r="E110" i="29" s="1"/>
  <c r="J109" i="29" a="1"/>
  <c r="J109" i="29" s="1"/>
  <c r="J110" i="29" s="1" a="1"/>
  <c r="J110" i="29" s="1"/>
  <c r="M109" i="29" a="1"/>
  <c r="M109" i="29" s="1"/>
  <c r="M110" i="29" s="1" a="1"/>
  <c r="M110" i="29" s="1"/>
  <c r="R109" i="29" a="1"/>
  <c r="R109" i="29" s="1"/>
  <c r="R110" i="29" s="1" a="1"/>
  <c r="R110" i="29" s="1"/>
  <c r="G111" i="29" a="1"/>
  <c r="G111" i="29" s="1"/>
  <c r="G112" i="29" s="1" a="1"/>
  <c r="G112" i="29" s="1"/>
  <c r="O111" i="29" a="1"/>
  <c r="O111" i="29" s="1"/>
  <c r="O112" i="29" s="1" a="1"/>
  <c r="O112" i="29" s="1"/>
  <c r="C109" i="29" a="1"/>
  <c r="C109" i="29" s="1"/>
  <c r="C110" i="29" s="1" a="1"/>
  <c r="C110" i="29" s="1"/>
  <c r="H109" i="29" a="1"/>
  <c r="H109" i="29" s="1"/>
  <c r="H110" i="29" s="1" a="1"/>
  <c r="H110" i="29" s="1"/>
  <c r="K109" i="29" a="1"/>
  <c r="K109" i="29" s="1"/>
  <c r="K110" i="29" s="1" a="1"/>
  <c r="K110" i="29" s="1"/>
  <c r="P109" i="29" a="1"/>
  <c r="P109" i="29" s="1"/>
  <c r="P110" i="29" s="1" a="1"/>
  <c r="P110" i="29" s="1"/>
  <c r="E112" i="29" a="1"/>
  <c r="E112" i="29" s="1"/>
  <c r="H111" i="29" a="1"/>
  <c r="H111" i="29" s="1"/>
  <c r="H112" i="29" s="1" a="1"/>
  <c r="H112" i="29" s="1"/>
  <c r="M111" i="29" a="1"/>
  <c r="M111" i="29" s="1"/>
  <c r="M112" i="29" s="1" a="1"/>
  <c r="M112" i="29" s="1"/>
  <c r="P111" i="29" a="1"/>
  <c r="P111" i="29" s="1"/>
  <c r="P112" i="29" s="1" a="1"/>
  <c r="P112" i="29" s="1"/>
  <c r="F109" i="29" a="1"/>
  <c r="F109" i="29" s="1"/>
  <c r="F110" i="29" s="1" a="1"/>
  <c r="F110" i="29" s="1"/>
  <c r="I109" i="29" a="1"/>
  <c r="I109" i="29" s="1"/>
  <c r="I110" i="29" s="1" a="1"/>
  <c r="I110" i="29" s="1"/>
  <c r="N109" i="29" a="1"/>
  <c r="N109" i="29" s="1"/>
  <c r="N110" i="29" s="1" a="1"/>
  <c r="N110" i="29" s="1"/>
  <c r="Q109" i="29" a="1"/>
  <c r="Q109" i="29" s="1"/>
  <c r="Q110" i="29" s="1" a="1"/>
  <c r="Q110" i="29" s="1"/>
  <c r="F111" i="29" a="1"/>
  <c r="F111" i="29" s="1"/>
  <c r="F112" i="29" s="1" a="1"/>
  <c r="F112" i="29" s="1"/>
  <c r="K111" i="29" a="1"/>
  <c r="K111" i="29" s="1"/>
  <c r="K112" i="29" s="1" a="1"/>
  <c r="K112" i="29" s="1"/>
  <c r="N111" i="29" a="1"/>
  <c r="N111" i="29" s="1"/>
  <c r="N112" i="29" s="1" a="1"/>
  <c r="N112" i="29" s="1"/>
  <c r="D109" i="29" a="1"/>
  <c r="D109" i="29" s="1"/>
  <c r="D110" i="29" s="1" a="1"/>
  <c r="D110" i="29" s="1"/>
  <c r="G109" i="29" a="1"/>
  <c r="G109" i="29" s="1"/>
  <c r="G110" i="29" s="1" a="1"/>
  <c r="G110" i="29" s="1"/>
  <c r="L109" i="29" a="1"/>
  <c r="L109" i="29" s="1"/>
  <c r="L110" i="29" s="1" a="1"/>
  <c r="L110" i="29" s="1"/>
  <c r="O109" i="29" a="1"/>
  <c r="O109" i="29" s="1"/>
  <c r="O110" i="29" s="1" a="1"/>
  <c r="O110" i="29" s="1"/>
  <c r="D111" i="29" a="1"/>
  <c r="D111" i="29" s="1"/>
  <c r="D112" i="29" s="1" a="1"/>
  <c r="D112" i="29" s="1"/>
  <c r="L111" i="29" a="1"/>
  <c r="L111" i="29" s="1"/>
  <c r="L112" i="29" s="1" a="1"/>
  <c r="L112" i="29" s="1"/>
  <c r="Q111" i="29" a="1"/>
  <c r="Q111" i="29" s="1"/>
  <c r="Q112" i="29" s="1" a="1"/>
  <c r="Q112" i="29" s="1"/>
  <c r="R107" i="29"/>
  <c r="J92" i="15" l="1"/>
  <c r="F92" i="15"/>
  <c r="F109" i="15" l="1" a="1"/>
  <c r="F109" i="15" s="1"/>
  <c r="F110" i="15" s="1" a="1"/>
  <c r="F110" i="15" s="1"/>
  <c r="J109" i="15" a="1"/>
  <c r="J109" i="15" s="1"/>
  <c r="J110" i="15" s="1" a="1"/>
  <c r="J110" i="15" s="1"/>
  <c r="R92" i="29" l="1"/>
  <c r="N8" i="25" l="1"/>
  <c r="N11" i="25" l="1"/>
  <c r="N12" i="25" s="1"/>
  <c r="N58" i="22" l="1"/>
  <c r="J91" i="15" l="1"/>
  <c r="F91" i="15"/>
  <c r="R91" i="29" l="1"/>
  <c r="M11" i="25" l="1"/>
  <c r="M8" i="25" l="1"/>
  <c r="M12" i="25" s="1"/>
  <c r="J90" i="15" l="1"/>
  <c r="F90" i="15"/>
  <c r="R90" i="29" l="1"/>
  <c r="R89" i="29"/>
  <c r="L11" i="25" l="1"/>
  <c r="L8" i="25" l="1"/>
  <c r="L12" i="25" l="1"/>
  <c r="L58" i="22" l="1"/>
  <c r="H80" i="15" l="1"/>
  <c r="K11" i="25"/>
  <c r="K8" i="25" l="1"/>
  <c r="K12" i="25" s="1"/>
  <c r="J89" i="15" l="1"/>
  <c r="F89" i="15"/>
  <c r="B27" i="20" l="1"/>
  <c r="E15" i="12" l="1"/>
  <c r="D15" i="12"/>
  <c r="C15" i="12"/>
  <c r="R88" i="29" l="1"/>
  <c r="C27" i="20" l="1"/>
  <c r="J88" i="15" l="1"/>
  <c r="F88" i="15"/>
  <c r="J11" i="25" l="1"/>
  <c r="J8" i="25" l="1"/>
  <c r="J12" i="25" s="1"/>
  <c r="O57" i="22" l="1"/>
  <c r="J58" i="22" l="1"/>
  <c r="J87" i="15"/>
  <c r="F87" i="15"/>
  <c r="R87" i="29" l="1"/>
  <c r="O33" i="22"/>
  <c r="O24" i="22" l="1"/>
  <c r="F84" i="15" l="1"/>
  <c r="B15" i="21"/>
  <c r="B17" i="21" s="1"/>
  <c r="I86" i="29" l="1"/>
  <c r="I93" i="29" l="1"/>
  <c r="I111" i="29" a="1"/>
  <c r="I111" i="29" s="1"/>
  <c r="I112" i="29" s="1" a="1"/>
  <c r="I112" i="29" s="1"/>
  <c r="J86" i="29"/>
  <c r="J93" i="29" l="1"/>
  <c r="R93" i="29" s="1"/>
  <c r="J111" i="29" a="1"/>
  <c r="J111" i="29" s="1"/>
  <c r="J112" i="29" s="1" a="1"/>
  <c r="J112" i="29" s="1"/>
  <c r="J86" i="15"/>
  <c r="F86" i="15"/>
  <c r="R86" i="29" l="1"/>
  <c r="A92" i="29"/>
  <c r="A91" i="29"/>
  <c r="A90" i="29"/>
  <c r="A89" i="29"/>
  <c r="A88" i="29"/>
  <c r="A87" i="29"/>
  <c r="A86" i="29"/>
  <c r="R85" i="29"/>
  <c r="A85" i="29"/>
  <c r="R84" i="29"/>
  <c r="R111" i="29" s="1" a="1"/>
  <c r="R111" i="29" s="1"/>
  <c r="R112" i="29" s="1" a="1"/>
  <c r="R112" i="29" s="1"/>
  <c r="A84" i="29"/>
  <c r="R83" i="29"/>
  <c r="A83" i="29"/>
  <c r="R82" i="29"/>
  <c r="A82" i="29"/>
  <c r="R81" i="29"/>
  <c r="A81" i="29"/>
  <c r="Q80" i="29"/>
  <c r="P80" i="29"/>
  <c r="O80" i="29"/>
  <c r="N80" i="29"/>
  <c r="M80" i="29"/>
  <c r="L80" i="29"/>
  <c r="K80" i="29"/>
  <c r="J80" i="29"/>
  <c r="I80" i="29"/>
  <c r="H80" i="29"/>
  <c r="G80" i="29"/>
  <c r="F80" i="29"/>
  <c r="E80" i="29"/>
  <c r="D80" i="29"/>
  <c r="C80" i="29"/>
  <c r="A80" i="29" s="1"/>
  <c r="R79" i="29"/>
  <c r="A79" i="29"/>
  <c r="R78" i="29"/>
  <c r="A78" i="29"/>
  <c r="R77" i="29"/>
  <c r="A77" i="29"/>
  <c r="R76" i="29"/>
  <c r="A76" i="29"/>
  <c r="R75" i="29"/>
  <c r="A75" i="29"/>
  <c r="R74" i="29"/>
  <c r="A74" i="29"/>
  <c r="R73" i="29"/>
  <c r="A73" i="29"/>
  <c r="R72" i="29"/>
  <c r="A72" i="29"/>
  <c r="R71" i="29"/>
  <c r="A71" i="29"/>
  <c r="R70" i="29"/>
  <c r="A70" i="29"/>
  <c r="R69" i="29"/>
  <c r="A69" i="29"/>
  <c r="R68" i="29"/>
  <c r="A68" i="29"/>
  <c r="Q67" i="29"/>
  <c r="P67" i="29"/>
  <c r="O67" i="29"/>
  <c r="N67" i="29"/>
  <c r="M67" i="29"/>
  <c r="L67" i="29"/>
  <c r="K67" i="29"/>
  <c r="J67" i="29"/>
  <c r="I67" i="29"/>
  <c r="H67" i="29"/>
  <c r="G67" i="29"/>
  <c r="F67" i="29"/>
  <c r="E67" i="29"/>
  <c r="D67" i="29"/>
  <c r="C67" i="29"/>
  <c r="R66" i="29"/>
  <c r="A66" i="29"/>
  <c r="R65" i="29"/>
  <c r="A65" i="29"/>
  <c r="R64" i="29"/>
  <c r="A64" i="29"/>
  <c r="R63" i="29"/>
  <c r="A63" i="29"/>
  <c r="R62" i="29"/>
  <c r="A62" i="29"/>
  <c r="R61" i="29"/>
  <c r="A61" i="29"/>
  <c r="R60" i="29"/>
  <c r="A60" i="29"/>
  <c r="R59" i="29"/>
  <c r="A59" i="29"/>
  <c r="R58" i="29"/>
  <c r="A58" i="29"/>
  <c r="R57" i="29"/>
  <c r="A57" i="29"/>
  <c r="R56" i="29"/>
  <c r="A56" i="29"/>
  <c r="R55" i="29"/>
  <c r="A55" i="29"/>
  <c r="Q54" i="29"/>
  <c r="P54" i="29"/>
  <c r="O54" i="29"/>
  <c r="N54" i="29"/>
  <c r="M54" i="29"/>
  <c r="L54" i="29"/>
  <c r="K54" i="29"/>
  <c r="J54" i="29"/>
  <c r="I54" i="29"/>
  <c r="H54" i="29"/>
  <c r="G54" i="29"/>
  <c r="F54" i="29"/>
  <c r="E54" i="29"/>
  <c r="D54" i="29"/>
  <c r="C54" i="29"/>
  <c r="R53" i="29"/>
  <c r="A53" i="29"/>
  <c r="R52" i="29"/>
  <c r="A52" i="29"/>
  <c r="R51" i="29"/>
  <c r="A51" i="29"/>
  <c r="R50" i="29"/>
  <c r="A50" i="29"/>
  <c r="R49" i="29"/>
  <c r="A49" i="29"/>
  <c r="R48" i="29"/>
  <c r="A48" i="29"/>
  <c r="R47" i="29"/>
  <c r="A47" i="29"/>
  <c r="R46" i="29"/>
  <c r="A46" i="29"/>
  <c r="R45" i="29"/>
  <c r="A45" i="29"/>
  <c r="R44" i="29"/>
  <c r="A44" i="29"/>
  <c r="R43" i="29"/>
  <c r="A43" i="29"/>
  <c r="R42" i="29"/>
  <c r="A42" i="29"/>
  <c r="Q41" i="29"/>
  <c r="P41" i="29"/>
  <c r="O41" i="29"/>
  <c r="N41" i="29"/>
  <c r="M41" i="29"/>
  <c r="L41" i="29"/>
  <c r="K41" i="29"/>
  <c r="J41" i="29"/>
  <c r="I41" i="29"/>
  <c r="H41" i="29"/>
  <c r="G41" i="29"/>
  <c r="F41" i="29"/>
  <c r="E41" i="29"/>
  <c r="D41" i="29"/>
  <c r="C41" i="29"/>
  <c r="R40" i="29"/>
  <c r="R39" i="29"/>
  <c r="R38" i="29"/>
  <c r="R37" i="29"/>
  <c r="R36" i="29"/>
  <c r="R35" i="29"/>
  <c r="R34" i="29"/>
  <c r="R33" i="29"/>
  <c r="R32" i="29"/>
  <c r="R31" i="29"/>
  <c r="R30" i="29"/>
  <c r="R29" i="29"/>
  <c r="P28" i="29"/>
  <c r="M28" i="29"/>
  <c r="J28" i="29"/>
  <c r="H28" i="29"/>
  <c r="G28" i="29"/>
  <c r="E28" i="29"/>
  <c r="D28" i="29"/>
  <c r="C28" i="29"/>
  <c r="R27" i="29"/>
  <c r="R26" i="29"/>
  <c r="R25" i="29"/>
  <c r="R24" i="29"/>
  <c r="R23" i="29"/>
  <c r="R22" i="29"/>
  <c r="R21" i="29"/>
  <c r="R20" i="29"/>
  <c r="R19" i="29"/>
  <c r="Q18" i="29"/>
  <c r="N18" i="29"/>
  <c r="K18" i="29"/>
  <c r="Q17" i="29"/>
  <c r="N17" i="29"/>
  <c r="K17" i="29"/>
  <c r="R16" i="29"/>
  <c r="Q15" i="29"/>
  <c r="P15" i="29"/>
  <c r="N15" i="29"/>
  <c r="M15" i="29"/>
  <c r="K15" i="29"/>
  <c r="J15" i="29"/>
  <c r="H15" i="29"/>
  <c r="G15" i="29"/>
  <c r="E15" i="29"/>
  <c r="D15" i="29"/>
  <c r="C15" i="29"/>
  <c r="R14" i="29"/>
  <c r="R13" i="29"/>
  <c r="R12" i="29"/>
  <c r="R11" i="29"/>
  <c r="R10" i="29"/>
  <c r="R9" i="29"/>
  <c r="R8" i="29"/>
  <c r="R7" i="29"/>
  <c r="R6" i="29"/>
  <c r="R5" i="29"/>
  <c r="R4" i="29"/>
  <c r="R3" i="29"/>
  <c r="R15" i="29" l="1"/>
  <c r="Q28" i="29"/>
  <c r="R41" i="29"/>
  <c r="K28" i="29"/>
  <c r="R17" i="29"/>
  <c r="R80" i="29"/>
  <c r="N28" i="29"/>
  <c r="R54" i="29"/>
  <c r="A54" i="29"/>
  <c r="R18" i="29"/>
  <c r="R67" i="29"/>
  <c r="A67" i="29"/>
  <c r="R28" i="29" l="1"/>
  <c r="H11" i="25" l="1"/>
  <c r="H8" i="25" l="1"/>
  <c r="G37" i="19"/>
  <c r="H15" i="19"/>
  <c r="H12" i="25" l="1"/>
  <c r="J85" i="15" l="1"/>
  <c r="F85" i="15"/>
  <c r="D15" i="19" l="1"/>
  <c r="E15" i="19"/>
  <c r="F44" i="28" l="1"/>
  <c r="F45" i="28"/>
  <c r="F46" i="28"/>
  <c r="F43" i="28"/>
  <c r="G43" i="28"/>
  <c r="H43" i="28"/>
  <c r="I43" i="28"/>
  <c r="J43" i="28"/>
  <c r="K43" i="28"/>
  <c r="L43" i="28"/>
  <c r="M43" i="28"/>
  <c r="N43" i="28"/>
  <c r="O43" i="28"/>
  <c r="P43" i="28"/>
  <c r="G44" i="28"/>
  <c r="H44" i="28"/>
  <c r="I44" i="28"/>
  <c r="J44" i="28"/>
  <c r="K44" i="28"/>
  <c r="L44" i="28"/>
  <c r="M44" i="28"/>
  <c r="N44" i="28"/>
  <c r="O44" i="28"/>
  <c r="P44" i="28"/>
  <c r="G45" i="28"/>
  <c r="H45" i="28"/>
  <c r="I45" i="28"/>
  <c r="J45" i="28"/>
  <c r="K45" i="28"/>
  <c r="L45" i="28"/>
  <c r="M45" i="28"/>
  <c r="N45" i="28"/>
  <c r="O45" i="28"/>
  <c r="P45" i="28"/>
  <c r="G46" i="28"/>
  <c r="H46" i="28"/>
  <c r="I46" i="28"/>
  <c r="J46" i="28"/>
  <c r="K46" i="28"/>
  <c r="L46" i="28"/>
  <c r="M46" i="28"/>
  <c r="N46" i="28"/>
  <c r="O46" i="28"/>
  <c r="P46" i="28"/>
  <c r="F49" i="28"/>
  <c r="G49" i="28"/>
  <c r="H49" i="28"/>
  <c r="I49" i="28"/>
  <c r="J49" i="28"/>
  <c r="K49" i="28"/>
  <c r="L49" i="28"/>
  <c r="M49" i="28"/>
  <c r="N49" i="28"/>
  <c r="O49" i="28"/>
  <c r="P49" i="28"/>
  <c r="F50" i="28"/>
  <c r="G50" i="28"/>
  <c r="H50" i="28"/>
  <c r="I50" i="28"/>
  <c r="J50" i="28"/>
  <c r="K50" i="28"/>
  <c r="L50" i="28"/>
  <c r="M50" i="28"/>
  <c r="N50" i="28"/>
  <c r="O50" i="28"/>
  <c r="P50" i="28"/>
  <c r="F52" i="28"/>
  <c r="G52" i="28"/>
  <c r="H52" i="28"/>
  <c r="I52" i="28"/>
  <c r="J52" i="28"/>
  <c r="K52" i="28"/>
  <c r="L52" i="28"/>
  <c r="M52" i="28"/>
  <c r="N52" i="28"/>
  <c r="O52" i="28"/>
  <c r="P52" i="28"/>
  <c r="F53" i="28"/>
  <c r="G53" i="28"/>
  <c r="H53" i="28"/>
  <c r="I53" i="28"/>
  <c r="J53" i="28"/>
  <c r="K53" i="28"/>
  <c r="L53" i="28"/>
  <c r="M53" i="28"/>
  <c r="N53" i="28"/>
  <c r="O53" i="28"/>
  <c r="P53" i="28"/>
  <c r="F54" i="28"/>
  <c r="G54" i="28"/>
  <c r="H54" i="28"/>
  <c r="I54" i="28"/>
  <c r="J54" i="28"/>
  <c r="K54" i="28"/>
  <c r="L54" i="28"/>
  <c r="M54" i="28"/>
  <c r="N54" i="28"/>
  <c r="O54" i="28"/>
  <c r="P54" i="28"/>
  <c r="F55" i="28"/>
  <c r="G55" i="28"/>
  <c r="H55" i="28"/>
  <c r="I55" i="28"/>
  <c r="J55" i="28"/>
  <c r="K55" i="28"/>
  <c r="L55" i="28"/>
  <c r="M55" i="28"/>
  <c r="N55" i="28"/>
  <c r="O55" i="28"/>
  <c r="P55" i="28"/>
  <c r="F56" i="28"/>
  <c r="G56" i="28"/>
  <c r="H56" i="28"/>
  <c r="I56" i="28"/>
  <c r="J56" i="28"/>
  <c r="K56" i="28"/>
  <c r="L56" i="28"/>
  <c r="M56" i="28"/>
  <c r="N56" i="28"/>
  <c r="O56" i="28"/>
  <c r="P56" i="28"/>
  <c r="F57" i="28"/>
  <c r="G57" i="28"/>
  <c r="H57" i="28"/>
  <c r="I57" i="28"/>
  <c r="J57" i="28"/>
  <c r="K57" i="28"/>
  <c r="L57" i="28"/>
  <c r="M57" i="28"/>
  <c r="N57" i="28"/>
  <c r="O57" i="28"/>
  <c r="P57" i="28"/>
  <c r="F60" i="28"/>
  <c r="G60" i="28"/>
  <c r="H60" i="28"/>
  <c r="I60" i="28"/>
  <c r="J60" i="28"/>
  <c r="K60" i="28"/>
  <c r="L60" i="28"/>
  <c r="M60" i="28"/>
  <c r="N60" i="28"/>
  <c r="O60" i="28"/>
  <c r="P60" i="28"/>
  <c r="F61" i="28"/>
  <c r="G61" i="28"/>
  <c r="H61" i="28"/>
  <c r="I61" i="28"/>
  <c r="J61" i="28"/>
  <c r="K61" i="28"/>
  <c r="L61" i="28"/>
  <c r="M61" i="28"/>
  <c r="N61" i="28"/>
  <c r="O61" i="28"/>
  <c r="P61" i="28"/>
  <c r="F63" i="28"/>
  <c r="G63" i="28"/>
  <c r="H63" i="28"/>
  <c r="I63" i="28"/>
  <c r="J63" i="28"/>
  <c r="K63" i="28"/>
  <c r="L63" i="28"/>
  <c r="M63" i="28"/>
  <c r="N63" i="28"/>
  <c r="O63" i="28"/>
  <c r="P63" i="28"/>
  <c r="F64" i="28"/>
  <c r="G64" i="28"/>
  <c r="H64" i="28"/>
  <c r="I64" i="28"/>
  <c r="J64" i="28"/>
  <c r="K64" i="28"/>
  <c r="L64" i="28"/>
  <c r="M64" i="28"/>
  <c r="N64" i="28"/>
  <c r="O64" i="28"/>
  <c r="P64" i="28"/>
  <c r="F65" i="28"/>
  <c r="G65" i="28"/>
  <c r="H65" i="28"/>
  <c r="I65" i="28"/>
  <c r="J65" i="28"/>
  <c r="K65" i="28"/>
  <c r="L65" i="28"/>
  <c r="M65" i="28"/>
  <c r="N65" i="28"/>
  <c r="O65" i="28"/>
  <c r="P65" i="28"/>
  <c r="F66" i="28"/>
  <c r="G66" i="28"/>
  <c r="H66" i="28"/>
  <c r="I66" i="28"/>
  <c r="J66" i="28"/>
  <c r="K66" i="28"/>
  <c r="L66" i="28"/>
  <c r="M66" i="28"/>
  <c r="N66" i="28"/>
  <c r="O66" i="28"/>
  <c r="P66" i="28"/>
  <c r="F67" i="28"/>
  <c r="G67" i="28"/>
  <c r="H67" i="28"/>
  <c r="I67" i="28"/>
  <c r="J67" i="28"/>
  <c r="K67" i="28"/>
  <c r="L67" i="28"/>
  <c r="M67" i="28"/>
  <c r="N67" i="28"/>
  <c r="O67" i="28"/>
  <c r="P67" i="28"/>
  <c r="F68" i="28"/>
  <c r="G68" i="28"/>
  <c r="H68" i="28"/>
  <c r="I68" i="28"/>
  <c r="J68" i="28"/>
  <c r="K68" i="28"/>
  <c r="L68" i="28"/>
  <c r="M68" i="28"/>
  <c r="N68" i="28"/>
  <c r="O68" i="28"/>
  <c r="P68" i="28"/>
  <c r="F71" i="28"/>
  <c r="G71" i="28"/>
  <c r="H71" i="28"/>
  <c r="I71" i="28"/>
  <c r="J71" i="28"/>
  <c r="K71" i="28"/>
  <c r="L71" i="28"/>
  <c r="M71" i="28"/>
  <c r="N71" i="28"/>
  <c r="O71" i="28"/>
  <c r="P71" i="28"/>
  <c r="F72" i="28"/>
  <c r="G72" i="28"/>
  <c r="H72" i="28"/>
  <c r="I72" i="28"/>
  <c r="J72" i="28"/>
  <c r="K72" i="28"/>
  <c r="L72" i="28"/>
  <c r="M72" i="28"/>
  <c r="N72" i="28"/>
  <c r="O72" i="28"/>
  <c r="P72" i="28"/>
  <c r="F74" i="28"/>
  <c r="G74" i="28"/>
  <c r="H74" i="28"/>
  <c r="I74" i="28"/>
  <c r="J74" i="28"/>
  <c r="K74" i="28"/>
  <c r="L74" i="28"/>
  <c r="M74" i="28"/>
  <c r="N74" i="28"/>
  <c r="O74" i="28"/>
  <c r="P74" i="28"/>
  <c r="F75" i="28"/>
  <c r="G75" i="28"/>
  <c r="H75" i="28"/>
  <c r="I75" i="28"/>
  <c r="J75" i="28"/>
  <c r="K75" i="28"/>
  <c r="L75" i="28"/>
  <c r="M75" i="28"/>
  <c r="N75" i="28"/>
  <c r="O75" i="28"/>
  <c r="P75" i="28"/>
  <c r="Q69" i="28"/>
  <c r="R69" i="28" s="1"/>
  <c r="E75" i="28"/>
  <c r="E74" i="28"/>
  <c r="E72" i="28"/>
  <c r="E71" i="28"/>
  <c r="E68" i="28"/>
  <c r="E67" i="28"/>
  <c r="E66" i="28"/>
  <c r="E65" i="28"/>
  <c r="E64" i="28"/>
  <c r="E63" i="28"/>
  <c r="E61" i="28"/>
  <c r="E60" i="28"/>
  <c r="E57" i="28"/>
  <c r="E56" i="28"/>
  <c r="E55" i="28"/>
  <c r="E54" i="28"/>
  <c r="E53" i="28"/>
  <c r="E52" i="28"/>
  <c r="E50" i="28"/>
  <c r="E49" i="28"/>
  <c r="E46" i="28"/>
  <c r="E45" i="28"/>
  <c r="E44" i="28"/>
  <c r="E43" i="28"/>
  <c r="P35" i="28"/>
  <c r="O35" i="28"/>
  <c r="N35" i="28"/>
  <c r="M35" i="28"/>
  <c r="L35" i="28"/>
  <c r="K35" i="28"/>
  <c r="P33" i="28"/>
  <c r="O33" i="28"/>
  <c r="N33" i="28"/>
  <c r="M33" i="28"/>
  <c r="L33" i="28"/>
  <c r="K33" i="28"/>
  <c r="P32" i="28"/>
  <c r="O32" i="28"/>
  <c r="N32" i="28"/>
  <c r="M32" i="28"/>
  <c r="L32" i="28"/>
  <c r="K32" i="28"/>
  <c r="P28" i="28"/>
  <c r="O28" i="28"/>
  <c r="N28" i="28"/>
  <c r="M28" i="28"/>
  <c r="L28" i="28"/>
  <c r="K28" i="28"/>
  <c r="P27" i="28"/>
  <c r="O27" i="28"/>
  <c r="N27" i="28"/>
  <c r="M27" i="28"/>
  <c r="L27" i="28"/>
  <c r="K27" i="28"/>
  <c r="P26" i="28"/>
  <c r="O26" i="28"/>
  <c r="N26" i="28"/>
  <c r="M26" i="28"/>
  <c r="L26" i="28"/>
  <c r="K26" i="28"/>
  <c r="P25" i="28"/>
  <c r="O25" i="28"/>
  <c r="N25" i="28"/>
  <c r="M25" i="28"/>
  <c r="L25" i="28"/>
  <c r="K25" i="28"/>
  <c r="P24" i="28"/>
  <c r="O24" i="28"/>
  <c r="N24" i="28"/>
  <c r="M24" i="28"/>
  <c r="L24" i="28"/>
  <c r="K24" i="28"/>
  <c r="P22" i="28"/>
  <c r="O22" i="28"/>
  <c r="N22" i="28"/>
  <c r="M22" i="28"/>
  <c r="L22" i="28"/>
  <c r="K22" i="28"/>
  <c r="P21" i="28"/>
  <c r="O21" i="28"/>
  <c r="N21" i="28"/>
  <c r="M21" i="28"/>
  <c r="L21" i="28"/>
  <c r="K21" i="28"/>
  <c r="P18" i="28"/>
  <c r="O18" i="28"/>
  <c r="N18" i="28"/>
  <c r="M18" i="28"/>
  <c r="L18" i="28"/>
  <c r="K18" i="28"/>
  <c r="P17" i="28"/>
  <c r="O17" i="28"/>
  <c r="N17" i="28"/>
  <c r="M17" i="28"/>
  <c r="L17" i="28"/>
  <c r="K17" i="28"/>
  <c r="P16" i="28"/>
  <c r="O16" i="28"/>
  <c r="N16" i="28"/>
  <c r="M16" i="28"/>
  <c r="L16" i="28"/>
  <c r="K16" i="28"/>
  <c r="P15" i="28"/>
  <c r="O15" i="28"/>
  <c r="N15" i="28"/>
  <c r="M15" i="28"/>
  <c r="L15" i="28"/>
  <c r="K15" i="28"/>
  <c r="L13" i="28"/>
  <c r="M13" i="28"/>
  <c r="N13" i="28"/>
  <c r="O13" i="28"/>
  <c r="P13" i="28"/>
  <c r="K13" i="28"/>
  <c r="L10" i="28"/>
  <c r="M10" i="28"/>
  <c r="N10" i="28"/>
  <c r="O10" i="28"/>
  <c r="P10" i="28"/>
  <c r="L11" i="28"/>
  <c r="M11" i="28"/>
  <c r="N11" i="28"/>
  <c r="O11" i="28"/>
  <c r="P11" i="28"/>
  <c r="K11" i="28"/>
  <c r="K10" i="28"/>
  <c r="L4" i="28"/>
  <c r="M4" i="28"/>
  <c r="N4" i="28"/>
  <c r="O4" i="28"/>
  <c r="P4" i="28"/>
  <c r="L5" i="28"/>
  <c r="M5" i="28"/>
  <c r="N5" i="28"/>
  <c r="O5" i="28"/>
  <c r="P5" i="28"/>
  <c r="L6" i="28"/>
  <c r="M6" i="28"/>
  <c r="N6" i="28"/>
  <c r="O6" i="28"/>
  <c r="P6" i="28"/>
  <c r="L7" i="28"/>
  <c r="M7" i="28"/>
  <c r="N7" i="28"/>
  <c r="O7" i="28"/>
  <c r="P7" i="28"/>
  <c r="K5" i="28"/>
  <c r="K6" i="28"/>
  <c r="K7" i="28"/>
  <c r="K4" i="28"/>
  <c r="P113" i="28"/>
  <c r="O113" i="28"/>
  <c r="N113" i="28"/>
  <c r="M113" i="28"/>
  <c r="L113" i="28"/>
  <c r="K113" i="28"/>
  <c r="J113" i="28"/>
  <c r="I113" i="28"/>
  <c r="H113" i="28"/>
  <c r="G113" i="28"/>
  <c r="F113" i="28"/>
  <c r="E113" i="28"/>
  <c r="P111" i="28"/>
  <c r="O111" i="28"/>
  <c r="N111" i="28"/>
  <c r="M111" i="28"/>
  <c r="L111" i="28"/>
  <c r="K111" i="28"/>
  <c r="J111" i="28"/>
  <c r="I111" i="28"/>
  <c r="H111" i="28"/>
  <c r="G111" i="28"/>
  <c r="F111" i="28"/>
  <c r="E111" i="28"/>
  <c r="P110" i="28"/>
  <c r="O110" i="28"/>
  <c r="N110" i="28"/>
  <c r="M110" i="28"/>
  <c r="L110" i="28"/>
  <c r="K110" i="28"/>
  <c r="J110" i="28"/>
  <c r="I110" i="28"/>
  <c r="H110" i="28"/>
  <c r="G110" i="28"/>
  <c r="F110" i="28"/>
  <c r="E110" i="28"/>
  <c r="P108" i="28"/>
  <c r="O108" i="28"/>
  <c r="N108" i="28"/>
  <c r="M108" i="28"/>
  <c r="L108" i="28"/>
  <c r="K108" i="28"/>
  <c r="J108" i="28"/>
  <c r="I108" i="28"/>
  <c r="H108" i="28"/>
  <c r="G108" i="28"/>
  <c r="F108" i="28"/>
  <c r="E108" i="28"/>
  <c r="P107" i="28"/>
  <c r="O107" i="28"/>
  <c r="N107" i="28"/>
  <c r="M107" i="28"/>
  <c r="L107" i="28"/>
  <c r="K107" i="28"/>
  <c r="J107" i="28"/>
  <c r="I107" i="28"/>
  <c r="H107" i="28"/>
  <c r="G107" i="28"/>
  <c r="F107" i="28"/>
  <c r="E107" i="28"/>
  <c r="P106" i="28"/>
  <c r="O106" i="28"/>
  <c r="N106" i="28"/>
  <c r="M106" i="28"/>
  <c r="L106" i="28"/>
  <c r="K106" i="28"/>
  <c r="J106" i="28"/>
  <c r="I106" i="28"/>
  <c r="H106" i="28"/>
  <c r="G106" i="28"/>
  <c r="F106" i="28"/>
  <c r="E106" i="28"/>
  <c r="P105" i="28"/>
  <c r="O105" i="28"/>
  <c r="N105" i="28"/>
  <c r="M105" i="28"/>
  <c r="L105" i="28"/>
  <c r="K105" i="28"/>
  <c r="J105" i="28"/>
  <c r="I105" i="28"/>
  <c r="H105" i="28"/>
  <c r="G105" i="28"/>
  <c r="F105" i="28"/>
  <c r="E105" i="28"/>
  <c r="P104" i="28"/>
  <c r="P109" i="28" s="1"/>
  <c r="P112" i="28" s="1"/>
  <c r="P114" i="28" s="1"/>
  <c r="O104" i="28"/>
  <c r="N104" i="28"/>
  <c r="M104" i="28"/>
  <c r="M109" i="28" s="1"/>
  <c r="M112" i="28" s="1"/>
  <c r="M114" i="28" s="1"/>
  <c r="L104" i="28"/>
  <c r="L109" i="28" s="1"/>
  <c r="L112" i="28" s="1"/>
  <c r="L114" i="28" s="1"/>
  <c r="K104" i="28"/>
  <c r="J104" i="28"/>
  <c r="I104" i="28"/>
  <c r="I109" i="28" s="1"/>
  <c r="I112" i="28" s="1"/>
  <c r="I114" i="28" s="1"/>
  <c r="H104" i="28"/>
  <c r="H109" i="28" s="1"/>
  <c r="H112" i="28" s="1"/>
  <c r="H114" i="28" s="1"/>
  <c r="G104" i="28"/>
  <c r="F104" i="28"/>
  <c r="E104" i="28"/>
  <c r="E109" i="28" s="1"/>
  <c r="Q102" i="28"/>
  <c r="Q100" i="28"/>
  <c r="Q99" i="28"/>
  <c r="P98" i="28"/>
  <c r="P101" i="28" s="1"/>
  <c r="P103" i="28" s="1"/>
  <c r="O98" i="28"/>
  <c r="O101" i="28" s="1"/>
  <c r="O103" i="28" s="1"/>
  <c r="N98" i="28"/>
  <c r="N101" i="28" s="1"/>
  <c r="N103" i="28" s="1"/>
  <c r="M98" i="28"/>
  <c r="M101" i="28" s="1"/>
  <c r="M103" i="28" s="1"/>
  <c r="L98" i="28"/>
  <c r="L101" i="28" s="1"/>
  <c r="L103" i="28" s="1"/>
  <c r="K98" i="28"/>
  <c r="K101" i="28" s="1"/>
  <c r="K103" i="28" s="1"/>
  <c r="J98" i="28"/>
  <c r="J101" i="28" s="1"/>
  <c r="J103" i="28" s="1"/>
  <c r="I98" i="28"/>
  <c r="I101" i="28" s="1"/>
  <c r="I103" i="28" s="1"/>
  <c r="H98" i="28"/>
  <c r="H101" i="28" s="1"/>
  <c r="H103" i="28" s="1"/>
  <c r="G98" i="28"/>
  <c r="G101" i="28" s="1"/>
  <c r="G103" i="28" s="1"/>
  <c r="F98" i="28"/>
  <c r="F101" i="28" s="1"/>
  <c r="F103" i="28" s="1"/>
  <c r="E98" i="28"/>
  <c r="Q97" i="28"/>
  <c r="Q96" i="28"/>
  <c r="Q95" i="28"/>
  <c r="Q94" i="28"/>
  <c r="Q93" i="28"/>
  <c r="Q91" i="28"/>
  <c r="Q89" i="28"/>
  <c r="Q88" i="28"/>
  <c r="P87" i="28"/>
  <c r="P90" i="28" s="1"/>
  <c r="P92" i="28" s="1"/>
  <c r="O87" i="28"/>
  <c r="O90" i="28" s="1"/>
  <c r="O92" i="28" s="1"/>
  <c r="N87" i="28"/>
  <c r="N90" i="28" s="1"/>
  <c r="N92" i="28" s="1"/>
  <c r="M87" i="28"/>
  <c r="M90" i="28" s="1"/>
  <c r="M92" i="28" s="1"/>
  <c r="L87" i="28"/>
  <c r="L90" i="28" s="1"/>
  <c r="L92" i="28" s="1"/>
  <c r="K87" i="28"/>
  <c r="K90" i="28" s="1"/>
  <c r="K92" i="28" s="1"/>
  <c r="J87" i="28"/>
  <c r="J90" i="28" s="1"/>
  <c r="J92" i="28" s="1"/>
  <c r="I87" i="28"/>
  <c r="I90" i="28" s="1"/>
  <c r="I92" i="28" s="1"/>
  <c r="H87" i="28"/>
  <c r="H90" i="28" s="1"/>
  <c r="H92" i="28" s="1"/>
  <c r="G87" i="28"/>
  <c r="G90" i="28" s="1"/>
  <c r="G92" i="28" s="1"/>
  <c r="F87" i="28"/>
  <c r="F90" i="28" s="1"/>
  <c r="F92" i="28" s="1"/>
  <c r="E87" i="28"/>
  <c r="E90" i="28" s="1"/>
  <c r="Q86" i="28"/>
  <c r="Q85" i="28"/>
  <c r="Q84" i="28"/>
  <c r="Q83" i="28"/>
  <c r="Q82" i="28"/>
  <c r="Q58" i="28"/>
  <c r="R58" i="28" s="1"/>
  <c r="Q47" i="28"/>
  <c r="R47" i="28" s="1"/>
  <c r="Q30" i="28"/>
  <c r="R30" i="28" s="1"/>
  <c r="Q19" i="28"/>
  <c r="R19" i="28" s="1"/>
  <c r="Q8" i="28"/>
  <c r="O109" i="28" l="1"/>
  <c r="O112" i="28" s="1"/>
  <c r="O114" i="28" s="1"/>
  <c r="F109" i="28"/>
  <c r="F112" i="28" s="1"/>
  <c r="F114" i="28" s="1"/>
  <c r="J109" i="28"/>
  <c r="J112" i="28" s="1"/>
  <c r="J114" i="28" s="1"/>
  <c r="N109" i="28"/>
  <c r="N112" i="28" s="1"/>
  <c r="N114" i="28" s="1"/>
  <c r="G109" i="28"/>
  <c r="G112" i="28" s="1"/>
  <c r="G114" i="28" s="1"/>
  <c r="Q98" i="28"/>
  <c r="K109" i="28"/>
  <c r="K112" i="28" s="1"/>
  <c r="K114" i="28" s="1"/>
  <c r="Q105" i="28"/>
  <c r="Q106" i="28"/>
  <c r="Q107" i="28"/>
  <c r="Q108" i="28"/>
  <c r="Q110" i="28"/>
  <c r="Q111" i="28"/>
  <c r="Q113" i="28"/>
  <c r="G58" i="22"/>
  <c r="Q50" i="28"/>
  <c r="R50" i="28" s="1"/>
  <c r="M70" i="28"/>
  <c r="M73" i="28" s="1"/>
  <c r="Q68" i="28"/>
  <c r="R68" i="28" s="1"/>
  <c r="G59" i="28"/>
  <c r="G62" i="28" s="1"/>
  <c r="O20" i="28"/>
  <c r="O23" i="28" s="1"/>
  <c r="L20" i="28"/>
  <c r="L23" i="28" s="1"/>
  <c r="P20" i="28"/>
  <c r="P23" i="28" s="1"/>
  <c r="F48" i="28"/>
  <c r="F51" i="28" s="1"/>
  <c r="K9" i="28"/>
  <c r="K12" i="28" s="1"/>
  <c r="Q10" i="28"/>
  <c r="R10" i="28" s="1"/>
  <c r="O59" i="28"/>
  <c r="O62" i="28" s="1"/>
  <c r="K59" i="28"/>
  <c r="K62" i="28" s="1"/>
  <c r="M48" i="28"/>
  <c r="M51" i="28" s="1"/>
  <c r="I48" i="28"/>
  <c r="I51" i="28" s="1"/>
  <c r="O48" i="28"/>
  <c r="O51" i="28" s="1"/>
  <c r="K48" i="28"/>
  <c r="K51" i="28" s="1"/>
  <c r="G48" i="28"/>
  <c r="G51" i="28" s="1"/>
  <c r="P48" i="28"/>
  <c r="P51" i="28" s="1"/>
  <c r="L48" i="28"/>
  <c r="L51" i="28" s="1"/>
  <c r="H48" i="28"/>
  <c r="H51" i="28" s="1"/>
  <c r="N48" i="28"/>
  <c r="N51" i="28" s="1"/>
  <c r="J48" i="28"/>
  <c r="J51" i="28" s="1"/>
  <c r="Q17" i="28"/>
  <c r="R17" i="28" s="1"/>
  <c r="Q21" i="28"/>
  <c r="R21" i="28" s="1"/>
  <c r="Q22" i="28"/>
  <c r="R22" i="28" s="1"/>
  <c r="Q24" i="28"/>
  <c r="R24" i="28" s="1"/>
  <c r="E48" i="28"/>
  <c r="E51" i="28" s="1"/>
  <c r="E59" i="28"/>
  <c r="E62" i="28" s="1"/>
  <c r="Q60" i="28"/>
  <c r="R60" i="28" s="1"/>
  <c r="I70" i="28"/>
  <c r="I73" i="28" s="1"/>
  <c r="Q49" i="28"/>
  <c r="R49" i="28" s="1"/>
  <c r="Q46" i="28"/>
  <c r="R46" i="28" s="1"/>
  <c r="M20" i="28"/>
  <c r="M23" i="28" s="1"/>
  <c r="Q16" i="28"/>
  <c r="R16" i="28" s="1"/>
  <c r="Q18" i="28"/>
  <c r="R18" i="28" s="1"/>
  <c r="P70" i="28"/>
  <c r="P73" i="28" s="1"/>
  <c r="L70" i="28"/>
  <c r="L73" i="28" s="1"/>
  <c r="H70" i="28"/>
  <c r="H73" i="28" s="1"/>
  <c r="O70" i="28"/>
  <c r="O73" i="28" s="1"/>
  <c r="K70" i="28"/>
  <c r="K73" i="28" s="1"/>
  <c r="G70" i="28"/>
  <c r="G73" i="28" s="1"/>
  <c r="N70" i="28"/>
  <c r="N73" i="28" s="1"/>
  <c r="J70" i="28"/>
  <c r="J73" i="28" s="1"/>
  <c r="F70" i="28"/>
  <c r="F73" i="28" s="1"/>
  <c r="Q63" i="28"/>
  <c r="R63" i="28" s="1"/>
  <c r="Q4" i="28"/>
  <c r="R4" i="28" s="1"/>
  <c r="Q11" i="28"/>
  <c r="R11" i="28" s="1"/>
  <c r="N20" i="28"/>
  <c r="N23" i="28" s="1"/>
  <c r="Q72" i="28"/>
  <c r="R72" i="28" s="1"/>
  <c r="Q61" i="28"/>
  <c r="R61" i="28" s="1"/>
  <c r="N59" i="28"/>
  <c r="N62" i="28" s="1"/>
  <c r="J59" i="28"/>
  <c r="J62" i="28" s="1"/>
  <c r="F59" i="28"/>
  <c r="F62" i="28" s="1"/>
  <c r="M59" i="28"/>
  <c r="M62" i="28" s="1"/>
  <c r="I59" i="28"/>
  <c r="I62" i="28" s="1"/>
  <c r="P59" i="28"/>
  <c r="P62" i="28" s="1"/>
  <c r="L59" i="28"/>
  <c r="L62" i="28" s="1"/>
  <c r="H59" i="28"/>
  <c r="H62" i="28" s="1"/>
  <c r="Q54" i="28"/>
  <c r="R54" i="28" s="1"/>
  <c r="Q57" i="28"/>
  <c r="R57" i="28" s="1"/>
  <c r="Q67" i="28"/>
  <c r="R67" i="28" s="1"/>
  <c r="Q56" i="28"/>
  <c r="R56" i="28" s="1"/>
  <c r="Q45" i="28"/>
  <c r="R45" i="28" s="1"/>
  <c r="Q55" i="28"/>
  <c r="R55" i="28" s="1"/>
  <c r="Q52" i="28"/>
  <c r="R52" i="28" s="1"/>
  <c r="Q74" i="28"/>
  <c r="R74" i="28" s="1"/>
  <c r="Q43" i="28"/>
  <c r="R43" i="28" s="1"/>
  <c r="Q65" i="28"/>
  <c r="R65" i="28" s="1"/>
  <c r="Q71" i="28"/>
  <c r="R71" i="28" s="1"/>
  <c r="Q44" i="28"/>
  <c r="R44" i="28" s="1"/>
  <c r="Q66" i="28"/>
  <c r="R66" i="28" s="1"/>
  <c r="E70" i="28"/>
  <c r="E73" i="28" s="1"/>
  <c r="K20" i="28"/>
  <c r="K23" i="28" s="1"/>
  <c r="Q15" i="28"/>
  <c r="R15" i="28" s="1"/>
  <c r="Q13" i="28"/>
  <c r="R13" i="28" s="1"/>
  <c r="Q35" i="28"/>
  <c r="R35" i="28" s="1"/>
  <c r="Q33" i="28"/>
  <c r="R33" i="28" s="1"/>
  <c r="M9" i="28"/>
  <c r="M12" i="28" s="1"/>
  <c r="Q6" i="28"/>
  <c r="R6" i="28" s="1"/>
  <c r="Q5" i="28"/>
  <c r="R5" i="28" s="1"/>
  <c r="Q26" i="28"/>
  <c r="R26" i="28" s="1"/>
  <c r="N9" i="28"/>
  <c r="N12" i="28" s="1"/>
  <c r="O9" i="28"/>
  <c r="O12" i="28" s="1"/>
  <c r="Q27" i="28"/>
  <c r="R27" i="28" s="1"/>
  <c r="Q28" i="28"/>
  <c r="R28" i="28" s="1"/>
  <c r="L9" i="28"/>
  <c r="L12" i="28" s="1"/>
  <c r="P9" i="28"/>
  <c r="P12" i="28" s="1"/>
  <c r="Q7" i="28"/>
  <c r="E112" i="28"/>
  <c r="Q90" i="28"/>
  <c r="Q92" i="28" s="1"/>
  <c r="E92" i="28"/>
  <c r="Q104" i="28"/>
  <c r="Q87" i="28"/>
  <c r="E101" i="28"/>
  <c r="Q109" i="28" l="1"/>
  <c r="Q23" i="28"/>
  <c r="Q25" i="28" s="1"/>
  <c r="R25" i="28" s="1"/>
  <c r="Q20" i="28"/>
  <c r="R20" i="28" s="1"/>
  <c r="Q59" i="28"/>
  <c r="R59" i="28" s="1"/>
  <c r="Q62" i="28"/>
  <c r="Q64" i="28" s="1"/>
  <c r="R64" i="28" s="1"/>
  <c r="Q48" i="28"/>
  <c r="R48" i="28" s="1"/>
  <c r="Q32" i="28"/>
  <c r="R32" i="28" s="1"/>
  <c r="Q12" i="28"/>
  <c r="Q9" i="28"/>
  <c r="E103" i="28"/>
  <c r="Q101" i="28"/>
  <c r="Q103" i="28" s="1"/>
  <c r="Q51" i="28"/>
  <c r="Q70" i="28"/>
  <c r="R70" i="28" s="1"/>
  <c r="E114" i="28"/>
  <c r="Q112" i="28"/>
  <c r="Q114" i="28" s="1"/>
  <c r="R23" i="28" l="1"/>
  <c r="R62" i="28"/>
  <c r="Q14" i="28"/>
  <c r="Q53" i="28"/>
  <c r="R53" i="28" s="1"/>
  <c r="R51" i="28"/>
  <c r="Q73" i="28"/>
  <c r="Q75" i="28" l="1"/>
  <c r="R75" i="28" s="1"/>
  <c r="R73" i="28"/>
  <c r="J84" i="15" l="1"/>
  <c r="F58" i="22" l="1"/>
  <c r="J83" i="15" l="1"/>
  <c r="F83" i="15"/>
  <c r="E11" i="25" l="1"/>
  <c r="E8" i="25" l="1"/>
  <c r="E12" i="25" s="1"/>
  <c r="F82" i="15" l="1"/>
  <c r="J82" i="15"/>
  <c r="D11" i="25" l="1"/>
  <c r="D8" i="25" l="1"/>
  <c r="D12" i="25" s="1"/>
  <c r="J81" i="15" l="1"/>
  <c r="F81" i="15"/>
  <c r="J93" i="15" l="1"/>
  <c r="J111" i="15" a="1"/>
  <c r="J111" i="15" s="1"/>
  <c r="J112" i="15" s="1" a="1"/>
  <c r="J112" i="15" s="1"/>
  <c r="F93" i="15"/>
  <c r="F111" i="15" a="1"/>
  <c r="F111" i="15" s="1"/>
  <c r="F112" i="15" s="1" a="1"/>
  <c r="F112" i="15" s="1"/>
  <c r="A81" i="15" l="1"/>
  <c r="A79" i="15"/>
  <c r="A82" i="15"/>
  <c r="A83" i="15"/>
  <c r="A84" i="15"/>
  <c r="A85" i="15"/>
  <c r="A86" i="15"/>
  <c r="A87" i="15"/>
  <c r="A88" i="15"/>
  <c r="A89" i="15"/>
  <c r="A90" i="15"/>
  <c r="A91" i="15"/>
  <c r="A92" i="15"/>
  <c r="C72" i="26"/>
  <c r="D72" i="26"/>
  <c r="E72" i="26"/>
  <c r="I4" i="26"/>
  <c r="M4" i="26"/>
  <c r="O4" i="26"/>
  <c r="Q4" i="26"/>
  <c r="L4" i="26"/>
  <c r="N4" i="26"/>
  <c r="P4" i="26"/>
  <c r="P16" i="26" s="1"/>
  <c r="E4" i="26" l="1"/>
  <c r="E16" i="26" s="1"/>
  <c r="K4" i="26"/>
  <c r="K16" i="26" s="1"/>
  <c r="J4" i="26"/>
  <c r="J16" i="26" s="1"/>
  <c r="C4" i="26"/>
  <c r="C16" i="26" s="1"/>
  <c r="N30" i="26"/>
  <c r="D4" i="26"/>
  <c r="D16" i="26" s="1"/>
  <c r="F4" i="26"/>
  <c r="F16" i="26" s="1"/>
  <c r="G4" i="26"/>
  <c r="G16" i="26" s="1"/>
  <c r="H4" i="26" l="1"/>
  <c r="H16" i="26" s="1"/>
  <c r="B4" i="26"/>
  <c r="B16" i="26" s="1"/>
  <c r="B3" i="12" l="1"/>
  <c r="B15" i="12" s="1"/>
  <c r="B17" i="12" l="1"/>
  <c r="B37" i="19" l="1"/>
  <c r="G15" i="19"/>
  <c r="B3" i="19" l="1"/>
  <c r="C15" i="19"/>
  <c r="B15" i="19" l="1"/>
  <c r="J79" i="15"/>
  <c r="F79" i="15"/>
  <c r="O6" i="22"/>
  <c r="J78" i="15"/>
  <c r="F78" i="15"/>
  <c r="J77" i="15"/>
  <c r="F77" i="15"/>
  <c r="J76" i="15"/>
  <c r="F76" i="15"/>
  <c r="J75" i="15"/>
  <c r="F75" i="15"/>
  <c r="E74" i="15"/>
  <c r="I74" i="15"/>
  <c r="C15" i="21"/>
  <c r="I73" i="15"/>
  <c r="E73" i="15"/>
  <c r="O16" i="22"/>
  <c r="O20" i="22"/>
  <c r="A75" i="15"/>
  <c r="A76" i="15"/>
  <c r="A77" i="15"/>
  <c r="A78" i="15"/>
  <c r="I72" i="15"/>
  <c r="A72" i="15"/>
  <c r="E72" i="15"/>
  <c r="I71" i="15"/>
  <c r="E71" i="15"/>
  <c r="C8" i="25"/>
  <c r="O3" i="22"/>
  <c r="O55" i="22"/>
  <c r="O54" i="22"/>
  <c r="O52" i="22"/>
  <c r="O50" i="22"/>
  <c r="O48" i="22"/>
  <c r="O46" i="22"/>
  <c r="C47" i="22"/>
  <c r="O42" i="22"/>
  <c r="O40" i="22"/>
  <c r="O39" i="22"/>
  <c r="O36" i="22"/>
  <c r="O34" i="22"/>
  <c r="O32" i="22"/>
  <c r="O30" i="22"/>
  <c r="O29" i="22"/>
  <c r="O28" i="22"/>
  <c r="O27" i="22"/>
  <c r="O26" i="22"/>
  <c r="O21" i="22"/>
  <c r="O19" i="22"/>
  <c r="O17" i="22"/>
  <c r="O15" i="22"/>
  <c r="O13" i="22"/>
  <c r="O12" i="22"/>
  <c r="O11" i="22"/>
  <c r="O9" i="22"/>
  <c r="O8" i="22"/>
  <c r="O7" i="22"/>
  <c r="O5" i="22"/>
  <c r="I68" i="15"/>
  <c r="I69" i="15"/>
  <c r="I70" i="15"/>
  <c r="E68" i="15"/>
  <c r="A69" i="15"/>
  <c r="E69" i="15"/>
  <c r="A70" i="15"/>
  <c r="E70" i="15"/>
  <c r="O25" i="22"/>
  <c r="O31" i="22"/>
  <c r="C11" i="25"/>
  <c r="O11" i="25" s="1"/>
  <c r="O10" i="25"/>
  <c r="O9" i="25"/>
  <c r="B16" i="19"/>
  <c r="A66" i="15"/>
  <c r="J65" i="15"/>
  <c r="A64" i="15"/>
  <c r="J63" i="15"/>
  <c r="J62" i="15"/>
  <c r="F62" i="15"/>
  <c r="I59" i="15"/>
  <c r="I60" i="15"/>
  <c r="I58" i="15"/>
  <c r="E58" i="15"/>
  <c r="E59" i="15"/>
  <c r="E60" i="15"/>
  <c r="A57" i="15"/>
  <c r="E57" i="15"/>
  <c r="I57" i="15"/>
  <c r="I56" i="15"/>
  <c r="I55" i="15"/>
  <c r="E56" i="15"/>
  <c r="E55" i="15"/>
  <c r="E3" i="15"/>
  <c r="O10" i="22"/>
  <c r="O14" i="22"/>
  <c r="O18" i="22"/>
  <c r="O41" i="22"/>
  <c r="O45" i="22"/>
  <c r="O49" i="22"/>
  <c r="O53" i="22"/>
  <c r="E53" i="15"/>
  <c r="I53" i="15"/>
  <c r="I52" i="15"/>
  <c r="E52" i="15"/>
  <c r="A52" i="15"/>
  <c r="I50" i="15"/>
  <c r="I51" i="15"/>
  <c r="A50" i="15"/>
  <c r="E50" i="15"/>
  <c r="E51" i="15"/>
  <c r="A49" i="15"/>
  <c r="E49" i="15"/>
  <c r="I49" i="15"/>
  <c r="A48" i="15"/>
  <c r="E48" i="15"/>
  <c r="I48" i="15"/>
  <c r="I47" i="15"/>
  <c r="E47" i="15"/>
  <c r="I46" i="15"/>
  <c r="E46" i="15"/>
  <c r="A46" i="15"/>
  <c r="A45" i="15"/>
  <c r="E45" i="15"/>
  <c r="I45" i="15"/>
  <c r="I44" i="15"/>
  <c r="E44" i="15"/>
  <c r="A44" i="15"/>
  <c r="I43" i="15"/>
  <c r="E43" i="15"/>
  <c r="I42" i="15"/>
  <c r="E42" i="15"/>
  <c r="A42" i="15"/>
  <c r="I40" i="15"/>
  <c r="E40" i="15"/>
  <c r="I39" i="15"/>
  <c r="E39" i="15"/>
  <c r="I38" i="15"/>
  <c r="E38" i="15"/>
  <c r="E37" i="15"/>
  <c r="I37" i="15"/>
  <c r="I36" i="15"/>
  <c r="E36" i="15"/>
  <c r="I35" i="15"/>
  <c r="E35" i="15"/>
  <c r="I34" i="15"/>
  <c r="I33" i="15"/>
  <c r="I32" i="15"/>
  <c r="I31" i="15"/>
  <c r="I30" i="15"/>
  <c r="I29" i="15"/>
  <c r="I27" i="15"/>
  <c r="I26" i="15"/>
  <c r="I25" i="15"/>
  <c r="I24" i="15"/>
  <c r="I23" i="15"/>
  <c r="I22" i="15"/>
  <c r="I21" i="15"/>
  <c r="I20" i="15"/>
  <c r="I19" i="15"/>
  <c r="I18" i="15"/>
  <c r="I17" i="15"/>
  <c r="I16" i="15"/>
  <c r="I14" i="15"/>
  <c r="I13" i="15"/>
  <c r="I12" i="15"/>
  <c r="I11" i="15"/>
  <c r="I10" i="15"/>
  <c r="I9" i="15"/>
  <c r="I8" i="15"/>
  <c r="I7" i="15"/>
  <c r="I6" i="15"/>
  <c r="I5" i="15"/>
  <c r="I4" i="15"/>
  <c r="I3" i="15"/>
  <c r="E34" i="15"/>
  <c r="E33" i="15"/>
  <c r="E32" i="15"/>
  <c r="E31" i="15"/>
  <c r="E30" i="15"/>
  <c r="E29" i="15"/>
  <c r="E27" i="15"/>
  <c r="E26" i="15"/>
  <c r="E25" i="15"/>
  <c r="E24" i="15"/>
  <c r="E23" i="15"/>
  <c r="E22" i="15"/>
  <c r="E21" i="15"/>
  <c r="E20" i="15"/>
  <c r="E19" i="15"/>
  <c r="E18" i="15"/>
  <c r="E17" i="15"/>
  <c r="E16" i="15"/>
  <c r="E14" i="15"/>
  <c r="E13" i="15"/>
  <c r="E12" i="15"/>
  <c r="E11" i="15"/>
  <c r="E10" i="15"/>
  <c r="E9" i="15"/>
  <c r="E8" i="15"/>
  <c r="E7" i="15"/>
  <c r="E6" i="15"/>
  <c r="E5" i="15"/>
  <c r="E4" i="15"/>
  <c r="B2" i="23"/>
  <c r="B3" i="23"/>
  <c r="B4" i="23"/>
  <c r="B5" i="23"/>
  <c r="B6" i="23"/>
  <c r="B7" i="23"/>
  <c r="B8" i="23"/>
  <c r="B9" i="23"/>
  <c r="B10" i="23"/>
  <c r="B11" i="23"/>
  <c r="B12" i="23"/>
  <c r="B13" i="23"/>
  <c r="C37" i="19"/>
  <c r="D37" i="19"/>
  <c r="E37" i="19"/>
  <c r="F37" i="19"/>
  <c r="B21" i="23"/>
  <c r="C12" i="23"/>
  <c r="C5" i="23"/>
  <c r="C4" i="23"/>
  <c r="C9" i="23"/>
  <c r="C8" i="23"/>
  <c r="C3" i="23"/>
  <c r="C6" i="23"/>
  <c r="C7" i="23"/>
  <c r="C11" i="23"/>
  <c r="C13" i="23"/>
  <c r="C2" i="23"/>
  <c r="C10" i="23"/>
  <c r="B14" i="23"/>
  <c r="B19" i="23"/>
  <c r="A59" i="15"/>
  <c r="A58" i="15"/>
  <c r="D76" i="27"/>
  <c r="P76" i="27" s="1"/>
  <c r="D77" i="27"/>
  <c r="P77" i="27" s="1"/>
  <c r="D79" i="27"/>
  <c r="D78" i="27"/>
  <c r="P78" i="27" s="1"/>
  <c r="D73" i="27"/>
  <c r="P73" i="27" s="1"/>
  <c r="D72" i="27"/>
  <c r="P72" i="27" s="1"/>
  <c r="D69" i="27"/>
  <c r="P69" i="27" s="1"/>
  <c r="D71" i="27"/>
  <c r="P71" i="27" s="1"/>
  <c r="D70" i="27"/>
  <c r="P70" i="27" s="1"/>
  <c r="D60" i="27"/>
  <c r="P60" i="27" s="1"/>
  <c r="D56" i="27"/>
  <c r="P56" i="27" s="1"/>
  <c r="D52" i="27"/>
  <c r="P52" i="27" s="1"/>
  <c r="D63" i="27"/>
  <c r="P63" i="27" s="1"/>
  <c r="D59" i="27"/>
  <c r="P59" i="27" s="1"/>
  <c r="D55" i="27"/>
  <c r="P55" i="27" s="1"/>
  <c r="D51" i="27"/>
  <c r="P51" i="27" s="1"/>
  <c r="D62" i="27"/>
  <c r="P62" i="27" s="1"/>
  <c r="D58" i="27"/>
  <c r="P58" i="27" s="1"/>
  <c r="D54" i="27"/>
  <c r="P54" i="27" s="1"/>
  <c r="D61" i="27"/>
  <c r="P61" i="27" s="1"/>
  <c r="D57" i="27"/>
  <c r="P57" i="27" s="1"/>
  <c r="D53" i="27"/>
  <c r="P53" i="27" s="1"/>
  <c r="D42" i="27"/>
  <c r="P42" i="27" s="1"/>
  <c r="D48" i="27"/>
  <c r="P48" i="27" s="1"/>
  <c r="D41" i="27"/>
  <c r="P41" i="27" s="1"/>
  <c r="D47" i="27"/>
  <c r="P47" i="27" s="1"/>
  <c r="D40" i="27"/>
  <c r="P40" i="27" s="1"/>
  <c r="D50" i="27"/>
  <c r="P50" i="27" s="1"/>
  <c r="D46" i="27"/>
  <c r="P46" i="27" s="1"/>
  <c r="D45" i="27"/>
  <c r="P45" i="27" s="1"/>
  <c r="D49" i="27"/>
  <c r="P49" i="27" s="1"/>
  <c r="D28" i="27"/>
  <c r="P28" i="27" s="1"/>
  <c r="D35" i="27"/>
  <c r="P35" i="27" s="1"/>
  <c r="D31" i="27"/>
  <c r="P31" i="27" s="1"/>
  <c r="D34" i="27"/>
  <c r="P34" i="27" s="1"/>
  <c r="D30" i="27"/>
  <c r="P30" i="27" s="1"/>
  <c r="D37" i="27"/>
  <c r="P37" i="27" s="1"/>
  <c r="D33" i="27"/>
  <c r="P33" i="27" s="1"/>
  <c r="D29" i="27"/>
  <c r="P29" i="27" s="1"/>
  <c r="D36" i="27"/>
  <c r="P36" i="27" s="1"/>
  <c r="D32" i="27"/>
  <c r="P32" i="27" s="1"/>
  <c r="D22" i="27"/>
  <c r="D18" i="27"/>
  <c r="P18" i="27" s="1"/>
  <c r="D14" i="27"/>
  <c r="P14" i="27" s="1"/>
  <c r="D10" i="27"/>
  <c r="P10" i="27" s="1"/>
  <c r="D6" i="27"/>
  <c r="P6" i="27" s="1"/>
  <c r="D25" i="27"/>
  <c r="P25" i="27" s="1"/>
  <c r="D21" i="27"/>
  <c r="D17" i="27"/>
  <c r="P17" i="27" s="1"/>
  <c r="D13" i="27"/>
  <c r="P13" i="27" s="1"/>
  <c r="D9" i="27"/>
  <c r="P9" i="27" s="1"/>
  <c r="D5" i="27"/>
  <c r="P5" i="27" s="1"/>
  <c r="D24" i="27"/>
  <c r="D20" i="27"/>
  <c r="P20" i="27" s="1"/>
  <c r="D16" i="27"/>
  <c r="D12" i="27"/>
  <c r="D8" i="27"/>
  <c r="P8" i="27" s="1"/>
  <c r="D4" i="27"/>
  <c r="P4" i="27" s="1"/>
  <c r="D23" i="27"/>
  <c r="D19" i="27"/>
  <c r="P19" i="27" s="1"/>
  <c r="D15" i="27"/>
  <c r="P15" i="27" s="1"/>
  <c r="D11" i="27"/>
  <c r="D7" i="27"/>
  <c r="P7" i="27" s="1"/>
  <c r="D67" i="27"/>
  <c r="D66" i="27"/>
  <c r="P66" i="27" s="1"/>
  <c r="D38" i="27"/>
  <c r="P38" i="27" s="1"/>
  <c r="D43" i="27"/>
  <c r="P43" i="27" s="1"/>
  <c r="D74" i="27"/>
  <c r="P74" i="27" s="1"/>
  <c r="D80" i="27"/>
  <c r="D26" i="27"/>
  <c r="D64" i="27"/>
  <c r="P64" i="27" s="1"/>
  <c r="I80" i="15" l="1"/>
  <c r="B29" i="20"/>
  <c r="A68" i="15"/>
  <c r="C80" i="15"/>
  <c r="A80" i="15" s="1"/>
  <c r="F29" i="15"/>
  <c r="J22" i="15"/>
  <c r="F37" i="15"/>
  <c r="G80" i="15"/>
  <c r="E80" i="15"/>
  <c r="J9" i="15"/>
  <c r="J35" i="15"/>
  <c r="F30" i="15"/>
  <c r="J7" i="15"/>
  <c r="J11" i="15"/>
  <c r="J24" i="15"/>
  <c r="J29" i="15"/>
  <c r="F8" i="15"/>
  <c r="F24" i="15"/>
  <c r="J5" i="15"/>
  <c r="J13" i="15"/>
  <c r="J18" i="15"/>
  <c r="J36" i="15"/>
  <c r="F33" i="15"/>
  <c r="J44" i="15"/>
  <c r="J8" i="15"/>
  <c r="J10" i="15"/>
  <c r="J12" i="15"/>
  <c r="J14" i="15"/>
  <c r="J23" i="15"/>
  <c r="F35" i="15"/>
  <c r="F36" i="15"/>
  <c r="J34" i="15"/>
  <c r="J26" i="15"/>
  <c r="J49" i="15"/>
  <c r="F50" i="15"/>
  <c r="J16" i="15"/>
  <c r="F21" i="15"/>
  <c r="E15" i="15"/>
  <c r="E54" i="15"/>
  <c r="F20" i="15"/>
  <c r="F40" i="15"/>
  <c r="F47" i="15"/>
  <c r="F16" i="15"/>
  <c r="F12" i="15"/>
  <c r="J31" i="15"/>
  <c r="F48" i="15"/>
  <c r="F52" i="15"/>
  <c r="F51" i="15"/>
  <c r="C15" i="15"/>
  <c r="F5" i="15"/>
  <c r="F6" i="15"/>
  <c r="F7" i="15"/>
  <c r="F9" i="15"/>
  <c r="F10" i="15"/>
  <c r="F11" i="15"/>
  <c r="F13" i="15"/>
  <c r="F14" i="15"/>
  <c r="C28" i="15"/>
  <c r="F17" i="15"/>
  <c r="F18" i="15"/>
  <c r="E28" i="15"/>
  <c r="F19" i="15"/>
  <c r="F22" i="15"/>
  <c r="F23" i="15"/>
  <c r="F25" i="15"/>
  <c r="F26" i="15"/>
  <c r="F27" i="15"/>
  <c r="C41" i="15"/>
  <c r="F31" i="15"/>
  <c r="F32" i="15"/>
  <c r="E41" i="15"/>
  <c r="F34" i="15"/>
  <c r="J3" i="15"/>
  <c r="I15" i="15"/>
  <c r="J4" i="15"/>
  <c r="G15" i="15"/>
  <c r="J6" i="15"/>
  <c r="J17" i="15"/>
  <c r="I28" i="15"/>
  <c r="J19" i="15"/>
  <c r="G28" i="15"/>
  <c r="J20" i="15"/>
  <c r="J21" i="15"/>
  <c r="J25" i="15"/>
  <c r="J27" i="15"/>
  <c r="J30" i="15"/>
  <c r="I41" i="15"/>
  <c r="G41" i="15"/>
  <c r="J32" i="15"/>
  <c r="J33" i="15"/>
  <c r="J37" i="15"/>
  <c r="F38" i="15"/>
  <c r="J38" i="15"/>
  <c r="F39" i="15"/>
  <c r="J39" i="15"/>
  <c r="J40" i="15"/>
  <c r="F42" i="15"/>
  <c r="I54" i="15"/>
  <c r="J42" i="15"/>
  <c r="J47" i="15"/>
  <c r="G54" i="15"/>
  <c r="A65" i="15"/>
  <c r="F65" i="15"/>
  <c r="J45" i="15"/>
  <c r="F46" i="15"/>
  <c r="J48" i="15"/>
  <c r="J51" i="15"/>
  <c r="J50" i="15"/>
  <c r="A43" i="15"/>
  <c r="C54" i="15"/>
  <c r="A54" i="15" s="1"/>
  <c r="F43" i="15"/>
  <c r="J43" i="15"/>
  <c r="F44" i="15"/>
  <c r="J52" i="15"/>
  <c r="A53" i="15"/>
  <c r="F53" i="15"/>
  <c r="J53" i="15"/>
  <c r="F45" i="15"/>
  <c r="J46" i="15"/>
  <c r="A47" i="15"/>
  <c r="F49" i="15"/>
  <c r="A51" i="15"/>
  <c r="B20" i="23"/>
  <c r="B17" i="23"/>
  <c r="B18" i="23"/>
  <c r="B16" i="23"/>
  <c r="B15" i="23"/>
  <c r="I67" i="15"/>
  <c r="F56" i="15"/>
  <c r="D68" i="27"/>
  <c r="P68" i="27" s="1"/>
  <c r="F57" i="15"/>
  <c r="F72" i="15"/>
  <c r="A73" i="15"/>
  <c r="G30" i="26"/>
  <c r="F58" i="15"/>
  <c r="P80" i="27"/>
  <c r="P21" i="27"/>
  <c r="P22" i="27"/>
  <c r="F59" i="15"/>
  <c r="J58" i="15"/>
  <c r="F68" i="15"/>
  <c r="F69" i="15"/>
  <c r="F73" i="15"/>
  <c r="A62" i="15"/>
  <c r="F63" i="15"/>
  <c r="A63" i="15"/>
  <c r="G72" i="26"/>
  <c r="M44" i="26"/>
  <c r="L44" i="26"/>
  <c r="P11" i="27"/>
  <c r="P23" i="27"/>
  <c r="P12" i="27"/>
  <c r="P16" i="27"/>
  <c r="P24" i="27"/>
  <c r="D81" i="27"/>
  <c r="A55" i="15"/>
  <c r="J74" i="15"/>
  <c r="P67" i="27"/>
  <c r="P30" i="26"/>
  <c r="M16" i="26"/>
  <c r="I16" i="26"/>
  <c r="J73" i="15"/>
  <c r="O86" i="26"/>
  <c r="K86" i="26"/>
  <c r="G86" i="26"/>
  <c r="I44" i="26"/>
  <c r="N16" i="26"/>
  <c r="I30" i="26"/>
  <c r="L30" i="26"/>
  <c r="O30" i="26"/>
  <c r="N86" i="26"/>
  <c r="J86" i="26"/>
  <c r="F86" i="26"/>
  <c r="M86" i="26"/>
  <c r="I86" i="26"/>
  <c r="E86" i="26"/>
  <c r="P86" i="26"/>
  <c r="L86" i="26"/>
  <c r="H86" i="26"/>
  <c r="O5" i="25"/>
  <c r="O7" i="25"/>
  <c r="I37" i="19"/>
  <c r="F61" i="15"/>
  <c r="A61" i="15"/>
  <c r="D27" i="27"/>
  <c r="P27" i="27" s="1"/>
  <c r="P79" i="27"/>
  <c r="D39" i="27"/>
  <c r="P39" i="27" s="1"/>
  <c r="A56" i="15"/>
  <c r="C67" i="15"/>
  <c r="A67" i="15" s="1"/>
  <c r="E67" i="15"/>
  <c r="J60" i="15"/>
  <c r="J66" i="15"/>
  <c r="D65" i="27"/>
  <c r="P65" i="27" s="1"/>
  <c r="P26" i="27"/>
  <c r="A60" i="15"/>
  <c r="F60" i="15"/>
  <c r="F55" i="15"/>
  <c r="G67" i="15"/>
  <c r="J59" i="15"/>
  <c r="J64" i="15"/>
  <c r="D75" i="27"/>
  <c r="D44" i="27"/>
  <c r="P44" i="27" s="1"/>
  <c r="J55" i="15"/>
  <c r="J56" i="15"/>
  <c r="J57" i="15"/>
  <c r="J72" i="15"/>
  <c r="F66" i="15"/>
  <c r="C12" i="25"/>
  <c r="O12" i="25" s="1"/>
  <c r="O16" i="26"/>
  <c r="J61" i="15"/>
  <c r="J70" i="15"/>
  <c r="J68" i="15"/>
  <c r="N44" i="26"/>
  <c r="F64" i="15"/>
  <c r="O4" i="25"/>
  <c r="O6" i="25"/>
  <c r="F70" i="15"/>
  <c r="J69" i="15"/>
  <c r="A74" i="15"/>
  <c r="F74" i="15"/>
  <c r="J71" i="15"/>
  <c r="A71" i="15"/>
  <c r="F71" i="15"/>
  <c r="P44" i="26"/>
  <c r="O72" i="26"/>
  <c r="O44" i="26"/>
  <c r="K44" i="26"/>
  <c r="L16" i="26"/>
  <c r="K58" i="22"/>
  <c r="O47" i="22"/>
  <c r="O56" i="22"/>
  <c r="M58" i="22"/>
  <c r="O51" i="22"/>
  <c r="O4" i="22"/>
  <c r="E58" i="22"/>
  <c r="O38" i="22"/>
  <c r="C43" i="22"/>
  <c r="O44" i="22"/>
  <c r="Q86" i="26" l="1"/>
  <c r="Q72" i="26"/>
  <c r="Q30" i="26"/>
  <c r="Q16" i="26"/>
  <c r="B17" i="19"/>
  <c r="J80" i="15"/>
  <c r="F80" i="15"/>
  <c r="C14" i="23"/>
  <c r="C19" i="23"/>
  <c r="J15" i="15"/>
  <c r="C21" i="23"/>
  <c r="F15" i="15"/>
  <c r="J41" i="15"/>
  <c r="C18" i="23"/>
  <c r="C16" i="23"/>
  <c r="C20" i="23"/>
  <c r="F28" i="15"/>
  <c r="C17" i="23"/>
  <c r="C15" i="23"/>
  <c r="J54" i="15"/>
  <c r="F54" i="15"/>
  <c r="J28" i="15"/>
  <c r="F41" i="15"/>
  <c r="P81" i="27"/>
  <c r="O8" i="25"/>
  <c r="F67" i="15"/>
  <c r="Q44" i="26"/>
  <c r="J67" i="15"/>
  <c r="P75" i="27"/>
  <c r="D83" i="27"/>
  <c r="P83" i="27" s="1"/>
  <c r="O43" i="22"/>
  <c r="I58" i="22"/>
  <c r="C35" i="22" l="1"/>
  <c r="C22" i="22" l="1"/>
  <c r="C23" i="22" s="1"/>
  <c r="C37" i="22"/>
  <c r="O35" i="22"/>
  <c r="C58" i="22" l="1"/>
  <c r="O37" i="22"/>
  <c r="O22" i="22"/>
  <c r="O58" i="22" l="1"/>
  <c r="O23" i="22"/>
  <c r="C11" i="11" l="1"/>
  <c r="C12" i="11" l="1"/>
  <c r="R7" i="28"/>
  <c r="R8" i="28"/>
  <c r="L29" i="28" l="1"/>
  <c r="L31" i="28" s="1"/>
  <c r="L34" i="28" s="1"/>
  <c r="M29" i="28"/>
  <c r="M31" i="28" s="1"/>
  <c r="M34" i="28" s="1"/>
  <c r="N29" i="28"/>
  <c r="N31" i="28" s="1"/>
  <c r="N34" i="28" s="1"/>
  <c r="O29" i="28"/>
  <c r="O31" i="28" s="1"/>
  <c r="O34" i="28" s="1"/>
  <c r="P29" i="28"/>
  <c r="P31" i="28" s="1"/>
  <c r="P34" i="28" s="1"/>
  <c r="K29" i="28"/>
  <c r="K31" i="28" l="1"/>
  <c r="Q29" i="28"/>
  <c r="R29" i="28" l="1"/>
  <c r="K34" i="28"/>
  <c r="Q34" i="28" s="1"/>
  <c r="Q31" i="28"/>
  <c r="Q36" i="28" l="1"/>
  <c r="P36" i="28"/>
  <c r="O36" i="28"/>
  <c r="N36" i="28"/>
  <c r="M36" i="28"/>
  <c r="L36" i="28"/>
  <c r="R31" i="28" l="1"/>
  <c r="R36" i="28" l="1"/>
  <c r="R34" i="28"/>
  <c r="K36" i="28"/>
  <c r="L14" i="28"/>
  <c r="M14" i="28"/>
  <c r="N14" i="28"/>
  <c r="O14" i="28"/>
  <c r="P14" i="28"/>
  <c r="R9" i="28" l="1"/>
  <c r="K14" i="28"/>
  <c r="R14" i="28" l="1"/>
  <c r="R12" i="28"/>
  <c r="C91" i="26" l="1"/>
  <c r="C101" i="26" s="1"/>
  <c r="E91" i="26"/>
  <c r="E101" i="26" s="1"/>
  <c r="F91" i="26"/>
  <c r="F101" i="26" s="1"/>
  <c r="G91" i="26"/>
  <c r="G101" i="26" s="1"/>
  <c r="K91" i="26"/>
  <c r="K101" i="26" s="1"/>
  <c r="L91" i="26"/>
  <c r="L101" i="26" s="1"/>
  <c r="M91" i="26"/>
  <c r="M101" i="26" s="1"/>
  <c r="O91" i="26"/>
  <c r="O101" i="26" s="1"/>
  <c r="P91" i="26"/>
  <c r="P101" i="26" s="1"/>
  <c r="H91" i="26" l="1"/>
  <c r="H101" i="26" s="1"/>
  <c r="D91" i="26"/>
  <c r="D101" i="26" s="1"/>
  <c r="N91" i="26"/>
  <c r="N101" i="26" s="1"/>
  <c r="J91" i="26"/>
  <c r="J101" i="26" s="1"/>
  <c r="B91" i="26"/>
  <c r="B101" i="26" s="1"/>
  <c r="I91" i="26"/>
  <c r="I101" i="26" s="1"/>
  <c r="Q101" i="26" l="1"/>
</calcChain>
</file>

<file path=xl/sharedStrings.xml><?xml version="1.0" encoding="utf-8"?>
<sst xmlns="http://schemas.openxmlformats.org/spreadsheetml/2006/main" count="612" uniqueCount="335">
  <si>
    <t>TOTAL</t>
  </si>
  <si>
    <t>November</t>
  </si>
  <si>
    <t>June</t>
  </si>
  <si>
    <t xml:space="preserve">July                  </t>
  </si>
  <si>
    <t xml:space="preserve">August             </t>
  </si>
  <si>
    <t xml:space="preserve">September       </t>
  </si>
  <si>
    <t xml:space="preserve">October            </t>
  </si>
  <si>
    <t xml:space="preserve">November        </t>
  </si>
  <si>
    <t xml:space="preserve">December        </t>
  </si>
  <si>
    <t xml:space="preserve">January            </t>
  </si>
  <si>
    <t xml:space="preserve">February          </t>
  </si>
  <si>
    <t xml:space="preserve">March            </t>
  </si>
  <si>
    <t xml:space="preserve">April                 </t>
  </si>
  <si>
    <t xml:space="preserve">May                 </t>
  </si>
  <si>
    <t>Private Duty Nursing</t>
  </si>
  <si>
    <t>Pharmacy</t>
  </si>
  <si>
    <t>Inpatient Hospital</t>
  </si>
  <si>
    <t>Outpatient Hospital</t>
  </si>
  <si>
    <t>Monthly Growth</t>
  </si>
  <si>
    <t>Breast &amp; Cervical Cancer Program</t>
  </si>
  <si>
    <t>Foster Care</t>
  </si>
  <si>
    <t>Monthly Growth Rate</t>
  </si>
  <si>
    <t>Children Dental Expenditures</t>
  </si>
  <si>
    <t>Remaining in Appropriation</t>
  </si>
  <si>
    <t>Notes:</t>
  </si>
  <si>
    <t xml:space="preserve">June </t>
  </si>
  <si>
    <t>HMO Average</t>
  </si>
  <si>
    <t>PCPP Average</t>
  </si>
  <si>
    <t>Total Children</t>
  </si>
  <si>
    <t>Total Prenatal</t>
  </si>
  <si>
    <t xml:space="preserve">Mental Health Capitation Payments </t>
  </si>
  <si>
    <t>Mental Health Fee for Service Payments</t>
  </si>
  <si>
    <t>Partial Dual Eligibles</t>
  </si>
  <si>
    <t>1)  The Medicaid Mental Health caseload is the same as the caseload for Medical Services Premiums, with the exception of Non-citizens and Partial Dual Eligibles.</t>
  </si>
  <si>
    <t>Total Year-to-Date Expenditures</t>
  </si>
  <si>
    <t>Total Year-to-Date Appropriation</t>
  </si>
  <si>
    <t>Over-the-year Growth</t>
  </si>
  <si>
    <t>Over-the-year Growth Rate</t>
  </si>
  <si>
    <t>1)  All children's caseload reporting includes the CHP+ at Work program.</t>
  </si>
  <si>
    <t>Total</t>
  </si>
  <si>
    <t>Behavioral Healthcare Inc.</t>
  </si>
  <si>
    <t>Northeast Behavioral Health</t>
  </si>
  <si>
    <t>Colorado Health Partnerships</t>
  </si>
  <si>
    <t>Other</t>
  </si>
  <si>
    <t>Total Year-to-Date Average</t>
  </si>
  <si>
    <t>Old Age Pension State Medical Program Caseload</t>
  </si>
  <si>
    <t>1)  Source for all caseload data provided is the REX01/COLD (MARS) R-474701 report.  The number of days captured in the monthly figure is equal to the number of days in the report month.</t>
  </si>
  <si>
    <t>Total Year-to-Date</t>
  </si>
  <si>
    <t>Medicare Modernization Act State Contribution Payment Caseload</t>
  </si>
  <si>
    <t>Service Category</t>
  </si>
  <si>
    <t>Acute Care</t>
  </si>
  <si>
    <t>Physician Service</t>
  </si>
  <si>
    <t>EPSDT Screening</t>
  </si>
  <si>
    <t>Emergency Transportation</t>
  </si>
  <si>
    <t>Non-Emergency Medical Transportation</t>
  </si>
  <si>
    <t>Dental Service</t>
  </si>
  <si>
    <t>Family Planning</t>
  </si>
  <si>
    <t>Health Maintenance Organization</t>
  </si>
  <si>
    <t>Laboratory and X-Ray</t>
  </si>
  <si>
    <t>Durable Medical Equipment (DME)</t>
  </si>
  <si>
    <t>Drug Rebates - Standard</t>
  </si>
  <si>
    <t>Acute Care Subtotal</t>
  </si>
  <si>
    <t>Community Based 
Long Term Care</t>
  </si>
  <si>
    <t>HCBS - Disabled Children</t>
  </si>
  <si>
    <t>HCBS - Consumer Directed Attendant Support</t>
  </si>
  <si>
    <t>HCBS - Brain Injury</t>
  </si>
  <si>
    <t>HCBS - Children with Autism</t>
  </si>
  <si>
    <t>HCBS - Pediatric Hospice</t>
  </si>
  <si>
    <t>Hospice</t>
  </si>
  <si>
    <t>CBLTC Subtotal</t>
  </si>
  <si>
    <t>Long Term Care and Insurance</t>
  </si>
  <si>
    <t>Supplemental Medicare Insurance Benefit</t>
  </si>
  <si>
    <t>Health Insurance Buy-In Program</t>
  </si>
  <si>
    <t>LTC + Insurance Subtotal</t>
  </si>
  <si>
    <t>Service Management Subtotal</t>
  </si>
  <si>
    <t>Financing</t>
  </si>
  <si>
    <t>Outpatient Hospital Upper Payment Limit</t>
  </si>
  <si>
    <t>Home Health Service Upper Payment Limit</t>
  </si>
  <si>
    <t>Other Categories Subtotal</t>
  </si>
  <si>
    <t>Total Expenditures</t>
  </si>
  <si>
    <t>Medicaid</t>
  </si>
  <si>
    <t>CHP+</t>
  </si>
  <si>
    <t>Rural Health Centers</t>
  </si>
  <si>
    <t>Federally Qualified Health Centers</t>
  </si>
  <si>
    <t>Co-Insurance (Title XVIII-Medicare)</t>
  </si>
  <si>
    <t>Breast and Cervical Cancer Treatment Program</t>
  </si>
  <si>
    <t>Prepaid Inpatient Health Plan Services</t>
  </si>
  <si>
    <t>Other Medical Services</t>
  </si>
  <si>
    <t>HCBS - Elderly, Blind, and Disabled</t>
  </si>
  <si>
    <t>HCBS - Mental Illness</t>
  </si>
  <si>
    <t>Class I Nursing Facilities</t>
  </si>
  <si>
    <t>Class II Nursing Facilities</t>
  </si>
  <si>
    <t>Program of All-Inclusive Care for the Elderly</t>
  </si>
  <si>
    <t>Single Entry Points</t>
  </si>
  <si>
    <t>Disease Management</t>
  </si>
  <si>
    <t>Prepaid Inpatient Health Plan Administration</t>
  </si>
  <si>
    <t>Hospital Supplemental Medicaid Payments</t>
  </si>
  <si>
    <t>Outstationing Payments</t>
  </si>
  <si>
    <t>Nursing Facility Supplemental Payments</t>
  </si>
  <si>
    <t>Physician Supplemental Payments</t>
  </si>
  <si>
    <t>Number of Weeks in Month</t>
  </si>
  <si>
    <t>FY 2009-10 Actuals</t>
  </si>
  <si>
    <t>PIHP Average</t>
  </si>
  <si>
    <t>Nursing Facility Upper Payment Limit</t>
  </si>
  <si>
    <t xml:space="preserve">Children Medical Expenditures </t>
  </si>
  <si>
    <t xml:space="preserve">Prenatal Medical Expenditures </t>
  </si>
  <si>
    <t>FY 2010-11 Actuals</t>
  </si>
  <si>
    <t>Disabled Buy-In</t>
  </si>
  <si>
    <t>CHILDREN'S BASIC HEALTH PLAN CASELOAD WITHOUT RETROACTIVITY</t>
  </si>
  <si>
    <t>Expansion Children to 205% FPL</t>
  </si>
  <si>
    <t>Expansion Prenatal to 205% FPL</t>
  </si>
  <si>
    <t>Caseload</t>
  </si>
  <si>
    <t xml:space="preserve">FY 2011-12 Actuals </t>
  </si>
  <si>
    <t>FY 2011-12 Actuals</t>
  </si>
  <si>
    <t>HCBS - Spinal Cord Injury</t>
  </si>
  <si>
    <t>FY 2012-13 Actuals</t>
  </si>
  <si>
    <t xml:space="preserve">FY 2012-13 Actuals </t>
  </si>
  <si>
    <t>3)  Year-to-Date Totals are calculated as the sum of monthly expenditures and the average of monthly caseload.</t>
  </si>
  <si>
    <t>Foothills Behavioral Health</t>
  </si>
  <si>
    <t xml:space="preserve">Foothills Behavioral Health </t>
  </si>
  <si>
    <t>2) Total November and December expenditure is not equal to the sum of payments made to individual plans due to an accounting adjustment.</t>
  </si>
  <si>
    <t>Total Expenditure</t>
  </si>
  <si>
    <t>3) Total expenditure includes accounting adjustments not related to specific Behavioral Health Organizations</t>
  </si>
  <si>
    <t xml:space="preserve">1) FY 2013-14 Year-to-Date Appropriation includes FY 2013-14 Supplemental Bill HB 14-1236 and Special Bills </t>
  </si>
  <si>
    <t>FY 2013-14 Actuals</t>
  </si>
  <si>
    <t>2)  Year-to-Date Totals are calculated as the sum of monthly expenditures and the average of monthly caseload.</t>
  </si>
  <si>
    <t>Adults 65 and Older
(OAP-A)</t>
  </si>
  <si>
    <t>Disabled Adults 60 to 64
 (OAP-B)</t>
  </si>
  <si>
    <t>Disabled Individuals to 59 
(AND/AB)</t>
  </si>
  <si>
    <t>MAGI Parents/ Caretakers to 68% FPL</t>
  </si>
  <si>
    <t>MAGI Parents/ Caretakers 69% to 133% FPL</t>
  </si>
  <si>
    <t>MAGI Adults</t>
  </si>
  <si>
    <t>SB 11-008 Eligible Children</t>
  </si>
  <si>
    <t>MAGI Pregnant Adults</t>
  </si>
  <si>
    <t>SB 11-250 Eligible Pregnant Adults</t>
  </si>
  <si>
    <t>Non-Citizens- Emergency Services</t>
  </si>
  <si>
    <t>MAGI Eligible Children</t>
  </si>
  <si>
    <t>Accounting Adjustments</t>
  </si>
  <si>
    <t>HCBS - Supported Living Services</t>
  </si>
  <si>
    <t>HCBS - Children's Extensive Support</t>
  </si>
  <si>
    <t>HCBS - Targeted Case Management</t>
  </si>
  <si>
    <t>State Only Programs</t>
  </si>
  <si>
    <t>State Only Supported Living Services</t>
  </si>
  <si>
    <t>Family Support Services Program</t>
  </si>
  <si>
    <t>Case Management</t>
  </si>
  <si>
    <t>State Only Programs Subtotal</t>
  </si>
  <si>
    <t>Expenditure Per Week</t>
  </si>
  <si>
    <t xml:space="preserve">Notes: </t>
  </si>
  <si>
    <t xml:space="preserve">December    </t>
  </si>
  <si>
    <r>
      <t>MEDICAID CASELOAD WITHOUT RETROACTIVITY</t>
    </r>
    <r>
      <rPr>
        <b/>
        <vertAlign val="superscript"/>
        <sz val="12"/>
        <rFont val="Times New Roman"/>
        <family val="1"/>
      </rPr>
      <t>1</t>
    </r>
  </si>
  <si>
    <t xml:space="preserve">FY 2013-14 Actuals </t>
  </si>
  <si>
    <t>1)  Caseload for Medicare Modernization Act State Contribution Payment is from the Centers for Medicare and Medicaid Services Summary Accounting Statement for the State Contribution for Prescription Drug Benefit.  This caseload includes 23 months of retroactivity, and is not comparable to the official Medicaid caseload included in this report.</t>
  </si>
  <si>
    <t xml:space="preserve">2)  Medicare Modernization Act State Contribution Payments lag by two months.  As a result, current month expenditures are related to the caseload from the month three months prior from the current month. </t>
  </si>
  <si>
    <t>1)  "Other" category includes clients enrolled in the Program of All-Inclusive Care for the Elderly and clients ineligible for Medicaid Mental Health Benefits.</t>
  </si>
  <si>
    <t>Service Mgmt.</t>
  </si>
  <si>
    <t>DIDD</t>
  </si>
  <si>
    <t>DIDD Subtotal</t>
  </si>
  <si>
    <t>HCBS - Developmental Disabilities</t>
  </si>
  <si>
    <t>Medical Services Premiums
Hospital Supplemental Payments</t>
  </si>
  <si>
    <t>Total Medical Services Premiums Payments</t>
  </si>
  <si>
    <t>CICP</t>
  </si>
  <si>
    <t>Total CICP Payments</t>
  </si>
  <si>
    <t>Total Supplemental Payments</t>
  </si>
  <si>
    <t>HCBS - Persons Living with AIDS</t>
  </si>
  <si>
    <t>Rocky Mountain Health Plans HMO</t>
  </si>
  <si>
    <t>Denver Health &amp; Hospital Authority HMO</t>
  </si>
  <si>
    <t>Inpatient Medicaid Supplemental Payments</t>
  </si>
  <si>
    <t>Medicaid Disproportionate Share Hospital (DSH) Payments</t>
  </si>
  <si>
    <t>Medicaid Hospital Quality Incentive Payments</t>
  </si>
  <si>
    <t>Outpatient Medicaid Supplemental Payments</t>
  </si>
  <si>
    <t xml:space="preserve">2) Family Support Services Program does not have a caseload appropriation. Services are rendered on a case-by-case and as needed basis. </t>
  </si>
  <si>
    <t>Accountable Care Collaborative Caseload by RCCO and County</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</si>
  <si>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</si>
  <si>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</si>
  <si>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</si>
  <si>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</si>
  <si>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</si>
  <si>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</si>
  <si>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</si>
  <si>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</si>
  <si>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</si>
  <si>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</si>
  <si>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</si>
  <si>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</si>
  <si>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</si>
  <si>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</si>
  <si>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</si>
  <si>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</si>
  <si>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</si>
  <si>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</si>
  <si>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</si>
  <si>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</si>
  <si>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 Paso</t>
  </si>
  <si>
    <t>Elbert</t>
  </si>
  <si>
    <t>Fremont</t>
  </si>
  <si>
    <t>Garfield</t>
  </si>
  <si>
    <t>Gilpin</t>
  </si>
  <si>
    <t>Grand</t>
  </si>
  <si>
    <t>Gunnison</t>
  </si>
  <si>
    <t>Hinsdale</t>
  </si>
  <si>
    <t>Huerfano</t>
  </si>
  <si>
    <t>Jackson</t>
  </si>
  <si>
    <t>Jefferson</t>
  </si>
  <si>
    <t>Kiowa</t>
  </si>
  <si>
    <t>Kit Carson</t>
  </si>
  <si>
    <t>La Plata</t>
  </si>
  <si>
    <t>Lake</t>
  </si>
  <si>
    <t>Larimer</t>
  </si>
  <si>
    <t>Las Animas</t>
  </si>
  <si>
    <t>Lincoln</t>
  </si>
  <si>
    <t>Logan</t>
  </si>
  <si>
    <t>Mesa</t>
  </si>
  <si>
    <t>Mineral</t>
  </si>
  <si>
    <t>Moffat</t>
  </si>
  <si>
    <t>Montezuma</t>
  </si>
  <si>
    <t>Montrose</t>
  </si>
  <si>
    <t>Morgan</t>
  </si>
  <si>
    <t>Otero</t>
  </si>
  <si>
    <t>Ouray</t>
  </si>
  <si>
    <t>Park</t>
  </si>
  <si>
    <t>Phillips</t>
  </si>
  <si>
    <t>Pitkin</t>
  </si>
  <si>
    <t>Prowers</t>
  </si>
  <si>
    <t>Pueblo</t>
  </si>
  <si>
    <t>Rio Blanco</t>
  </si>
  <si>
    <t>Rio Grande</t>
  </si>
  <si>
    <t>Routt</t>
  </si>
  <si>
    <t>Saguache</t>
  </si>
  <si>
    <t>San Juan</t>
  </si>
  <si>
    <t>San Miguel</t>
  </si>
  <si>
    <t>Sedgwick</t>
  </si>
  <si>
    <t>Summit</t>
  </si>
  <si>
    <t>Teller</t>
  </si>
  <si>
    <t>Washington</t>
  </si>
  <si>
    <t>Weld</t>
  </si>
  <si>
    <t>Yuma</t>
  </si>
  <si>
    <t>RCCO</t>
  </si>
  <si>
    <t>County</t>
  </si>
  <si>
    <t>RCCO 2</t>
  </si>
  <si>
    <t>RCCO 4</t>
  </si>
  <si>
    <t>RCCO 5</t>
  </si>
  <si>
    <t>RCCO 6</t>
  </si>
  <si>
    <t>RCCO 7</t>
  </si>
  <si>
    <t>Total ACC Caseload</t>
  </si>
  <si>
    <t>(1) Client movement between counties and presumptive eligibility are captured in the "Unknown" county category.</t>
  </si>
  <si>
    <r>
      <t>Unknown</t>
    </r>
    <r>
      <rPr>
        <vertAlign val="superscript"/>
        <sz val="12"/>
        <rFont val="Times New Roman"/>
        <family val="1"/>
      </rPr>
      <t>(1)</t>
    </r>
  </si>
  <si>
    <t>FY 2015-16</t>
  </si>
  <si>
    <t>2) Source for all caseload data provided is the REX01/COLD (MARS) R-474701 report except for the Colorado Access NE which is reported using paid capitation claims.  The number of days captured in the monthly figure is equal to the number of days in the report month. The Medicaid Mental Health caseload is the same as the caseload for Medical Services Premiums, with the exception of Non-citizens and Partial Dual Eligibles.</t>
  </si>
  <si>
    <t>FY 2014-15 Actuals</t>
  </si>
  <si>
    <t>Program</t>
  </si>
  <si>
    <t>HCBS - Developmental Disabilities - Regional Centers</t>
  </si>
  <si>
    <t>Quality Assurance, Utilization Review and Supports Intensity Scale</t>
  </si>
  <si>
    <t>State Only Case Management</t>
  </si>
  <si>
    <t xml:space="preserve">4) HCBS-DD Waiver Service costs for clients living in Regional Centers reporting will be sporadic as the costs must be manually transferred from the HCBS-DD line item. </t>
  </si>
  <si>
    <t xml:space="preserve">FY 2014-15 Actuals </t>
  </si>
  <si>
    <r>
      <t>ACC Average</t>
    </r>
    <r>
      <rPr>
        <b/>
        <vertAlign val="superscript"/>
        <sz val="12"/>
        <rFont val="Times New Roman"/>
        <family val="1"/>
      </rPr>
      <t>6</t>
    </r>
  </si>
  <si>
    <r>
      <t>RCCO 1</t>
    </r>
    <r>
      <rPr>
        <b/>
        <vertAlign val="superscript"/>
        <sz val="12"/>
        <rFont val="Times New Roman"/>
        <family val="1"/>
      </rPr>
      <t>2</t>
    </r>
  </si>
  <si>
    <t>Children to 205% FPL</t>
  </si>
  <si>
    <t>Expansion Children to 259% FPL</t>
  </si>
  <si>
    <t>Prenatal to 205% FPL</t>
  </si>
  <si>
    <t>Expansion Prenatal to 259% FPL</t>
  </si>
  <si>
    <r>
      <t>MEDICAID CASELOAD BY PROGRAM WITHOUT RETROACTIVITY</t>
    </r>
    <r>
      <rPr>
        <b/>
        <vertAlign val="superscript"/>
        <sz val="12"/>
        <rFont val="Times New Roman"/>
        <family val="1"/>
      </rPr>
      <t>1</t>
    </r>
  </si>
  <si>
    <r>
      <t>Medicaid Fee for Service</t>
    </r>
    <r>
      <rPr>
        <b/>
        <vertAlign val="superscript"/>
        <sz val="12"/>
        <rFont val="Times New Roman"/>
        <family val="1"/>
      </rPr>
      <t>2</t>
    </r>
  </si>
  <si>
    <r>
      <t>Medicaid Managed Care</t>
    </r>
    <r>
      <rPr>
        <b/>
        <vertAlign val="superscript"/>
        <sz val="12"/>
        <rFont val="Times New Roman"/>
        <family val="1"/>
      </rPr>
      <t>3</t>
    </r>
  </si>
  <si>
    <t>2) Medicaid Fee for Service includes all Medicaid clients who are not enrolled in a Managed Care program.  Enrollment here includes Managed Fee for Service ACC enrollment, but does not include all clients shown in the ACC Accountable Care Collaborative section.  See Footnote 4 for more information.</t>
  </si>
  <si>
    <t>Acute Home Health</t>
  </si>
  <si>
    <t>Long-Term Home Health</t>
  </si>
  <si>
    <t>FY 2013-14 Expansion Expenditure, Caseload, and Per Capita Summary</t>
  </si>
  <si>
    <t>Population</t>
  </si>
  <si>
    <t>FY 2013-14</t>
  </si>
  <si>
    <t>MAGI Parents/Caretakers to 133% FPL</t>
  </si>
  <si>
    <t>Medical Services Premiums (MSP)</t>
  </si>
  <si>
    <t>Community Based Long Term Care</t>
  </si>
  <si>
    <t>Service Management</t>
  </si>
  <si>
    <t>Subtotal MSP</t>
  </si>
  <si>
    <t>Behavioral Health Capitations</t>
  </si>
  <si>
    <t>Behavioral Health Fee-for-service</t>
  </si>
  <si>
    <t>Per Capita</t>
  </si>
  <si>
    <t>Total Expansion Population</t>
  </si>
  <si>
    <t>1) The expenditure for MSP does not include Financing.</t>
  </si>
  <si>
    <t xml:space="preserve">2) Expenditure for these populations is manually adjusted retroactively.  The data for further months will be included as it becomes available, due to the necessity of adjusting this data to account for the Non Newly Eligible population.  </t>
  </si>
  <si>
    <t>FY 2014-15 Expansion Expenditure, Caseload, and Per Capita Summary</t>
  </si>
  <si>
    <t>FY 2014-15</t>
  </si>
  <si>
    <t>FY 2015-16 Expansion Expenditure, Caseload, and Per Capita Summary</t>
  </si>
  <si>
    <t>2) Expenditure for these populations is manually adjusted retroactively.  The data for more recent months will be included as it becomes available.</t>
  </si>
  <si>
    <t>Colorado Access Northeast</t>
  </si>
  <si>
    <t>Colorado Access Denver</t>
  </si>
  <si>
    <t>Uncompensated Care Supplemental Hospital Medicaid Payment</t>
  </si>
  <si>
    <t>1) Source for all caseload data provided is the REX01/COLD (MARS) R-474701 report.  The number of days captured in the monthly figure is equal to the number of days in the report month.</t>
  </si>
  <si>
    <t>CCT - Services</t>
  </si>
  <si>
    <t>FY 2016-17</t>
  </si>
  <si>
    <t>FY 2016-17 Total YTD</t>
  </si>
  <si>
    <t>FY 2016-17 Appropriation</t>
  </si>
  <si>
    <t>FY 2016-17 Long Bill Appropriation (HB 16-1405)</t>
  </si>
  <si>
    <t>HB 16-1097 "PUC Permit for Medicaid Transportation Providers"</t>
  </si>
  <si>
    <t>SB 16-027 "Medicaid Option for Prescribed Drugs by Mail"</t>
  </si>
  <si>
    <t>HB 16-1408 "Allocation of Cash Fund Revenues from Tobacco MSA"</t>
  </si>
  <si>
    <t>FY 2016-17 Appropriation YTD</t>
  </si>
  <si>
    <t>FY 2016-17 YTD Expenditures</t>
  </si>
  <si>
    <t xml:space="preserve">Remaining FY 2016-17 Appropriation </t>
  </si>
  <si>
    <t>FY 2015-16 Actuals</t>
  </si>
  <si>
    <t>FY 2016-17 Year-to-Date Average</t>
  </si>
  <si>
    <t>FY 2016-17 Year-to-Date Appropriation</t>
  </si>
  <si>
    <t>Access - Kaiser HMO</t>
  </si>
  <si>
    <t>(2) RCCO 1 includes caseload for Rocky Mountain Health Plans HMO and RCCO 3 includes caseload for the Access-Kaiser HMO, as these pilots are ACC initiatives.</t>
  </si>
  <si>
    <t>FY 2016-17 Average Monthly Enrollment</t>
  </si>
  <si>
    <t>FY 2016-17 Supplemental Payments by Service Category</t>
  </si>
  <si>
    <t>FY 2016-17 Medicaid Mental Health Community Programs Expenditures</t>
  </si>
  <si>
    <t>FY 2016-17 Medicaid Community Mental Health Program Expenditures by Behavioral Health Organization</t>
  </si>
  <si>
    <t>FY 2016-17 Medicaid Community Mental Health Program Caseload by Behavioral Health Organization</t>
  </si>
  <si>
    <t>FY 2016-17 Children's Basic Health Plan Expenditures</t>
  </si>
  <si>
    <t xml:space="preserve">FY 2015-16 Actuals </t>
  </si>
  <si>
    <t>FY 2016-17 Division for Intellectual and Developmental Disabilities (DIDD) Waiver and State Only Program Caseload Per Month</t>
  </si>
  <si>
    <t>FY 2016-17 Average YTD</t>
  </si>
  <si>
    <t>FY 2016-17 Authorized Maximum Enrollment</t>
  </si>
  <si>
    <t>FY 2016-17 Division for Intellectual and Developmental Disabilities (DIDD) Waiver and State Only Program Expenditure Per Month</t>
  </si>
  <si>
    <t>Percent of FY 2016-17 Appropriation Spent</t>
  </si>
  <si>
    <t>FY 2016-17 Old Age Pension State Medical Program Expenditures and Caseload</t>
  </si>
  <si>
    <t>FY 2016-17 Medicare Modernization Act State Contribution Payment Expenditures and Caseload</t>
  </si>
  <si>
    <t>3) Medicaid Managed Care includes clients who are enrolled in Rocky Mountain Health Plans HMO, Access-Kaiser HMO, Denver Health &amp; Hospital Authority HMO, and PACE.</t>
  </si>
  <si>
    <t>1) Historically, DIDD State Only Programs and QA/UR/SIS do not have expenditures in accounting period 1. They do, however, have historical expenditures in periods 02 through 13.</t>
  </si>
  <si>
    <t>3) FY 2016-17 Appropriations for DIDD Supported Living Services and Targeted Case Management were adjusted to reflect only the portion appropriated for those services. State-only program appropriations were removed.</t>
  </si>
  <si>
    <t xml:space="preserve">5) State Only Programs are part of the Targeted Case Management appropriation and do not have a stand alone appropriation. The appropriation listed here matches the contract amount for each program. </t>
  </si>
  <si>
    <r>
      <t>RCCO 3</t>
    </r>
    <r>
      <rPr>
        <b/>
        <vertAlign val="superscript"/>
        <sz val="12"/>
        <rFont val="Times New Roman"/>
        <family val="1"/>
      </rPr>
      <t>2</t>
    </r>
  </si>
  <si>
    <t>3)  Excess funds in the Old Age Pension Health and Medical Care Fund are used to offset the need for General Fund in the Medical Services Premiums line item.</t>
  </si>
  <si>
    <t>Other Payment and Adjustments</t>
  </si>
  <si>
    <t>5) Accountable Care Collaborative (ACC) caseload includes ACC Managed Fee for Service enrollment, as well as the Rocky Mountain Health Plans HMO enrollment and Access-Kaiser HMO, as these pilots are ACC initiatives.</t>
  </si>
  <si>
    <r>
      <t>ACC - Accountable Care Collaborative</t>
    </r>
    <r>
      <rPr>
        <b/>
        <vertAlign val="superscript"/>
        <sz val="12"/>
        <rFont val="Times New Roman"/>
        <family val="1"/>
      </rPr>
      <t>5</t>
    </r>
  </si>
  <si>
    <r>
      <t>PACE - Program of All-Inclusive Care for the Elderly</t>
    </r>
    <r>
      <rPr>
        <b/>
        <vertAlign val="superscript"/>
        <sz val="12"/>
        <rFont val="Times New Roman"/>
        <family val="1"/>
      </rPr>
      <t xml:space="preserve">4 </t>
    </r>
  </si>
  <si>
    <t>4) Expenditures were restated in the October JBC Monthly Report due to a data issue identifying expenditure from the correct fund.</t>
  </si>
  <si>
    <t>CICP Disproportionate Share Hospital (DSH) Payment</t>
  </si>
  <si>
    <t xml:space="preserve">6) August payments for State Only Programs, that would normally be paid in September, were delayed to October due to a technical issue with the billing process. </t>
  </si>
  <si>
    <t>1)  FY 2016-17 Year-to-Date Appropriation includes HB 16-1405 (FY 2016-17Long Bill).</t>
  </si>
  <si>
    <t>1) October Hospital Supplemental Medicaid Payments expenditure will not tie out to the total for the Medical Services Premiums Hospital Supplemental Payments in the FY 2016-17 Supplemental Payments by Service Category exhibit due to a prior period adjustment outside of the current model period.</t>
  </si>
  <si>
    <t>4) The number of reported PACE enrollees is artificially low in the months of August through January due to systems issues identifying PACE members.  These counts will be restated once the systems issues are resolved.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</si>
</sst>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7" formatCode="&quot;$&quot;#,##0.00_);\(&quot;$&quot;#,##0.00\)"/>
    <numFmt numFmtId="41" formatCode="_(* #,##0_);_(* \(#,##0\);_(* &quot;-&quot;_);_(@_)"/>
    <numFmt numFmtId="43" formatCode="_(* #,##0.00_);_(* \(#,##0.00\);_(* &quot;-&quot;??_);_(@_)"/>
    <numFmt numFmtId="165" formatCode="_(* #,##0_);_(* \(#,##0\);_(* &quot;-&quot;??_);_(@_)"/>
    <numFmt numFmtId="168" formatCode="0.00_)"/>
    <numFmt numFmtId="169" formatCode="mmmm\ yyyy"/>
    <numFmt numFmtId="170" formatCode="[$-409]mmmm\ yyyy;@"/>
    <numFmt numFmtId="171" formatCode="mmm\ yyyy"/>
    <numFmt numFmtId="172" formatCode="#,##0;\(#,##0\)"/>
    <numFmt numFmtId="174" formatCode="#,###;\(#,###\)"/>
    <numFmt numFmtId="176" formatCode=";;;"/>
    <numFmt numFmtId="178" formatCode="mmmm\_x000a_yyyy"/>
  </numFmts>
  <fonts count="20" x14ac:knownFonts="1">
    <font>
      <sz val="10"/>
      <name val="Arial"/>
    </font>
    <font>
      <sz val="11"/>
      <color theme="1"/>
      <name val="Calibri"/>
      <family val="2"/>
      <scheme val="minor"/>
    </font>
    <font>
      <sz val="12"/>
      <color theme="1"/>
      <name val="Times New Roman"/>
      <family val="2"/>
    </font>
    <font>
      <sz val="10"/>
      <name val="Arial"/>
      <family val="2"/>
    </font>
    <font>
      <sz val="10"/>
      <name val="Arial"/>
      <family val="2"/>
    </font>
    <font>
      <sz val="8"/>
      <name val="Arial"/>
      <family val="2"/>
    </font>
    <font>
      <b/>
      <sz val="12"/>
      <name val="Arial"/>
      <family val="2"/>
    </font>
    <font>
      <sz val="18"/>
      <name val="Arial"/>
      <family val="2"/>
    </font>
    <font>
      <sz val="12"/>
      <name val="Arial"/>
      <family val="2"/>
    </font>
    <font>
      <b/>
      <i/>
      <sz val="16"/>
      <name val="Helv"/>
    </font>
    <font>
      <sz val="10"/>
      <name val="Times New Roman"/>
      <family val="1"/>
    </font>
    <font>
      <b/>
      <sz val="12"/>
      <name val="Times New Roman"/>
      <family val="1"/>
    </font>
    <font>
      <sz val="12"/>
      <name val="Arial"/>
      <family val="2"/>
    </font>
    <font>
      <sz val="12"/>
      <name val="Times New Roman"/>
      <family val="1"/>
    </font>
    <font>
      <sz val="8"/>
      <name val="Arial"/>
      <family val="2"/>
    </font>
    <font>
      <sz val="12"/>
      <color theme="1"/>
      <name val="Times New Roman"/>
      <family val="1"/>
    </font>
    <font>
      <b/>
      <vertAlign val="superscript"/>
      <sz val="12"/>
      <name val="Times New Roman"/>
      <family val="1"/>
    </font>
    <font>
      <vertAlign val="superscript"/>
      <sz val="12"/>
      <name val="Times New Roman"/>
      <family val="1"/>
    </font>
    <font>
      <b/>
      <sz val="12"/>
      <color theme="1"/>
      <name val="Times New Roman"/>
      <family val="1"/>
    </font>
    <font>
      <sz val="10"/>
      <name val="Arial"/>
      <family val="2"/>
    </font>
  </fonts>
  <fills count="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12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2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double">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theme="0"/>
      </top>
      <bottom/>
      <diagonal/>
    </border>
    <border>
      <left/>
      <right/>
      <top/>
      <bottom style="thin">
        <color theme="0"/>
      </bottom>
      <diagonal/>
    </border>
    <border>
      <left/>
      <right/>
      <top style="thin">
        <color theme="0"/>
      </top>
      <bottom style="thin">
        <color theme="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thin">
        <color theme="0"/>
      </bottom>
      <diagonal/>
    </border>
    <border>
      <left style="medium">
        <color indexed="64"/>
      </left>
      <right/>
      <top style="thin">
        <color theme="0"/>
      </top>
      <bottom style="thin">
        <color theme="0"/>
      </bottom>
      <diagonal/>
    </border>
    <border>
      <left/>
      <right style="medium">
        <color indexed="64"/>
      </right>
      <top style="thin">
        <color theme="0"/>
      </top>
      <bottom style="thin">
        <color theme="0"/>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theme="0"/>
      </bottom>
      <diagonal/>
    </border>
    <border>
      <left style="thin">
        <color theme="0"/>
      </left>
      <right/>
      <top style="medium">
        <color indexed="64"/>
      </top>
      <bottom style="thin">
        <color theme="0"/>
      </bottom>
      <diagonal/>
    </border>
    <border>
      <left style="thin">
        <color theme="0"/>
      </left>
      <right style="thin">
        <color theme="0"/>
      </right>
      <top style="medium">
        <color indexed="64"/>
      </top>
      <bottom style="thin">
        <color theme="0"/>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theme="0"/>
      </left>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bottom style="thin">
        <color theme="0"/>
      </bottom>
      <diagonal/>
    </border>
    <border>
      <left/>
      <right style="medium">
        <color indexed="64"/>
      </right>
      <top/>
      <bottom style="thin">
        <color theme="0"/>
      </bottom>
      <diagonal/>
    </border>
    <border>
      <left style="medium">
        <color indexed="64"/>
      </left>
      <right/>
      <top style="thin">
        <color theme="0"/>
      </top>
      <bottom/>
      <diagonal/>
    </border>
    <border>
      <left/>
      <right style="medium">
        <color indexed="64"/>
      </right>
      <top style="thin">
        <color theme="0"/>
      </top>
      <bottom/>
      <diagonal/>
    </border>
    <border>
      <left/>
      <right style="double">
        <color indexed="64"/>
      </right>
      <top style="medium">
        <color indexed="64"/>
      </top>
      <bottom style="medium">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double">
        <color indexed="64"/>
      </bottom>
      <diagonal/>
    </border>
    <border>
      <left/>
      <right style="double">
        <color indexed="64"/>
      </right>
      <top/>
      <bottom style="medium">
        <color indexed="64"/>
      </bottom>
      <diagonal/>
    </border>
    <border>
      <left style="medium">
        <color indexed="64"/>
      </left>
      <right style="medium">
        <color indexed="64"/>
      </right>
      <top/>
      <bottom style="double">
        <color indexed="64"/>
      </bottom>
      <diagonal/>
    </border>
    <border>
      <left style="double">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bottom style="medium">
        <color theme="0"/>
      </bottom>
      <diagonal/>
    </border>
    <border>
      <left/>
      <right style="medium">
        <color indexed="64"/>
      </right>
      <top/>
      <bottom style="medium">
        <color theme="0"/>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medium">
        <color indexed="64"/>
      </left>
      <right/>
      <top style="thin">
        <color theme="0"/>
      </top>
      <bottom style="hair">
        <color theme="0"/>
      </bottom>
      <diagonal/>
    </border>
    <border>
      <left/>
      <right/>
      <top style="thin">
        <color theme="0"/>
      </top>
      <bottom style="hair">
        <color theme="0"/>
      </bottom>
      <diagonal/>
    </border>
    <border>
      <left/>
      <right style="medium">
        <color indexed="64"/>
      </right>
      <top style="thin">
        <color theme="0"/>
      </top>
      <bottom style="hair">
        <color theme="0"/>
      </bottom>
      <diagonal/>
    </border>
    <border>
      <left style="medium">
        <color indexed="64"/>
      </left>
      <right/>
      <top style="medium">
        <color theme="0"/>
      </top>
      <bottom style="medium">
        <color theme="0"/>
      </bottom>
      <diagonal/>
    </border>
    <border>
      <left/>
      <right/>
      <top style="medium">
        <color theme="0"/>
      </top>
      <bottom style="medium">
        <color theme="0"/>
      </bottom>
      <diagonal/>
    </border>
    <border>
      <left/>
      <right style="medium">
        <color indexed="64"/>
      </right>
      <top style="medium">
        <color theme="0"/>
      </top>
      <bottom style="medium">
        <color theme="0"/>
      </bottom>
      <diagonal/>
    </border>
  </borders>
  <cellStyleXfs count="59">
    <xf numFmtId="0" fontId="0" fillId="0" borderId="0" applyFont="0"/>
    <xf numFmtId="172" fontId="3" fillId="0" borderId="0" applyFont="0" applyFill="0" applyBorder="0" applyAlignment="0" applyProtection="0"/>
    <xf numFmtId="174" fontId="3" fillId="0" borderId="0" applyFont="0" applyFill="0" applyBorder="0" applyAlignment="0" applyProtection="0"/>
    <xf numFmtId="3" fontId="4" fillId="0" borderId="0" applyFont="0" applyFill="0" applyBorder="0" applyAlignment="0" applyProtection="0">
      <alignment vertical="top"/>
    </xf>
    <xf numFmtId="5" fontId="3" fillId="0" borderId="0" applyFont="0" applyFill="0" applyBorder="0" applyAlignment="0" applyProtection="0"/>
    <xf numFmtId="5" fontId="4" fillId="0" borderId="0" applyFont="0" applyFill="0" applyBorder="0" applyAlignment="0" applyProtection="0">
      <alignment vertical="top"/>
    </xf>
    <xf numFmtId="0" fontId="4" fillId="0" borderId="0" applyFont="0" applyFill="0" applyBorder="0" applyAlignment="0" applyProtection="0">
      <alignment vertical="top"/>
    </xf>
    <xf numFmtId="2" fontId="4" fillId="0" borderId="0" applyFont="0" applyFill="0" applyBorder="0" applyAlignment="0" applyProtection="0">
      <alignment vertical="top"/>
    </xf>
    <xf numFmtId="38" fontId="5" fillId="2" borderId="0" applyNumberFormat="0" applyBorder="0" applyAlignment="0" applyProtection="0"/>
    <xf numFmtId="0" fontId="6" fillId="0" borderId="1" applyNumberFormat="0" applyAlignment="0" applyProtection="0">
      <alignment horizontal="left" vertical="center"/>
    </xf>
    <xf numFmtId="0" fontId="6" fillId="0" borderId="2">
      <alignment horizontal="left" vertical="center"/>
    </xf>
    <xf numFmtId="0" fontId="7" fillId="0" borderId="0" applyNumberFormat="0" applyFill="0" applyBorder="0" applyAlignment="0" applyProtection="0">
      <alignment vertical="top"/>
    </xf>
    <xf numFmtId="0" fontId="8" fillId="0" borderId="0" applyNumberFormat="0" applyFill="0" applyBorder="0" applyAlignment="0" applyProtection="0">
      <alignment vertical="top"/>
    </xf>
    <xf numFmtId="10" fontId="5" fillId="3" borderId="3" applyNumberFormat="0" applyBorder="0" applyAlignment="0" applyProtection="0"/>
    <xf numFmtId="168" fontId="9" fillId="0" borderId="0"/>
    <xf numFmtId="0" fontId="12" fillId="0" borderId="0"/>
    <xf numFmtId="0" fontId="3" fillId="0" borderId="0"/>
    <xf numFmtId="10" fontId="3" fillId="0" borderId="0" applyFont="0" applyFill="0" applyBorder="0" applyAlignment="0" applyProtection="0"/>
    <xf numFmtId="10" fontId="3" fillId="0" borderId="0" applyFont="0" applyFill="0" applyBorder="0" applyAlignment="0" applyProtection="0"/>
    <xf numFmtId="0" fontId="4" fillId="0" borderId="4" applyNumberFormat="0" applyFont="0" applyFill="0" applyAlignment="0" applyProtection="0">
      <alignment vertical="top"/>
    </xf>
    <xf numFmtId="0" fontId="2" fillId="0" borderId="0"/>
    <xf numFmtId="5" fontId="2" fillId="0" borderId="0" applyFont="0" applyFill="0" applyBorder="0" applyAlignment="0" applyProtection="0"/>
    <xf numFmtId="0" fontId="2" fillId="0" borderId="0"/>
    <xf numFmtId="0" fontId="2" fillId="0" borderId="0"/>
    <xf numFmtId="0" fontId="2" fillId="0" borderId="0"/>
    <xf numFmtId="0" fontId="2" fillId="0" borderId="0"/>
    <xf numFmtId="172" fontId="3" fillId="0" borderId="0" applyFont="0" applyFill="0" applyBorder="0" applyAlignment="0" applyProtection="0"/>
    <xf numFmtId="0" fontId="3" fillId="0" borderId="0"/>
    <xf numFmtId="0" fontId="3" fillId="0" borderId="0" applyFont="0"/>
    <xf numFmtId="0" fontId="1" fillId="0" borderId="0"/>
    <xf numFmtId="0" fontId="19" fillId="0" borderId="0"/>
    <xf numFmtId="43" fontId="3" fillId="0" borderId="0" applyFont="0" applyFill="0" applyBorder="0" applyAlignment="0" applyProtection="0"/>
    <xf numFmtId="3" fontId="3" fillId="0" borderId="0" applyFont="0" applyFill="0" applyBorder="0" applyAlignment="0" applyProtection="0">
      <alignment vertical="top"/>
    </xf>
    <xf numFmtId="5" fontId="3" fillId="0" borderId="0" applyFont="0" applyFill="0" applyBorder="0" applyAlignment="0" applyProtection="0">
      <alignment vertical="top"/>
    </xf>
    <xf numFmtId="0" fontId="3" fillId="0" borderId="0" applyFont="0" applyFill="0" applyBorder="0" applyAlignment="0" applyProtection="0">
      <alignment vertical="top"/>
    </xf>
    <xf numFmtId="2" fontId="3" fillId="0" borderId="0" applyFont="0" applyFill="0" applyBorder="0" applyAlignment="0" applyProtection="0">
      <alignment vertical="top"/>
    </xf>
    <xf numFmtId="0" fontId="3" fillId="0" borderId="4" applyNumberFormat="0" applyFont="0" applyFill="0" applyAlignment="0" applyProtection="0">
      <alignment vertical="top"/>
    </xf>
    <xf numFmtId="43" fontId="2" fillId="0" borderId="0" applyFont="0" applyFill="0" applyBorder="0" applyAlignment="0" applyProtection="0"/>
    <xf numFmtId="5" fontId="2" fillId="0" borderId="0" applyFont="0" applyFill="0" applyBorder="0" applyAlignment="0" applyProtection="0"/>
    <xf numFmtId="0" fontId="3" fillId="0" borderId="0"/>
    <xf numFmtId="43" fontId="3" fillId="0" borderId="0" applyFont="0" applyFill="0" applyBorder="0" applyAlignment="0" applyProtection="0"/>
    <xf numFmtId="3" fontId="3" fillId="0" borderId="0" applyFont="0" applyFill="0" applyBorder="0" applyAlignment="0" applyProtection="0">
      <alignment vertical="top"/>
    </xf>
    <xf numFmtId="5" fontId="3" fillId="0" borderId="0" applyFont="0" applyFill="0" applyBorder="0" applyAlignment="0" applyProtection="0"/>
    <xf numFmtId="5" fontId="3" fillId="0" borderId="0" applyFont="0" applyFill="0" applyBorder="0" applyAlignment="0" applyProtection="0">
      <alignment vertical="top"/>
    </xf>
    <xf numFmtId="0" fontId="3" fillId="0" borderId="0" applyFont="0" applyFill="0" applyBorder="0" applyAlignment="0" applyProtection="0">
      <alignment vertical="top"/>
    </xf>
    <xf numFmtId="2" fontId="3" fillId="0" borderId="0" applyFont="0" applyFill="0" applyBorder="0" applyAlignment="0" applyProtection="0">
      <alignment vertical="top"/>
    </xf>
    <xf numFmtId="38" fontId="5" fillId="2" borderId="0" applyNumberFormat="0" applyBorder="0" applyAlignment="0" applyProtection="0"/>
    <xf numFmtId="0" fontId="7" fillId="0" borderId="0" applyNumberFormat="0" applyFill="0" applyBorder="0" applyAlignment="0" applyProtection="0">
      <alignment vertical="top"/>
    </xf>
    <xf numFmtId="0" fontId="8" fillId="0" borderId="0" applyNumberFormat="0" applyFill="0" applyBorder="0" applyAlignment="0" applyProtection="0">
      <alignment vertical="top"/>
    </xf>
    <xf numFmtId="10" fontId="5" fillId="3" borderId="3" applyNumberFormat="0" applyBorder="0" applyAlignment="0" applyProtection="0"/>
    <xf numFmtId="10" fontId="3" fillId="0" borderId="0" applyFont="0" applyFill="0" applyBorder="0" applyAlignment="0" applyProtection="0"/>
    <xf numFmtId="0" fontId="19" fillId="0" borderId="0"/>
    <xf numFmtId="0" fontId="3" fillId="0" borderId="4" applyNumberFormat="0" applyFont="0" applyFill="0" applyAlignment="0" applyProtection="0">
      <alignment vertical="top"/>
    </xf>
    <xf numFmtId="0" fontId="3" fillId="0" borderId="0"/>
    <xf numFmtId="10" fontId="3" fillId="0" borderId="0" applyFont="0" applyFill="0" applyBorder="0" applyAlignment="0" applyProtection="0"/>
    <xf numFmtId="0" fontId="2" fillId="0" borderId="0"/>
    <xf numFmtId="0" fontId="2" fillId="0" borderId="0"/>
    <xf numFmtId="5" fontId="2" fillId="0" borderId="0" applyFont="0" applyFill="0" applyBorder="0" applyAlignment="0" applyProtection="0"/>
    <xf numFmtId="0" fontId="19" fillId="0" borderId="0"/>
  </cellStyleXfs>
  <cellXfs count="597">
    <xf numFmtId="0" fontId="0" fillId="0" borderId="0" xfId="0"/>
    <xf numFmtId="0" fontId="13" fillId="0" borderId="0" xfId="15" applyFont="1" applyBorder="1"/>
    <xf numFmtId="37" fontId="13" fillId="0" borderId="6" xfId="0" applyNumberFormat="1" applyFont="1" applyBorder="1"/>
    <xf numFmtId="165" fontId="13" fillId="0" borderId="0" xfId="1" applyNumberFormat="1" applyFont="1" applyFill="1" applyBorder="1" applyAlignment="1">
      <alignment vertical="center"/>
    </xf>
    <xf numFmtId="165" fontId="13" fillId="0" borderId="0" xfId="16" applyNumberFormat="1" applyFont="1" applyFill="1" applyBorder="1" applyAlignment="1">
      <alignment vertical="center"/>
    </xf>
    <xf numFmtId="165" fontId="11" fillId="0" borderId="0" xfId="1" applyNumberFormat="1" applyFont="1" applyFill="1" applyBorder="1" applyAlignment="1">
      <alignment vertical="center"/>
    </xf>
    <xf numFmtId="10" fontId="13" fillId="0" borderId="0" xfId="17" applyNumberFormat="1" applyFont="1" applyFill="1" applyBorder="1" applyAlignment="1">
      <alignment vertical="center"/>
    </xf>
    <xf numFmtId="165" fontId="11" fillId="0" borderId="12" xfId="1" applyNumberFormat="1" applyFont="1" applyFill="1" applyBorder="1" applyAlignment="1">
      <alignment vertical="center"/>
    </xf>
    <xf numFmtId="0" fontId="11" fillId="0" borderId="0" xfId="16" applyFont="1" applyBorder="1" applyAlignment="1">
      <alignment horizontal="center" vertical="top" wrapText="1"/>
    </xf>
    <xf numFmtId="0" fontId="13" fillId="0" borderId="0" xfId="0" applyFont="1" applyBorder="1"/>
    <xf numFmtId="0" fontId="13" fillId="0" borderId="0" xfId="0" applyFont="1"/>
    <xf numFmtId="37" fontId="13" fillId="0" borderId="0" xfId="0" applyNumberFormat="1" applyFont="1"/>
    <xf numFmtId="171" fontId="13" fillId="0" borderId="0" xfId="0" applyNumberFormat="1" applyFont="1"/>
    <xf numFmtId="5" fontId="13" fillId="0" borderId="6" xfId="16" applyNumberFormat="1" applyFont="1" applyFill="1" applyBorder="1"/>
    <xf numFmtId="5" fontId="13" fillId="0" borderId="6" xfId="1" applyNumberFormat="1" applyFont="1" applyFill="1" applyBorder="1"/>
    <xf numFmtId="5" fontId="13" fillId="0" borderId="18" xfId="1" applyNumberFormat="1" applyFont="1" applyFill="1" applyBorder="1" applyAlignment="1">
      <alignment horizontal="right"/>
    </xf>
    <xf numFmtId="5" fontId="13" fillId="0" borderId="18" xfId="1" applyNumberFormat="1" applyFont="1" applyFill="1" applyBorder="1"/>
    <xf numFmtId="5" fontId="11" fillId="0" borderId="18" xfId="1" applyNumberFormat="1" applyFont="1" applyFill="1" applyBorder="1" applyAlignment="1"/>
    <xf numFmtId="5" fontId="11" fillId="0" borderId="6" xfId="16" applyNumberFormat="1" applyFont="1" applyFill="1" applyBorder="1"/>
    <xf numFmtId="37" fontId="11" fillId="0" borderId="19" xfId="0" applyNumberFormat="1" applyFont="1" applyFill="1" applyBorder="1"/>
    <xf numFmtId="37" fontId="13" fillId="0" borderId="0" xfId="0" applyNumberFormat="1" applyFont="1" applyFill="1" applyBorder="1"/>
    <xf numFmtId="10" fontId="13" fillId="0" borderId="0" xfId="17" applyNumberFormat="1" applyFont="1" applyFill="1" applyBorder="1"/>
    <xf numFmtId="165" fontId="13" fillId="0" borderId="6" xfId="1" applyNumberFormat="1" applyFont="1" applyFill="1" applyBorder="1" applyAlignment="1">
      <alignment vertical="center"/>
    </xf>
    <xf numFmtId="37" fontId="13" fillId="0" borderId="7" xfId="0" applyNumberFormat="1" applyFont="1" applyBorder="1"/>
    <xf numFmtId="37" fontId="13" fillId="0" borderId="13" xfId="0" applyNumberFormat="1" applyFont="1" applyBorder="1"/>
    <xf numFmtId="37" fontId="13" fillId="0" borderId="5" xfId="0" applyNumberFormat="1" applyFont="1" applyBorder="1"/>
    <xf numFmtId="37" fontId="13" fillId="0" borderId="0" xfId="0" applyNumberFormat="1" applyFont="1" applyBorder="1"/>
    <xf numFmtId="37" fontId="11" fillId="0" borderId="8" xfId="0" applyNumberFormat="1" applyFont="1" applyFill="1" applyBorder="1"/>
    <xf numFmtId="37" fontId="11" fillId="0" borderId="12" xfId="0" applyNumberFormat="1" applyFont="1" applyFill="1" applyBorder="1"/>
    <xf numFmtId="37" fontId="11" fillId="0" borderId="5" xfId="0" applyNumberFormat="1" applyFont="1" applyFill="1" applyBorder="1"/>
    <xf numFmtId="37" fontId="11" fillId="0" borderId="0" xfId="0" applyNumberFormat="1" applyFont="1" applyFill="1" applyBorder="1"/>
    <xf numFmtId="37" fontId="13" fillId="0" borderId="5" xfId="0" applyNumberFormat="1" applyFont="1" applyFill="1" applyBorder="1"/>
    <xf numFmtId="5" fontId="13" fillId="0" borderId="22" xfId="4" applyFont="1" applyBorder="1" applyAlignment="1">
      <alignment vertical="center" wrapText="1"/>
    </xf>
    <xf numFmtId="5" fontId="11" fillId="0" borderId="23" xfId="4" applyFont="1" applyBorder="1" applyAlignment="1">
      <alignment vertical="center" wrapText="1"/>
    </xf>
    <xf numFmtId="37" fontId="13" fillId="0" borderId="6" xfId="0" applyNumberFormat="1" applyFont="1" applyFill="1" applyBorder="1"/>
    <xf numFmtId="0" fontId="13" fillId="0" borderId="24" xfId="0" applyFont="1" applyFill="1" applyBorder="1" applyAlignment="1">
      <alignment vertical="top" wrapText="1"/>
    </xf>
    <xf numFmtId="37" fontId="11" fillId="0" borderId="8" xfId="0" applyNumberFormat="1" applyFont="1" applyBorder="1"/>
    <xf numFmtId="37" fontId="11" fillId="0" borderId="12" xfId="0" applyNumberFormat="1" applyFont="1" applyBorder="1"/>
    <xf numFmtId="5" fontId="11" fillId="0" borderId="6" xfId="1" applyNumberFormat="1" applyFont="1" applyFill="1" applyBorder="1"/>
    <xf numFmtId="0" fontId="13" fillId="0" borderId="25" xfId="0" applyFont="1" applyFill="1" applyBorder="1" applyAlignment="1">
      <alignment vertical="top" wrapText="1"/>
    </xf>
    <xf numFmtId="0" fontId="11" fillId="0" borderId="24" xfId="0" applyFont="1" applyFill="1" applyBorder="1" applyAlignment="1">
      <alignment horizontal="left" vertical="center" wrapText="1"/>
    </xf>
    <xf numFmtId="10" fontId="13" fillId="0" borderId="6" xfId="17" applyNumberFormat="1" applyFont="1" applyFill="1" applyBorder="1"/>
    <xf numFmtId="37" fontId="11" fillId="0" borderId="6" xfId="0" applyNumberFormat="1" applyFont="1" applyFill="1" applyBorder="1"/>
    <xf numFmtId="10" fontId="13" fillId="0" borderId="5" xfId="17" applyNumberFormat="1" applyFont="1" applyFill="1" applyBorder="1"/>
    <xf numFmtId="37" fontId="13" fillId="0" borderId="7" xfId="0" applyNumberFormat="1" applyFont="1" applyFill="1" applyBorder="1"/>
    <xf numFmtId="37" fontId="13" fillId="0" borderId="13" xfId="0" applyNumberFormat="1" applyFont="1" applyFill="1" applyBorder="1"/>
    <xf numFmtId="37" fontId="13" fillId="0" borderId="11" xfId="0" applyNumberFormat="1" applyFont="1" applyFill="1" applyBorder="1"/>
    <xf numFmtId="37" fontId="11" fillId="0" borderId="5" xfId="0" applyNumberFormat="1" applyFont="1" applyBorder="1"/>
    <xf numFmtId="37" fontId="11" fillId="0" borderId="0" xfId="0" applyNumberFormat="1" applyFont="1" applyBorder="1"/>
    <xf numFmtId="0" fontId="13" fillId="0" borderId="33" xfId="0" applyFont="1" applyFill="1" applyBorder="1" applyAlignment="1">
      <alignment horizontal="left" vertical="center" wrapText="1"/>
    </xf>
    <xf numFmtId="5" fontId="13" fillId="0" borderId="19" xfId="16" applyNumberFormat="1" applyFont="1" applyFill="1" applyBorder="1"/>
    <xf numFmtId="165" fontId="13" fillId="0" borderId="19" xfId="1" applyNumberFormat="1" applyFont="1" applyFill="1" applyBorder="1" applyAlignment="1">
      <alignment vertical="center"/>
    </xf>
    <xf numFmtId="165" fontId="11" fillId="0" borderId="10" xfId="1" applyNumberFormat="1" applyFont="1" applyFill="1" applyBorder="1" applyAlignment="1">
      <alignment vertical="center"/>
    </xf>
    <xf numFmtId="5" fontId="11" fillId="0" borderId="10" xfId="16" applyNumberFormat="1" applyFont="1" applyFill="1" applyBorder="1"/>
    <xf numFmtId="5" fontId="13" fillId="0" borderId="22" xfId="4" applyFont="1" applyFill="1" applyBorder="1" applyAlignment="1">
      <alignment vertical="center" wrapText="1"/>
    </xf>
    <xf numFmtId="37" fontId="13" fillId="0" borderId="0" xfId="1" applyNumberFormat="1" applyFont="1" applyFill="1" applyBorder="1" applyAlignment="1">
      <alignment vertical="center"/>
    </xf>
    <xf numFmtId="37" fontId="13" fillId="0" borderId="0" xfId="16" applyNumberFormat="1" applyFont="1" applyFill="1" applyBorder="1" applyAlignment="1">
      <alignment vertical="center"/>
    </xf>
    <xf numFmtId="41" fontId="13" fillId="0" borderId="0" xfId="1" applyNumberFormat="1" applyFont="1" applyFill="1" applyBorder="1" applyAlignment="1">
      <alignment vertical="center"/>
    </xf>
    <xf numFmtId="3" fontId="11" fillId="0" borderId="2" xfId="16" applyNumberFormat="1" applyFont="1" applyFill="1" applyBorder="1" applyAlignment="1">
      <alignment horizontal="center" vertical="center" wrapText="1"/>
    </xf>
    <xf numFmtId="0" fontId="11" fillId="0" borderId="9" xfId="0" applyNumberFormat="1" applyFont="1" applyBorder="1" applyAlignment="1">
      <alignment horizontal="center" vertical="center" wrapText="1"/>
    </xf>
    <xf numFmtId="0" fontId="11" fillId="0" borderId="2" xfId="0" applyNumberFormat="1" applyFont="1" applyBorder="1" applyAlignment="1">
      <alignment horizontal="center" vertical="center" wrapText="1"/>
    </xf>
    <xf numFmtId="0" fontId="11" fillId="0" borderId="10" xfId="0" applyNumberFormat="1" applyFont="1" applyBorder="1" applyAlignment="1">
      <alignment horizontal="center" vertical="center" wrapText="1"/>
    </xf>
    <xf numFmtId="0" fontId="13" fillId="0" borderId="14" xfId="0" applyFont="1" applyBorder="1" applyAlignment="1">
      <alignment vertical="center" wrapText="1"/>
    </xf>
    <xf numFmtId="0" fontId="11" fillId="0" borderId="14" xfId="0" applyFont="1" applyBorder="1" applyAlignment="1">
      <alignment horizontal="center" vertical="center" wrapText="1"/>
    </xf>
    <xf numFmtId="170" fontId="11" fillId="0" borderId="1" xfId="4" applyNumberFormat="1" applyFont="1" applyFill="1" applyBorder="1" applyAlignment="1">
      <alignment horizontal="center" vertical="center" wrapText="1"/>
    </xf>
    <xf numFmtId="5" fontId="11" fillId="0" borderId="14" xfId="4" applyFont="1" applyFill="1" applyBorder="1" applyAlignment="1">
      <alignment horizontal="center" vertical="center" wrapText="1"/>
    </xf>
    <xf numFmtId="165" fontId="13" fillId="0" borderId="15" xfId="1" applyNumberFormat="1" applyFont="1" applyFill="1" applyBorder="1" applyAlignment="1">
      <alignment vertical="center"/>
    </xf>
    <xf numFmtId="165" fontId="13" fillId="0" borderId="1" xfId="1" applyNumberFormat="1" applyFont="1" applyFill="1" applyBorder="1" applyAlignment="1">
      <alignment vertical="center"/>
    </xf>
    <xf numFmtId="165" fontId="13" fillId="0" borderId="14" xfId="1" applyNumberFormat="1" applyFont="1" applyFill="1" applyBorder="1" applyAlignment="1">
      <alignment vertical="center"/>
    </xf>
    <xf numFmtId="0" fontId="13" fillId="0" borderId="14" xfId="0" applyFont="1" applyBorder="1" applyAlignment="1">
      <alignment vertical="center"/>
    </xf>
    <xf numFmtId="0" fontId="11" fillId="0" borderId="14" xfId="0" applyFont="1" applyBorder="1" applyAlignment="1">
      <alignment horizontal="center" vertical="center"/>
    </xf>
    <xf numFmtId="5" fontId="13" fillId="0" borderId="0" xfId="4" applyNumberFormat="1" applyFont="1" applyFill="1" applyBorder="1" applyAlignment="1">
      <alignment vertical="center"/>
    </xf>
    <xf numFmtId="5" fontId="13" fillId="0" borderId="15" xfId="4" applyNumberFormat="1" applyFont="1" applyFill="1" applyBorder="1" applyAlignment="1">
      <alignment vertical="center"/>
    </xf>
    <xf numFmtId="5" fontId="13" fillId="0" borderId="1" xfId="4" applyNumberFormat="1" applyFont="1" applyFill="1" applyBorder="1" applyAlignment="1">
      <alignment vertical="center"/>
    </xf>
    <xf numFmtId="5" fontId="13" fillId="0" borderId="14" xfId="4" applyNumberFormat="1" applyFont="1" applyFill="1" applyBorder="1" applyAlignment="1">
      <alignment vertical="center"/>
    </xf>
    <xf numFmtId="165" fontId="13" fillId="0" borderId="0" xfId="1" applyNumberFormat="1" applyFont="1" applyFill="1" applyBorder="1" applyAlignment="1">
      <alignment vertical="center" wrapText="1"/>
    </xf>
    <xf numFmtId="165" fontId="13" fillId="0" borderId="15" xfId="4" applyNumberFormat="1" applyFont="1" applyFill="1" applyBorder="1" applyAlignment="1">
      <alignment vertical="center"/>
    </xf>
    <xf numFmtId="5" fontId="11" fillId="0" borderId="1" xfId="4" applyNumberFormat="1" applyFont="1" applyFill="1" applyBorder="1" applyAlignment="1">
      <alignment vertical="center"/>
    </xf>
    <xf numFmtId="5" fontId="11" fillId="0" borderId="14" xfId="4" applyNumberFormat="1" applyFont="1" applyFill="1" applyBorder="1" applyAlignment="1">
      <alignment vertical="center"/>
    </xf>
    <xf numFmtId="0" fontId="13" fillId="0" borderId="12" xfId="0" applyFont="1" applyBorder="1"/>
    <xf numFmtId="0" fontId="13" fillId="0" borderId="0" xfId="0" applyFont="1" applyFill="1"/>
    <xf numFmtId="0" fontId="13" fillId="0" borderId="0" xfId="16" applyFont="1"/>
    <xf numFmtId="165" fontId="13" fillId="0" borderId="0" xfId="0" applyNumberFormat="1" applyFont="1" applyBorder="1"/>
    <xf numFmtId="0" fontId="13" fillId="0" borderId="0" xfId="16" applyFont="1" applyFill="1"/>
    <xf numFmtId="0" fontId="13" fillId="0" borderId="0" xfId="16" applyFont="1" applyAlignment="1">
      <alignment vertical="center"/>
    </xf>
    <xf numFmtId="0" fontId="13" fillId="0" borderId="0" xfId="16" applyFont="1" applyFill="1" applyAlignment="1">
      <alignment vertical="center"/>
    </xf>
    <xf numFmtId="0" fontId="11" fillId="0" borderId="0" xfId="16" applyFont="1" applyFill="1" applyAlignment="1">
      <alignment vertical="center"/>
    </xf>
    <xf numFmtId="0" fontId="13" fillId="0" borderId="0" xfId="0" applyFont="1" applyBorder="1" applyAlignment="1">
      <alignment vertical="center" wrapText="1"/>
    </xf>
    <xf numFmtId="0" fontId="13" fillId="0" borderId="0" xfId="0" applyFont="1" applyAlignment="1">
      <alignment vertical="center" wrapText="1"/>
    </xf>
    <xf numFmtId="0" fontId="13" fillId="0" borderId="0" xfId="0" applyFont="1" applyFill="1" applyAlignment="1">
      <alignment vertical="center" wrapText="1"/>
    </xf>
    <xf numFmtId="0" fontId="13" fillId="0" borderId="15" xfId="0" applyFont="1" applyBorder="1" applyAlignment="1">
      <alignment vertical="center" wrapText="1"/>
    </xf>
    <xf numFmtId="5" fontId="13" fillId="0" borderId="15" xfId="4" applyNumberFormat="1" applyFont="1" applyFill="1" applyBorder="1" applyAlignment="1">
      <alignment vertical="center" wrapText="1"/>
    </xf>
    <xf numFmtId="0" fontId="11" fillId="0" borderId="14" xfId="0" applyFont="1" applyBorder="1" applyAlignment="1">
      <alignment vertical="center" wrapText="1"/>
    </xf>
    <xf numFmtId="5" fontId="13" fillId="0" borderId="1" xfId="4" applyNumberFormat="1" applyFont="1" applyFill="1" applyBorder="1" applyAlignment="1">
      <alignment vertical="center" wrapText="1"/>
    </xf>
    <xf numFmtId="5" fontId="13" fillId="0" borderId="14" xfId="4" applyNumberFormat="1" applyFont="1" applyFill="1" applyBorder="1" applyAlignment="1">
      <alignment vertical="center" wrapText="1"/>
    </xf>
    <xf numFmtId="0" fontId="13" fillId="0" borderId="15" xfId="0" applyFont="1" applyFill="1" applyBorder="1" applyAlignment="1">
      <alignment vertical="center" wrapText="1"/>
    </xf>
    <xf numFmtId="0" fontId="11" fillId="0" borderId="15" xfId="0" applyFont="1" applyFill="1" applyBorder="1" applyAlignment="1">
      <alignment vertical="center" wrapText="1"/>
    </xf>
    <xf numFmtId="165" fontId="13" fillId="0" borderId="15" xfId="4" applyNumberFormat="1" applyFont="1" applyFill="1" applyBorder="1" applyAlignment="1">
      <alignment vertical="center" wrapText="1"/>
    </xf>
    <xf numFmtId="0" fontId="11" fillId="0" borderId="0" xfId="0" applyFont="1" applyFill="1" applyAlignment="1">
      <alignment vertical="center" wrapText="1"/>
    </xf>
    <xf numFmtId="5" fontId="11" fillId="0" borderId="1" xfId="4" applyNumberFormat="1" applyFont="1" applyFill="1" applyBorder="1" applyAlignment="1">
      <alignment vertical="center" wrapText="1"/>
    </xf>
    <xf numFmtId="5" fontId="11" fillId="0" borderId="14" xfId="4" applyNumberFormat="1" applyFont="1" applyFill="1" applyBorder="1" applyAlignment="1">
      <alignment vertical="center" wrapText="1"/>
    </xf>
    <xf numFmtId="165" fontId="13" fillId="0" borderId="13" xfId="1" applyNumberFormat="1" applyFont="1" applyFill="1" applyBorder="1" applyAlignment="1">
      <alignment vertical="center"/>
    </xf>
    <xf numFmtId="37" fontId="13" fillId="0" borderId="13" xfId="1" applyNumberFormat="1" applyFont="1" applyFill="1" applyBorder="1" applyAlignment="1">
      <alignment vertical="center"/>
    </xf>
    <xf numFmtId="37" fontId="13" fillId="0" borderId="0" xfId="1" applyNumberFormat="1" applyFont="1" applyBorder="1" applyAlignment="1">
      <alignment vertical="center"/>
    </xf>
    <xf numFmtId="0" fontId="11" fillId="0" borderId="51" xfId="16" applyFont="1" applyBorder="1" applyAlignment="1">
      <alignment horizontal="center" vertical="center"/>
    </xf>
    <xf numFmtId="0" fontId="11" fillId="0" borderId="52" xfId="16" applyFont="1" applyFill="1" applyBorder="1" applyAlignment="1">
      <alignment horizontal="center" vertical="center"/>
    </xf>
    <xf numFmtId="169" fontId="13" fillId="0" borderId="24" xfId="16" applyNumberFormat="1" applyFont="1" applyBorder="1" applyAlignment="1">
      <alignment vertical="center"/>
    </xf>
    <xf numFmtId="165" fontId="13" fillId="0" borderId="22" xfId="1" applyNumberFormat="1" applyFont="1" applyFill="1" applyBorder="1" applyAlignment="1">
      <alignment horizontal="right" vertical="center"/>
    </xf>
    <xf numFmtId="0" fontId="11" fillId="0" borderId="53" xfId="16" applyFont="1" applyFill="1" applyBorder="1" applyAlignment="1">
      <alignment vertical="center"/>
    </xf>
    <xf numFmtId="165" fontId="11" fillId="0" borderId="54" xfId="1" applyNumberFormat="1" applyFont="1" applyFill="1" applyBorder="1" applyAlignment="1">
      <alignment horizontal="right" vertical="center"/>
    </xf>
    <xf numFmtId="169" fontId="11" fillId="0" borderId="53" xfId="16" applyNumberFormat="1" applyFont="1" applyBorder="1" applyAlignment="1">
      <alignment vertical="center"/>
    </xf>
    <xf numFmtId="165" fontId="11" fillId="0" borderId="54" xfId="1" applyNumberFormat="1" applyFont="1" applyFill="1" applyBorder="1" applyAlignment="1">
      <alignment vertical="center"/>
    </xf>
    <xf numFmtId="169" fontId="13" fillId="0" borderId="55" xfId="16" applyNumberFormat="1" applyFont="1" applyBorder="1" applyAlignment="1">
      <alignment vertical="center"/>
    </xf>
    <xf numFmtId="165" fontId="13" fillId="0" borderId="56" xfId="1" applyNumberFormat="1" applyFont="1" applyFill="1" applyBorder="1" applyAlignment="1">
      <alignment horizontal="right" vertical="center"/>
    </xf>
    <xf numFmtId="0" fontId="11" fillId="0" borderId="24" xfId="16" applyFont="1" applyFill="1" applyBorder="1" applyAlignment="1">
      <alignment wrapText="1"/>
    </xf>
    <xf numFmtId="165" fontId="11" fillId="0" borderId="22" xfId="1" applyNumberFormat="1" applyFont="1" applyFill="1" applyBorder="1" applyAlignment="1">
      <alignment vertical="center"/>
    </xf>
    <xf numFmtId="0" fontId="13" fillId="0" borderId="24" xfId="16" applyFont="1" applyFill="1" applyBorder="1" applyAlignment="1">
      <alignment vertical="center"/>
    </xf>
    <xf numFmtId="0" fontId="11" fillId="0" borderId="34" xfId="16" applyFont="1" applyFill="1" applyBorder="1" applyAlignment="1">
      <alignment vertical="center"/>
    </xf>
    <xf numFmtId="0" fontId="13" fillId="0" borderId="61" xfId="16" applyFont="1" applyFill="1" applyBorder="1" applyAlignment="1">
      <alignment vertical="center" wrapText="1"/>
    </xf>
    <xf numFmtId="0" fontId="11" fillId="0" borderId="16" xfId="16" applyFont="1" applyBorder="1" applyAlignment="1">
      <alignment horizontal="center" vertical="center" wrapText="1"/>
    </xf>
    <xf numFmtId="0" fontId="13" fillId="0" borderId="62" xfId="16" applyFont="1" applyBorder="1" applyAlignment="1">
      <alignment horizontal="center" vertical="center" wrapText="1"/>
    </xf>
    <xf numFmtId="0" fontId="13" fillId="0" borderId="16" xfId="16" applyFont="1" applyBorder="1" applyAlignment="1">
      <alignment horizontal="center" vertical="center" wrapText="1"/>
    </xf>
    <xf numFmtId="0" fontId="13" fillId="0" borderId="61" xfId="16" applyFont="1" applyFill="1" applyBorder="1" applyAlignment="1">
      <alignment vertical="center"/>
    </xf>
    <xf numFmtId="5" fontId="13" fillId="0" borderId="22" xfId="16" applyNumberFormat="1" applyFont="1" applyFill="1" applyBorder="1"/>
    <xf numFmtId="0" fontId="13" fillId="0" borderId="38" xfId="16" applyFont="1" applyFill="1" applyBorder="1" applyAlignment="1">
      <alignment vertical="center"/>
    </xf>
    <xf numFmtId="0" fontId="11" fillId="0" borderId="63" xfId="16" applyFont="1" applyFill="1" applyBorder="1" applyAlignment="1">
      <alignment vertical="center" wrapText="1"/>
    </xf>
    <xf numFmtId="5" fontId="11" fillId="0" borderId="64" xfId="16" applyNumberFormat="1" applyFont="1" applyFill="1" applyBorder="1"/>
    <xf numFmtId="0" fontId="13" fillId="0" borderId="68" xfId="16" applyFont="1" applyBorder="1" applyAlignment="1">
      <alignment horizontal="center" vertical="top"/>
    </xf>
    <xf numFmtId="0" fontId="13" fillId="0" borderId="61" xfId="16" applyFont="1" applyBorder="1" applyAlignment="1">
      <alignment vertical="center"/>
    </xf>
    <xf numFmtId="165" fontId="13" fillId="0" borderId="69" xfId="1" applyNumberFormat="1" applyFont="1" applyFill="1" applyBorder="1" applyAlignment="1">
      <alignment vertical="center"/>
    </xf>
    <xf numFmtId="0" fontId="13" fillId="0" borderId="38" xfId="16" applyFont="1" applyBorder="1" applyAlignment="1">
      <alignment vertical="center"/>
    </xf>
    <xf numFmtId="0" fontId="13" fillId="0" borderId="63" xfId="16" applyFont="1" applyFill="1" applyBorder="1" applyAlignment="1">
      <alignment vertical="center" wrapText="1"/>
    </xf>
    <xf numFmtId="0" fontId="13" fillId="0" borderId="60" xfId="16" applyFont="1" applyBorder="1" applyAlignment="1">
      <alignment horizontal="center" vertical="top"/>
    </xf>
    <xf numFmtId="0" fontId="11" fillId="0" borderId="70" xfId="16" applyFont="1" applyBorder="1" applyAlignment="1">
      <alignment horizontal="center" vertical="top" wrapText="1"/>
    </xf>
    <xf numFmtId="5" fontId="13" fillId="0" borderId="54" xfId="16" applyNumberFormat="1" applyFont="1" applyFill="1" applyBorder="1"/>
    <xf numFmtId="0" fontId="11" fillId="0" borderId="61" xfId="16" applyFont="1" applyBorder="1" applyAlignment="1">
      <alignment vertical="center"/>
    </xf>
    <xf numFmtId="5" fontId="11" fillId="0" borderId="22" xfId="16" applyNumberFormat="1" applyFont="1" applyFill="1" applyBorder="1"/>
    <xf numFmtId="0" fontId="11" fillId="0" borderId="63" xfId="16" applyFont="1" applyBorder="1" applyAlignment="1">
      <alignment vertical="center" wrapText="1"/>
    </xf>
    <xf numFmtId="5" fontId="13" fillId="0" borderId="64" xfId="16" applyNumberFormat="1" applyFont="1" applyFill="1" applyBorder="1"/>
    <xf numFmtId="5" fontId="13" fillId="0" borderId="32" xfId="16" applyNumberFormat="1" applyFont="1" applyFill="1" applyBorder="1"/>
    <xf numFmtId="37" fontId="13" fillId="5" borderId="15" xfId="1" applyNumberFormat="1" applyFont="1" applyFill="1" applyBorder="1" applyAlignment="1">
      <alignment horizontal="right" vertical="center"/>
    </xf>
    <xf numFmtId="37" fontId="13" fillId="0" borderId="15" xfId="1" applyNumberFormat="1" applyFont="1" applyFill="1" applyBorder="1" applyAlignment="1">
      <alignment horizontal="right" vertical="center"/>
    </xf>
    <xf numFmtId="37" fontId="13" fillId="0" borderId="15" xfId="1" applyNumberFormat="1" applyFont="1" applyFill="1" applyBorder="1" applyAlignment="1">
      <alignment vertical="center"/>
    </xf>
    <xf numFmtId="5" fontId="13" fillId="0" borderId="18" xfId="16" applyNumberFormat="1" applyFont="1" applyFill="1" applyBorder="1"/>
    <xf numFmtId="0" fontId="11" fillId="0" borderId="29" xfId="16" applyFont="1" applyBorder="1" applyAlignment="1">
      <alignment horizontal="center" vertical="center"/>
    </xf>
    <xf numFmtId="3" fontId="11" fillId="0" borderId="1" xfId="16" applyNumberFormat="1" applyFont="1" applyFill="1" applyBorder="1" applyAlignment="1">
      <alignment horizontal="center" vertical="center" wrapText="1"/>
    </xf>
    <xf numFmtId="0" fontId="11" fillId="0" borderId="30" xfId="16" applyFont="1" applyFill="1" applyBorder="1" applyAlignment="1">
      <alignment horizontal="center" vertical="center"/>
    </xf>
    <xf numFmtId="169" fontId="13" fillId="0" borderId="33" xfId="16" applyNumberFormat="1" applyFont="1" applyBorder="1" applyAlignment="1">
      <alignment vertical="center"/>
    </xf>
    <xf numFmtId="165" fontId="13" fillId="0" borderId="82" xfId="1" applyNumberFormat="1" applyFont="1" applyFill="1" applyBorder="1" applyAlignment="1">
      <alignment vertical="center"/>
    </xf>
    <xf numFmtId="165" fontId="13" fillId="0" borderId="83" xfId="1" applyNumberFormat="1" applyFont="1" applyFill="1" applyBorder="1" applyAlignment="1">
      <alignment horizontal="right" vertical="center"/>
    </xf>
    <xf numFmtId="0" fontId="11" fillId="0" borderId="24" xfId="16" applyFont="1" applyFill="1" applyBorder="1" applyAlignment="1">
      <alignment vertical="center" wrapText="1"/>
    </xf>
    <xf numFmtId="172" fontId="11" fillId="0" borderId="0" xfId="1" applyFont="1" applyFill="1" applyBorder="1" applyAlignment="1">
      <alignment vertical="center"/>
    </xf>
    <xf numFmtId="165" fontId="11" fillId="0" borderId="28" xfId="1" applyNumberFormat="1" applyFont="1" applyFill="1" applyBorder="1" applyAlignment="1">
      <alignment vertical="center"/>
    </xf>
    <xf numFmtId="172" fontId="11" fillId="0" borderId="28" xfId="1" applyFont="1" applyFill="1" applyBorder="1" applyAlignment="1">
      <alignment vertical="center"/>
    </xf>
    <xf numFmtId="0" fontId="13" fillId="0" borderId="0" xfId="27" applyFont="1" applyAlignment="1">
      <alignment vertical="center"/>
    </xf>
    <xf numFmtId="0" fontId="13" fillId="0" borderId="14" xfId="27" applyFont="1" applyBorder="1" applyAlignment="1">
      <alignment vertical="center"/>
    </xf>
    <xf numFmtId="0" fontId="11" fillId="0" borderId="14" xfId="27" applyFont="1" applyBorder="1" applyAlignment="1">
      <alignment vertical="center"/>
    </xf>
    <xf numFmtId="5" fontId="11" fillId="0" borderId="14" xfId="4" applyFont="1" applyBorder="1" applyAlignment="1">
      <alignment horizontal="center" vertical="center" wrapText="1"/>
    </xf>
    <xf numFmtId="0" fontId="13" fillId="0" borderId="38" xfId="0" applyFont="1" applyBorder="1" applyAlignment="1">
      <alignment horizontal="left" vertical="center" wrapText="1"/>
    </xf>
    <xf numFmtId="5" fontId="13" fillId="0" borderId="38" xfId="4" applyFont="1" applyFill="1" applyBorder="1" applyAlignment="1">
      <alignment vertical="center"/>
    </xf>
    <xf numFmtId="5" fontId="13" fillId="0" borderId="20" xfId="4" applyFont="1" applyFill="1" applyBorder="1" applyAlignment="1">
      <alignment vertical="center"/>
    </xf>
    <xf numFmtId="5" fontId="13" fillId="0" borderId="20" xfId="4" applyFont="1" applyBorder="1" applyAlignment="1">
      <alignment vertical="center"/>
    </xf>
    <xf numFmtId="5" fontId="13" fillId="0" borderId="81" xfId="4" applyFont="1" applyBorder="1" applyAlignment="1">
      <alignment vertical="center"/>
    </xf>
    <xf numFmtId="0" fontId="13" fillId="0" borderId="34" xfId="0" applyFont="1" applyBorder="1" applyAlignment="1">
      <alignment horizontal="left" vertical="center" wrapText="1"/>
    </xf>
    <xf numFmtId="5" fontId="13" fillId="0" borderId="34" xfId="4" applyFont="1" applyFill="1" applyBorder="1" applyAlignment="1">
      <alignment vertical="center"/>
    </xf>
    <xf numFmtId="5" fontId="13" fillId="0" borderId="3" xfId="4" applyFont="1" applyFill="1" applyBorder="1" applyAlignment="1">
      <alignment vertical="center"/>
    </xf>
    <xf numFmtId="5" fontId="13" fillId="0" borderId="3" xfId="4" applyFont="1" applyBorder="1" applyAlignment="1">
      <alignment vertical="center"/>
    </xf>
    <xf numFmtId="5" fontId="13" fillId="0" borderId="74" xfId="4" applyFont="1" applyBorder="1" applyAlignment="1">
      <alignment vertical="center"/>
    </xf>
    <xf numFmtId="0" fontId="13" fillId="0" borderId="76" xfId="0" applyFont="1" applyBorder="1" applyAlignment="1">
      <alignment horizontal="left" vertical="center" wrapText="1"/>
    </xf>
    <xf numFmtId="5" fontId="13" fillId="0" borderId="76" xfId="4" applyFont="1" applyFill="1" applyBorder="1" applyAlignment="1">
      <alignment vertical="center"/>
    </xf>
    <xf numFmtId="5" fontId="13" fillId="0" borderId="77" xfId="4" applyFont="1" applyFill="1" applyBorder="1" applyAlignment="1">
      <alignment vertical="center"/>
    </xf>
    <xf numFmtId="5" fontId="13" fillId="0" borderId="77" xfId="4" applyFont="1" applyBorder="1" applyAlignment="1">
      <alignment vertical="center"/>
    </xf>
    <xf numFmtId="5" fontId="13" fillId="0" borderId="75" xfId="4" applyFont="1" applyBorder="1" applyAlignment="1">
      <alignment vertical="center"/>
    </xf>
    <xf numFmtId="0" fontId="11" fillId="0" borderId="21" xfId="27" applyFont="1" applyBorder="1" applyAlignment="1">
      <alignment vertical="center" wrapText="1"/>
    </xf>
    <xf numFmtId="5" fontId="11" fillId="0" borderId="79" xfId="4" applyFont="1" applyFill="1" applyBorder="1" applyAlignment="1">
      <alignment vertical="center"/>
    </xf>
    <xf numFmtId="5" fontId="11" fillId="0" borderId="79" xfId="4" applyFont="1" applyBorder="1" applyAlignment="1">
      <alignment vertical="center"/>
    </xf>
    <xf numFmtId="5" fontId="11" fillId="0" borderId="21" xfId="4" applyFont="1" applyBorder="1" applyAlignment="1">
      <alignment vertical="center"/>
    </xf>
    <xf numFmtId="0" fontId="13" fillId="0" borderId="81" xfId="27" applyFont="1" applyFill="1" applyBorder="1" applyAlignment="1">
      <alignment vertical="center" wrapText="1"/>
    </xf>
    <xf numFmtId="5" fontId="13" fillId="0" borderId="81" xfId="4" applyFont="1" applyFill="1" applyBorder="1" applyAlignment="1">
      <alignment vertical="center"/>
    </xf>
    <xf numFmtId="0" fontId="13" fillId="0" borderId="75" xfId="27" applyFont="1" applyFill="1" applyBorder="1" applyAlignment="1">
      <alignment vertical="center" wrapText="1"/>
    </xf>
    <xf numFmtId="5" fontId="13" fillId="0" borderId="75" xfId="4" applyFont="1" applyFill="1" applyBorder="1" applyAlignment="1">
      <alignment vertical="center"/>
    </xf>
    <xf numFmtId="0" fontId="11" fillId="0" borderId="21" xfId="27" applyFont="1" applyFill="1" applyBorder="1" applyAlignment="1">
      <alignment vertical="center" wrapText="1"/>
    </xf>
    <xf numFmtId="5" fontId="11" fillId="0" borderId="61" xfId="4" applyFont="1" applyFill="1" applyBorder="1" applyAlignment="1">
      <alignment vertical="center"/>
    </xf>
    <xf numFmtId="5" fontId="11" fillId="0" borderId="18" xfId="4" applyFont="1" applyFill="1" applyBorder="1" applyAlignment="1">
      <alignment vertical="center"/>
    </xf>
    <xf numFmtId="5" fontId="11" fillId="0" borderId="15" xfId="4" applyFont="1" applyFill="1" applyBorder="1" applyAlignment="1">
      <alignment vertical="center"/>
    </xf>
    <xf numFmtId="5" fontId="11" fillId="0" borderId="40" xfId="4" applyFont="1" applyBorder="1" applyAlignment="1">
      <alignment vertical="center"/>
    </xf>
    <xf numFmtId="5" fontId="11" fillId="0" borderId="73" xfId="4" applyFont="1" applyBorder="1" applyAlignment="1">
      <alignment vertical="center"/>
    </xf>
    <xf numFmtId="5" fontId="11" fillId="0" borderId="73" xfId="4" applyFont="1" applyFill="1" applyBorder="1" applyAlignment="1">
      <alignment vertical="center"/>
    </xf>
    <xf numFmtId="5" fontId="11" fillId="0" borderId="14" xfId="4" applyFont="1" applyBorder="1" applyAlignment="1">
      <alignment vertical="center"/>
    </xf>
    <xf numFmtId="5" fontId="11" fillId="0" borderId="22" xfId="4" applyNumberFormat="1" applyFont="1" applyBorder="1" applyAlignment="1">
      <alignment vertical="center" wrapText="1"/>
    </xf>
    <xf numFmtId="0" fontId="13" fillId="0" borderId="0" xfId="0" applyFont="1"/>
    <xf numFmtId="0" fontId="0" fillId="0" borderId="0" xfId="0" applyBorder="1"/>
    <xf numFmtId="0" fontId="13" fillId="0" borderId="27" xfId="0" applyFont="1" applyBorder="1"/>
    <xf numFmtId="0" fontId="13" fillId="0" borderId="15" xfId="0" applyFont="1" applyBorder="1"/>
    <xf numFmtId="0" fontId="13" fillId="0" borderId="95" xfId="0" applyFont="1" applyBorder="1"/>
    <xf numFmtId="37" fontId="13" fillId="0" borderId="16" xfId="0" applyNumberFormat="1" applyFont="1" applyBorder="1"/>
    <xf numFmtId="37" fontId="13" fillId="0" borderId="91" xfId="0" applyNumberFormat="1" applyFont="1" applyBorder="1"/>
    <xf numFmtId="37" fontId="13" fillId="0" borderId="31" xfId="0" applyNumberFormat="1" applyFont="1" applyBorder="1"/>
    <xf numFmtId="37" fontId="13" fillId="0" borderId="92" xfId="0" applyNumberFormat="1" applyFont="1" applyBorder="1"/>
    <xf numFmtId="37" fontId="13" fillId="0" borderId="22" xfId="0" applyNumberFormat="1" applyFont="1" applyBorder="1"/>
    <xf numFmtId="37" fontId="13" fillId="0" borderId="82" xfId="0" applyNumberFormat="1" applyFont="1" applyBorder="1"/>
    <xf numFmtId="37" fontId="13" fillId="0" borderId="93" xfId="0" applyNumberFormat="1" applyFont="1" applyBorder="1"/>
    <xf numFmtId="37" fontId="13" fillId="0" borderId="83" xfId="0" applyNumberFormat="1" applyFont="1" applyBorder="1"/>
    <xf numFmtId="0" fontId="11" fillId="0" borderId="21" xfId="0" applyFont="1" applyBorder="1"/>
    <xf numFmtId="37" fontId="11" fillId="0" borderId="28" xfId="0" applyNumberFormat="1" applyFont="1" applyBorder="1"/>
    <xf numFmtId="37" fontId="11" fillId="0" borderId="94" xfId="0" applyNumberFormat="1" applyFont="1" applyBorder="1"/>
    <xf numFmtId="37" fontId="11" fillId="0" borderId="32" xfId="0" applyNumberFormat="1" applyFont="1" applyBorder="1"/>
    <xf numFmtId="37" fontId="11" fillId="0" borderId="1" xfId="0" applyNumberFormat="1" applyFont="1" applyBorder="1"/>
    <xf numFmtId="37" fontId="11" fillId="0" borderId="96" xfId="0" applyNumberFormat="1" applyFont="1" applyBorder="1"/>
    <xf numFmtId="5" fontId="13" fillId="0" borderId="0" xfId="16" applyNumberFormat="1" applyFont="1" applyFill="1" applyBorder="1"/>
    <xf numFmtId="0" fontId="11" fillId="6" borderId="26" xfId="0" applyFont="1" applyFill="1" applyBorder="1" applyAlignment="1">
      <alignment horizontal="center" vertical="center"/>
    </xf>
    <xf numFmtId="0" fontId="11" fillId="6" borderId="32" xfId="0" applyFont="1" applyFill="1" applyBorder="1"/>
    <xf numFmtId="37" fontId="11" fillId="6" borderId="28" xfId="0" applyNumberFormat="1" applyFont="1" applyFill="1" applyBorder="1"/>
    <xf numFmtId="37" fontId="11" fillId="6" borderId="96" xfId="0" applyNumberFormat="1" applyFont="1" applyFill="1" applyBorder="1"/>
    <xf numFmtId="176" fontId="13" fillId="0" borderId="0" xfId="16" applyNumberFormat="1" applyFont="1" applyFill="1" applyAlignment="1">
      <alignment vertical="center"/>
    </xf>
    <xf numFmtId="176" fontId="13" fillId="0" borderId="0" xfId="0" applyNumberFormat="1" applyFont="1"/>
    <xf numFmtId="165" fontId="13" fillId="0" borderId="5" xfId="0" applyNumberFormat="1" applyFont="1" applyFill="1" applyBorder="1"/>
    <xf numFmtId="165" fontId="13" fillId="0" borderId="0" xfId="0" applyNumberFormat="1" applyFont="1" applyFill="1" applyBorder="1"/>
    <xf numFmtId="5" fontId="13" fillId="0" borderId="20" xfId="16" applyNumberFormat="1" applyFont="1" applyFill="1" applyBorder="1"/>
    <xf numFmtId="37" fontId="13" fillId="0" borderId="82" xfId="1" applyNumberFormat="1" applyFont="1" applyBorder="1" applyAlignment="1">
      <alignment vertical="center"/>
    </xf>
    <xf numFmtId="178" fontId="11" fillId="0" borderId="40" xfId="4" quotePrefix="1" applyNumberFormat="1" applyFont="1" applyBorder="1" applyAlignment="1">
      <alignment horizontal="center" vertical="center" wrapText="1"/>
    </xf>
    <xf numFmtId="178" fontId="11" fillId="0" borderId="73" xfId="4" quotePrefix="1" applyNumberFormat="1" applyFont="1" applyBorder="1" applyAlignment="1">
      <alignment horizontal="center" vertical="center" wrapText="1"/>
    </xf>
    <xf numFmtId="0" fontId="13" fillId="0" borderId="0" xfId="0" applyFont="1"/>
    <xf numFmtId="0" fontId="13" fillId="0" borderId="27" xfId="0" applyFont="1" applyFill="1" applyBorder="1" applyAlignment="1">
      <alignment vertical="center" wrapText="1"/>
    </xf>
    <xf numFmtId="165" fontId="13" fillId="0" borderId="16" xfId="1" applyNumberFormat="1" applyFont="1" applyFill="1" applyBorder="1" applyAlignment="1">
      <alignment vertical="center"/>
    </xf>
    <xf numFmtId="165" fontId="13" fillId="0" borderId="27" xfId="1" applyNumberFormat="1" applyFont="1" applyFill="1" applyBorder="1" applyAlignment="1">
      <alignment vertical="center"/>
    </xf>
    <xf numFmtId="165" fontId="13" fillId="0" borderId="26" xfId="1" applyNumberFormat="1" applyFont="1" applyFill="1" applyBorder="1" applyAlignment="1">
      <alignment vertical="center"/>
    </xf>
    <xf numFmtId="165" fontId="13" fillId="0" borderId="28" xfId="1" applyNumberFormat="1" applyFont="1" applyFill="1" applyBorder="1" applyAlignment="1">
      <alignment vertical="center"/>
    </xf>
    <xf numFmtId="165" fontId="13" fillId="0" borderId="18" xfId="1" applyNumberFormat="1" applyFont="1" applyFill="1" applyBorder="1" applyAlignment="1">
      <alignment vertical="center"/>
    </xf>
    <xf numFmtId="0" fontId="13" fillId="0" borderId="27" xfId="0" applyFont="1" applyBorder="1" applyAlignment="1">
      <alignment vertical="center" wrapText="1"/>
    </xf>
    <xf numFmtId="5" fontId="13" fillId="0" borderId="6" xfId="4" applyFont="1" applyFill="1" applyBorder="1" applyAlignment="1"/>
    <xf numFmtId="0" fontId="11" fillId="4" borderId="24" xfId="16" applyFont="1" applyFill="1" applyBorder="1" applyAlignment="1">
      <alignment vertical="center" wrapText="1"/>
    </xf>
    <xf numFmtId="0" fontId="11" fillId="4" borderId="26" xfId="16" applyFont="1" applyFill="1" applyBorder="1" applyAlignment="1">
      <alignment vertical="center" wrapText="1"/>
    </xf>
    <xf numFmtId="0" fontId="11" fillId="6" borderId="29" xfId="16" applyFont="1" applyFill="1" applyBorder="1" applyAlignment="1">
      <alignment vertical="center"/>
    </xf>
    <xf numFmtId="0" fontId="0" fillId="6" borderId="1" xfId="0" applyFill="1" applyBorder="1"/>
    <xf numFmtId="0" fontId="0" fillId="6" borderId="30" xfId="0" applyFill="1" applyBorder="1"/>
    <xf numFmtId="0" fontId="11" fillId="0" borderId="26" xfId="0" applyFont="1" applyFill="1" applyBorder="1" applyAlignment="1">
      <alignment horizontal="left" vertical="center" wrapText="1"/>
    </xf>
    <xf numFmtId="0" fontId="15" fillId="0" borderId="0" xfId="29" applyFont="1" applyAlignment="1">
      <alignment vertical="center"/>
    </xf>
    <xf numFmtId="0" fontId="18" fillId="6" borderId="14" xfId="29" applyFont="1" applyFill="1" applyBorder="1" applyAlignment="1">
      <alignment horizontal="center" vertical="center"/>
    </xf>
    <xf numFmtId="17" fontId="18" fillId="0" borderId="40" xfId="29" applyNumberFormat="1" applyFont="1" applyBorder="1" applyAlignment="1">
      <alignment horizontal="center" vertical="center"/>
    </xf>
    <xf numFmtId="17" fontId="18" fillId="0" borderId="73" xfId="29" applyNumberFormat="1" applyFont="1" applyBorder="1" applyAlignment="1">
      <alignment horizontal="center" vertical="center"/>
    </xf>
    <xf numFmtId="17" fontId="18" fillId="0" borderId="41" xfId="29" applyNumberFormat="1" applyFont="1" applyBorder="1" applyAlignment="1">
      <alignment horizontal="center" vertical="center"/>
    </xf>
    <xf numFmtId="0" fontId="15" fillId="0" borderId="0" xfId="29" applyFont="1" applyAlignment="1">
      <alignment vertical="center" wrapText="1"/>
    </xf>
    <xf numFmtId="0" fontId="15" fillId="0" borderId="43" xfId="29" applyFont="1" applyBorder="1" applyAlignment="1">
      <alignment horizontal="left" vertical="center" wrapText="1"/>
    </xf>
    <xf numFmtId="5" fontId="15" fillId="0" borderId="42" xfId="29" applyNumberFormat="1" applyFont="1" applyFill="1" applyBorder="1" applyAlignment="1">
      <alignment horizontal="right" vertical="center"/>
    </xf>
    <xf numFmtId="5" fontId="18" fillId="0" borderId="43" xfId="29" applyNumberFormat="1" applyFont="1" applyFill="1" applyBorder="1" applyAlignment="1">
      <alignment horizontal="right" vertical="center"/>
    </xf>
    <xf numFmtId="0" fontId="15" fillId="0" borderId="35" xfId="29" applyFont="1" applyBorder="1" applyAlignment="1">
      <alignment horizontal="left" vertical="center" wrapText="1"/>
    </xf>
    <xf numFmtId="5" fontId="15" fillId="0" borderId="3" xfId="29" applyNumberFormat="1" applyFont="1" applyFill="1" applyBorder="1" applyAlignment="1">
      <alignment horizontal="right" vertical="center"/>
    </xf>
    <xf numFmtId="5" fontId="18" fillId="0" borderId="35" xfId="29" applyNumberFormat="1" applyFont="1" applyFill="1" applyBorder="1" applyAlignment="1">
      <alignment horizontal="right" vertical="center"/>
    </xf>
    <xf numFmtId="0" fontId="15" fillId="0" borderId="78" xfId="29" applyFont="1" applyBorder="1" applyAlignment="1">
      <alignment horizontal="left" vertical="center" wrapText="1"/>
    </xf>
    <xf numFmtId="5" fontId="15" fillId="0" borderId="77" xfId="29" applyNumberFormat="1" applyFont="1" applyFill="1" applyBorder="1" applyAlignment="1">
      <alignment horizontal="right" vertical="center"/>
    </xf>
    <xf numFmtId="5" fontId="18" fillId="0" borderId="78" xfId="29" applyNumberFormat="1" applyFont="1" applyFill="1" applyBorder="1" applyAlignment="1">
      <alignment horizontal="right" vertical="center"/>
    </xf>
    <xf numFmtId="0" fontId="18" fillId="0" borderId="100" xfId="29" applyFont="1" applyBorder="1" applyAlignment="1">
      <alignment horizontal="left" vertical="center" wrapText="1"/>
    </xf>
    <xf numFmtId="5" fontId="15" fillId="0" borderId="101" xfId="29" applyNumberFormat="1" applyFont="1" applyFill="1" applyBorder="1" applyAlignment="1">
      <alignment horizontal="right" vertical="center"/>
    </xf>
    <xf numFmtId="0" fontId="18" fillId="0" borderId="102" xfId="29" applyFont="1" applyBorder="1" applyAlignment="1">
      <alignment horizontal="left" vertical="center" wrapText="1"/>
    </xf>
    <xf numFmtId="5" fontId="18" fillId="0" borderId="103" xfId="29" applyNumberFormat="1" applyFont="1" applyFill="1" applyBorder="1" applyAlignment="1">
      <alignment horizontal="right" vertical="center"/>
    </xf>
    <xf numFmtId="5" fontId="15" fillId="0" borderId="20" xfId="29" applyNumberFormat="1" applyFont="1" applyFill="1" applyBorder="1" applyAlignment="1">
      <alignment horizontal="right" vertical="center"/>
    </xf>
    <xf numFmtId="5" fontId="18" fillId="0" borderId="39" xfId="29" applyNumberFormat="1" applyFont="1" applyFill="1" applyBorder="1" applyAlignment="1">
      <alignment horizontal="right" vertical="center"/>
    </xf>
    <xf numFmtId="5" fontId="18" fillId="0" borderId="20" xfId="29" applyNumberFormat="1" applyFont="1" applyFill="1" applyBorder="1" applyAlignment="1">
      <alignment horizontal="right" vertical="center"/>
    </xf>
    <xf numFmtId="37" fontId="15" fillId="0" borderId="3" xfId="29" applyNumberFormat="1" applyFont="1" applyFill="1" applyBorder="1" applyAlignment="1">
      <alignment horizontal="right" vertical="center"/>
    </xf>
    <xf numFmtId="37" fontId="18" fillId="0" borderId="35" xfId="29" applyNumberFormat="1" applyFont="1" applyFill="1" applyBorder="1" applyAlignment="1">
      <alignment horizontal="right" vertical="center"/>
    </xf>
    <xf numFmtId="7" fontId="15" fillId="0" borderId="36" xfId="29" applyNumberFormat="1" applyFont="1" applyBorder="1" applyAlignment="1">
      <alignment horizontal="right" vertical="center"/>
    </xf>
    <xf numFmtId="7" fontId="15" fillId="0" borderId="44" xfId="29" applyNumberFormat="1" applyFont="1" applyBorder="1" applyAlignment="1">
      <alignment horizontal="right" vertical="center"/>
    </xf>
    <xf numFmtId="7" fontId="15" fillId="0" borderId="44" xfId="29" applyNumberFormat="1" applyFont="1" applyFill="1" applyBorder="1" applyAlignment="1">
      <alignment horizontal="right" vertical="center"/>
    </xf>
    <xf numFmtId="7" fontId="15" fillId="0" borderId="37" xfId="29" applyNumberFormat="1" applyFont="1" applyFill="1" applyBorder="1" applyAlignment="1">
      <alignment horizontal="right" vertical="center"/>
    </xf>
    <xf numFmtId="0" fontId="18" fillId="0" borderId="80" xfId="29" applyFont="1" applyBorder="1" applyAlignment="1">
      <alignment horizontal="left" vertical="center" wrapText="1"/>
    </xf>
    <xf numFmtId="5" fontId="18" fillId="0" borderId="79" xfId="29" applyNumberFormat="1" applyFont="1" applyFill="1" applyBorder="1" applyAlignment="1">
      <alignment horizontal="right" vertical="center"/>
    </xf>
    <xf numFmtId="0" fontId="18" fillId="0" borderId="43" xfId="29" applyFont="1" applyBorder="1" applyAlignment="1">
      <alignment horizontal="left" vertical="center" wrapText="1"/>
    </xf>
    <xf numFmtId="0" fontId="18" fillId="0" borderId="35" xfId="29" applyFont="1" applyBorder="1" applyAlignment="1">
      <alignment horizontal="left" vertical="center" wrapText="1"/>
    </xf>
    <xf numFmtId="0" fontId="18" fillId="0" borderId="78" xfId="29" applyFont="1" applyBorder="1" applyAlignment="1">
      <alignment horizontal="left" vertical="center" wrapText="1"/>
    </xf>
    <xf numFmtId="0" fontId="18" fillId="0" borderId="39" xfId="29" applyFont="1" applyBorder="1" applyAlignment="1">
      <alignment horizontal="left" vertical="center" wrapText="1"/>
    </xf>
    <xf numFmtId="0" fontId="15" fillId="0" borderId="0" xfId="29" applyFont="1" applyAlignment="1">
      <alignment horizontal="center" vertical="center"/>
    </xf>
    <xf numFmtId="17" fontId="18" fillId="0" borderId="30" xfId="29" applyNumberFormat="1" applyFont="1" applyBorder="1" applyAlignment="1">
      <alignment horizontal="center" vertical="center"/>
    </xf>
    <xf numFmtId="5" fontId="18" fillId="0" borderId="50" xfId="29" applyNumberFormat="1" applyFont="1" applyFill="1" applyBorder="1" applyAlignment="1">
      <alignment horizontal="right" vertical="center"/>
    </xf>
    <xf numFmtId="5" fontId="18" fillId="0" borderId="52" xfId="29" applyNumberFormat="1" applyFont="1" applyFill="1" applyBorder="1" applyAlignment="1">
      <alignment horizontal="right" vertical="center"/>
    </xf>
    <xf numFmtId="5" fontId="18" fillId="0" borderId="105" xfId="29" applyNumberFormat="1" applyFont="1" applyFill="1" applyBorder="1" applyAlignment="1">
      <alignment horizontal="right" vertical="center"/>
    </xf>
    <xf numFmtId="5" fontId="18" fillId="0" borderId="83" xfId="29" applyNumberFormat="1" applyFont="1" applyFill="1" applyBorder="1" applyAlignment="1">
      <alignment horizontal="right" vertical="center"/>
    </xf>
    <xf numFmtId="5" fontId="18" fillId="0" borderId="23" xfId="29" applyNumberFormat="1" applyFont="1" applyFill="1" applyBorder="1" applyAlignment="1">
      <alignment horizontal="right" vertical="center"/>
    </xf>
    <xf numFmtId="5" fontId="18" fillId="0" borderId="54" xfId="29" applyNumberFormat="1" applyFont="1" applyFill="1" applyBorder="1" applyAlignment="1">
      <alignment horizontal="right" vertical="center"/>
    </xf>
    <xf numFmtId="37" fontId="18" fillId="0" borderId="52" xfId="29" applyNumberFormat="1" applyFont="1" applyFill="1" applyBorder="1" applyAlignment="1">
      <alignment horizontal="right" vertical="center"/>
    </xf>
    <xf numFmtId="5" fontId="18" fillId="0" borderId="32" xfId="29" applyNumberFormat="1" applyFont="1" applyFill="1" applyBorder="1" applyAlignment="1">
      <alignment horizontal="right" vertical="center"/>
    </xf>
    <xf numFmtId="17" fontId="18" fillId="0" borderId="108" xfId="29" applyNumberFormat="1" applyFont="1" applyBorder="1" applyAlignment="1">
      <alignment horizontal="center" vertical="center"/>
    </xf>
    <xf numFmtId="5" fontId="15" fillId="0" borderId="109" xfId="29" applyNumberFormat="1" applyFont="1" applyFill="1" applyBorder="1" applyAlignment="1">
      <alignment horizontal="right" vertical="center"/>
    </xf>
    <xf numFmtId="5" fontId="15" fillId="0" borderId="110" xfId="29" applyNumberFormat="1" applyFont="1" applyFill="1" applyBorder="1" applyAlignment="1">
      <alignment horizontal="right" vertical="center"/>
    </xf>
    <xf numFmtId="5" fontId="15" fillId="0" borderId="111" xfId="29" applyNumberFormat="1" applyFont="1" applyFill="1" applyBorder="1" applyAlignment="1">
      <alignment horizontal="right" vertical="center"/>
    </xf>
    <xf numFmtId="5" fontId="15" fillId="0" borderId="112" xfId="29" applyNumberFormat="1" applyFont="1" applyFill="1" applyBorder="1" applyAlignment="1">
      <alignment horizontal="right" vertical="center"/>
    </xf>
    <xf numFmtId="5" fontId="18" fillId="0" borderId="113" xfId="29" applyNumberFormat="1" applyFont="1" applyFill="1" applyBorder="1" applyAlignment="1">
      <alignment horizontal="right" vertical="center"/>
    </xf>
    <xf numFmtId="5" fontId="15" fillId="0" borderId="114" xfId="29" applyNumberFormat="1" applyFont="1" applyFill="1" applyBorder="1" applyAlignment="1">
      <alignment horizontal="right" vertical="center"/>
    </xf>
    <xf numFmtId="5" fontId="18" fillId="0" borderId="114" xfId="29" applyNumberFormat="1" applyFont="1" applyFill="1" applyBorder="1" applyAlignment="1">
      <alignment horizontal="right" vertical="center"/>
    </xf>
    <xf numFmtId="37" fontId="15" fillId="0" borderId="110" xfId="29" applyNumberFormat="1" applyFont="1" applyFill="1" applyBorder="1" applyAlignment="1">
      <alignment horizontal="right" vertical="center"/>
    </xf>
    <xf numFmtId="7" fontId="15" fillId="0" borderId="115" xfId="29" applyNumberFormat="1" applyFont="1" applyFill="1" applyBorder="1" applyAlignment="1">
      <alignment horizontal="right" vertical="center"/>
    </xf>
    <xf numFmtId="5" fontId="18" fillId="0" borderId="116" xfId="29" applyNumberFormat="1" applyFont="1" applyFill="1" applyBorder="1" applyAlignment="1">
      <alignment horizontal="right" vertical="center"/>
    </xf>
    <xf numFmtId="7" fontId="18" fillId="0" borderId="107" xfId="29" applyNumberFormat="1" applyFont="1" applyFill="1" applyBorder="1" applyAlignment="1">
      <alignment horizontal="right" vertical="center"/>
    </xf>
    <xf numFmtId="0" fontId="13" fillId="0" borderId="0" xfId="0" applyFont="1"/>
    <xf numFmtId="5" fontId="11" fillId="0" borderId="3" xfId="16" applyNumberFormat="1" applyFont="1" applyFill="1" applyBorder="1"/>
    <xf numFmtId="165" fontId="13" fillId="0" borderId="12" xfId="1" applyNumberFormat="1" applyFont="1" applyFill="1" applyBorder="1" applyAlignment="1">
      <alignment vertical="center"/>
    </xf>
    <xf numFmtId="165" fontId="11" fillId="0" borderId="2" xfId="1" applyNumberFormat="1" applyFont="1" applyFill="1" applyBorder="1" applyAlignment="1">
      <alignment vertical="center"/>
    </xf>
    <xf numFmtId="0" fontId="13" fillId="0" borderId="117" xfId="16" applyFont="1" applyBorder="1" applyAlignment="1">
      <alignment horizontal="center" vertical="center" wrapText="1"/>
    </xf>
    <xf numFmtId="165" fontId="13" fillId="0" borderId="39" xfId="1" applyNumberFormat="1" applyFont="1" applyFill="1" applyBorder="1" applyAlignment="1">
      <alignment vertical="center"/>
    </xf>
    <xf numFmtId="165" fontId="11" fillId="0" borderId="35" xfId="1" applyNumberFormat="1" applyFont="1" applyFill="1" applyBorder="1" applyAlignment="1">
      <alignment vertical="center"/>
    </xf>
    <xf numFmtId="0" fontId="13" fillId="0" borderId="68" xfId="16" applyFont="1" applyFill="1" applyBorder="1" applyAlignment="1">
      <alignment horizontal="center" vertical="top"/>
    </xf>
    <xf numFmtId="0" fontId="11" fillId="0" borderId="99" xfId="16" applyFont="1" applyFill="1" applyBorder="1" applyAlignment="1">
      <alignment horizontal="center" vertical="center" wrapText="1"/>
    </xf>
    <xf numFmtId="0" fontId="13" fillId="0" borderId="62" xfId="16" applyFont="1" applyFill="1" applyBorder="1" applyAlignment="1">
      <alignment horizontal="center" vertical="center" wrapText="1"/>
    </xf>
    <xf numFmtId="0" fontId="13" fillId="0" borderId="0" xfId="0" applyFont="1"/>
    <xf numFmtId="0" fontId="13" fillId="0" borderId="98" xfId="16" applyFont="1" applyFill="1" applyBorder="1" applyAlignment="1">
      <alignment horizontal="center" vertical="center" wrapText="1"/>
    </xf>
    <xf numFmtId="5" fontId="13" fillId="0" borderId="12" xfId="16" applyNumberFormat="1" applyFont="1" applyFill="1" applyBorder="1"/>
    <xf numFmtId="5" fontId="11" fillId="0" borderId="2" xfId="16" applyNumberFormat="1" applyFont="1" applyFill="1" applyBorder="1"/>
    <xf numFmtId="5" fontId="13" fillId="0" borderId="69" xfId="16" applyNumberFormat="1" applyFont="1" applyFill="1" applyBorder="1"/>
    <xf numFmtId="5" fontId="13" fillId="0" borderId="39" xfId="16" applyNumberFormat="1" applyFont="1" applyFill="1" applyBorder="1"/>
    <xf numFmtId="5" fontId="11" fillId="0" borderId="39" xfId="16" applyNumberFormat="1" applyFont="1" applyFill="1" applyBorder="1"/>
    <xf numFmtId="0" fontId="13" fillId="0" borderId="0" xfId="28" applyFont="1" applyAlignment="1">
      <alignment vertical="center"/>
    </xf>
    <xf numFmtId="10" fontId="13" fillId="0" borderId="22" xfId="17" applyNumberFormat="1" applyFont="1" applyFill="1" applyBorder="1" applyAlignment="1">
      <alignment vertical="center"/>
    </xf>
    <xf numFmtId="165" fontId="11" fillId="0" borderId="32" xfId="1" applyNumberFormat="1" applyFont="1" applyFill="1" applyBorder="1" applyAlignment="1">
      <alignment vertical="center"/>
    </xf>
    <xf numFmtId="0" fontId="13" fillId="0" borderId="21" xfId="0" applyFont="1" applyBorder="1" applyAlignment="1">
      <alignment vertical="center" wrapText="1"/>
    </xf>
    <xf numFmtId="0" fontId="11" fillId="0" borderId="21" xfId="0" applyFont="1" applyBorder="1" applyAlignment="1">
      <alignment horizontal="center" vertical="center" wrapText="1"/>
    </xf>
    <xf numFmtId="170" fontId="11" fillId="0" borderId="28" xfId="4" applyNumberFormat="1" applyFont="1" applyFill="1" applyBorder="1" applyAlignment="1">
      <alignment horizontal="center" vertical="center" wrapText="1"/>
    </xf>
    <xf numFmtId="5" fontId="11" fillId="0" borderId="21" xfId="4" applyFont="1" applyFill="1" applyBorder="1" applyAlignment="1">
      <alignment horizontal="center" vertical="center" wrapText="1"/>
    </xf>
    <xf numFmtId="0" fontId="11" fillId="0" borderId="30" xfId="0" applyFont="1" applyBorder="1" applyAlignment="1">
      <alignment horizontal="center" vertical="center" wrapText="1"/>
    </xf>
    <xf numFmtId="0" fontId="13" fillId="0" borderId="0" xfId="16" applyFont="1" applyFill="1" applyBorder="1" applyAlignment="1">
      <alignment horizontal="left" wrapText="1"/>
    </xf>
    <xf numFmtId="0" fontId="13" fillId="0" borderId="0" xfId="0" applyFont="1" applyFill="1" applyBorder="1" applyAlignment="1">
      <alignment horizontal="left"/>
    </xf>
    <xf numFmtId="17" fontId="13" fillId="0" borderId="61" xfId="16" applyNumberFormat="1" applyFont="1" applyBorder="1" applyAlignment="1">
      <alignment vertical="center"/>
    </xf>
    <xf numFmtId="37" fontId="13" fillId="0" borderId="22" xfId="1" applyNumberFormat="1" applyFont="1" applyFill="1" applyBorder="1" applyAlignment="1">
      <alignment horizontal="right"/>
    </xf>
    <xf numFmtId="37" fontId="13" fillId="0" borderId="22" xfId="1" applyNumberFormat="1" applyFont="1" applyFill="1" applyBorder="1"/>
    <xf numFmtId="37" fontId="13" fillId="0" borderId="69" xfId="0" applyNumberFormat="1" applyFont="1" applyFill="1" applyBorder="1"/>
    <xf numFmtId="37" fontId="13" fillId="0" borderId="69" xfId="0" applyNumberFormat="1" applyFont="1" applyBorder="1"/>
    <xf numFmtId="37" fontId="13" fillId="0" borderId="54" xfId="1" applyNumberFormat="1" applyFont="1" applyFill="1" applyBorder="1"/>
    <xf numFmtId="37" fontId="11" fillId="0" borderId="22" xfId="1" applyNumberFormat="1" applyFont="1" applyFill="1" applyBorder="1" applyAlignment="1"/>
    <xf numFmtId="37" fontId="13" fillId="0" borderId="22" xfId="1" applyNumberFormat="1" applyFont="1" applyFill="1" applyBorder="1" applyAlignment="1"/>
    <xf numFmtId="5" fontId="11" fillId="0" borderId="22" xfId="1" applyNumberFormat="1" applyFont="1" applyFill="1" applyBorder="1" applyAlignment="1"/>
    <xf numFmtId="10" fontId="13" fillId="0" borderId="15" xfId="17" applyNumberFormat="1" applyFont="1" applyFill="1" applyBorder="1" applyAlignment="1">
      <alignment vertical="center"/>
    </xf>
    <xf numFmtId="10" fontId="13" fillId="0" borderId="14" xfId="17" applyNumberFormat="1" applyFont="1" applyFill="1" applyBorder="1" applyAlignment="1">
      <alignment vertical="center"/>
    </xf>
    <xf numFmtId="37" fontId="13" fillId="0" borderId="22" xfId="1" applyNumberFormat="1" applyFont="1" applyFill="1" applyBorder="1" applyAlignment="1">
      <alignment horizontal="right" vertical="center"/>
    </xf>
    <xf numFmtId="37" fontId="13" fillId="5" borderId="22" xfId="1" applyNumberFormat="1" applyFont="1" applyFill="1" applyBorder="1" applyAlignment="1">
      <alignment horizontal="right" vertical="center"/>
    </xf>
    <xf numFmtId="37" fontId="13" fillId="0" borderId="22" xfId="1" applyNumberFormat="1" applyFont="1" applyFill="1" applyBorder="1" applyAlignment="1">
      <alignment vertical="center"/>
    </xf>
    <xf numFmtId="165" fontId="13" fillId="0" borderId="22" xfId="1" applyNumberFormat="1" applyFont="1" applyFill="1" applyBorder="1" applyAlignment="1">
      <alignment vertical="center"/>
    </xf>
    <xf numFmtId="0" fontId="13" fillId="0" borderId="51" xfId="0" applyNumberFormat="1" applyFont="1" applyBorder="1" applyAlignment="1">
      <alignment horizontal="center" wrapText="1"/>
    </xf>
    <xf numFmtId="0" fontId="11" fillId="0" borderId="52" xfId="0" applyNumberFormat="1" applyFont="1" applyBorder="1" applyAlignment="1">
      <alignment horizontal="center" vertical="center" wrapText="1"/>
    </xf>
    <xf numFmtId="37" fontId="13" fillId="0" borderId="56" xfId="0" applyNumberFormat="1" applyFont="1" applyBorder="1"/>
    <xf numFmtId="37" fontId="11" fillId="0" borderId="54" xfId="0" applyNumberFormat="1" applyFont="1" applyFill="1" applyBorder="1"/>
    <xf numFmtId="169" fontId="13" fillId="0" borderId="24" xfId="16" applyNumberFormat="1" applyFont="1" applyFill="1" applyBorder="1" applyAlignment="1">
      <alignment vertical="center"/>
    </xf>
    <xf numFmtId="37" fontId="11" fillId="0" borderId="54" xfId="0" applyNumberFormat="1" applyFont="1" applyBorder="1"/>
    <xf numFmtId="37" fontId="13" fillId="0" borderId="56" xfId="0" applyNumberFormat="1" applyFont="1" applyFill="1" applyBorder="1"/>
    <xf numFmtId="37" fontId="13" fillId="0" borderId="22" xfId="0" applyNumberFormat="1" applyFont="1" applyFill="1" applyBorder="1"/>
    <xf numFmtId="37" fontId="11" fillId="0" borderId="22" xfId="0" applyNumberFormat="1" applyFont="1" applyFill="1" applyBorder="1"/>
    <xf numFmtId="10" fontId="13" fillId="0" borderId="22" xfId="17" applyNumberFormat="1" applyFont="1" applyFill="1" applyBorder="1"/>
    <xf numFmtId="0" fontId="13" fillId="6" borderId="31" xfId="0" applyFont="1" applyFill="1" applyBorder="1" applyAlignment="1"/>
    <xf numFmtId="0" fontId="13" fillId="6" borderId="22" xfId="0" applyFont="1" applyFill="1" applyBorder="1" applyAlignment="1"/>
    <xf numFmtId="5" fontId="13" fillId="6" borderId="22" xfId="16" applyNumberFormat="1" applyFont="1" applyFill="1" applyBorder="1"/>
    <xf numFmtId="0" fontId="13" fillId="0" borderId="22" xfId="0" applyFont="1" applyFill="1" applyBorder="1" applyAlignment="1"/>
    <xf numFmtId="0" fontId="13" fillId="0" borderId="22" xfId="0" applyFont="1" applyFill="1" applyBorder="1" applyAlignment="1">
      <alignment horizontal="center"/>
    </xf>
    <xf numFmtId="0" fontId="13" fillId="0" borderId="60" xfId="16" applyFont="1" applyFill="1" applyBorder="1" applyAlignment="1">
      <alignment horizontal="center" vertical="top"/>
    </xf>
    <xf numFmtId="5" fontId="13" fillId="0" borderId="69" xfId="1" applyNumberFormat="1" applyFont="1" applyFill="1" applyBorder="1" applyAlignment="1">
      <alignment horizontal="right"/>
    </xf>
    <xf numFmtId="5" fontId="13" fillId="0" borderId="69" xfId="1" applyNumberFormat="1" applyFont="1" applyFill="1" applyBorder="1"/>
    <xf numFmtId="0" fontId="11" fillId="0" borderId="61" xfId="16" applyFont="1" applyFill="1" applyBorder="1" applyAlignment="1">
      <alignment vertical="center"/>
    </xf>
    <xf numFmtId="5" fontId="11" fillId="0" borderId="69" xfId="1" applyNumberFormat="1" applyFont="1" applyFill="1" applyBorder="1" applyAlignment="1"/>
    <xf numFmtId="0" fontId="0" fillId="0" borderId="24" xfId="0" applyBorder="1"/>
    <xf numFmtId="0" fontId="0" fillId="0" borderId="22" xfId="0" applyBorder="1"/>
    <xf numFmtId="5" fontId="13" fillId="0" borderId="0" xfId="4" applyNumberFormat="1" applyFont="1" applyFill="1" applyBorder="1" applyAlignment="1">
      <alignment vertical="center" wrapText="1"/>
    </xf>
    <xf numFmtId="5" fontId="13" fillId="0" borderId="0" xfId="4" applyFont="1" applyFill="1" applyBorder="1" applyAlignment="1">
      <alignment vertical="center" wrapText="1"/>
    </xf>
    <xf numFmtId="0" fontId="13" fillId="0" borderId="0" xfId="0" applyFont="1" applyAlignment="1">
      <alignment vertical="center"/>
    </xf>
    <xf numFmtId="165" fontId="15" fillId="0" borderId="25" xfId="1" applyNumberFormat="1" applyFont="1" applyBorder="1" applyAlignment="1">
      <alignment vertical="center"/>
    </xf>
    <xf numFmtId="165" fontId="15" fillId="0" borderId="24" xfId="1" applyNumberFormat="1" applyFont="1" applyBorder="1" applyAlignment="1">
      <alignment vertical="center"/>
    </xf>
    <xf numFmtId="165" fontId="15" fillId="0" borderId="0" xfId="1" applyNumberFormat="1" applyFont="1" applyBorder="1" applyAlignment="1">
      <alignment vertical="center"/>
    </xf>
    <xf numFmtId="0" fontId="15" fillId="0" borderId="15" xfId="0" applyFont="1" applyBorder="1" applyAlignment="1">
      <alignment vertical="center" wrapText="1"/>
    </xf>
    <xf numFmtId="0" fontId="15" fillId="0" borderId="21" xfId="0" applyFont="1" applyBorder="1" applyAlignment="1">
      <alignment vertical="center" wrapText="1"/>
    </xf>
    <xf numFmtId="5" fontId="15" fillId="0" borderId="0" xfId="0" applyNumberFormat="1" applyFont="1" applyFill="1" applyBorder="1" applyAlignment="1">
      <alignment vertical="center"/>
    </xf>
    <xf numFmtId="0" fontId="10" fillId="6" borderId="25" xfId="0" applyFont="1" applyFill="1" applyBorder="1" applyAlignment="1">
      <alignment vertical="center"/>
    </xf>
    <xf numFmtId="0" fontId="10" fillId="6" borderId="66" xfId="0" applyFont="1" applyFill="1" applyBorder="1" applyAlignment="1">
      <alignment vertical="center" wrapText="1"/>
    </xf>
    <xf numFmtId="0" fontId="10" fillId="6" borderId="66" xfId="0" applyFont="1" applyFill="1" applyBorder="1" applyAlignment="1">
      <alignment vertical="center"/>
    </xf>
    <xf numFmtId="0" fontId="10" fillId="6" borderId="67" xfId="0" applyFont="1" applyFill="1" applyBorder="1" applyAlignment="1">
      <alignment vertical="center"/>
    </xf>
    <xf numFmtId="0" fontId="10" fillId="6" borderId="16" xfId="0" applyFont="1" applyFill="1" applyBorder="1" applyAlignment="1">
      <alignment vertical="center"/>
    </xf>
    <xf numFmtId="0" fontId="10" fillId="6" borderId="31" xfId="0" applyFont="1" applyFill="1" applyBorder="1" applyAlignment="1">
      <alignment vertical="center"/>
    </xf>
    <xf numFmtId="5" fontId="13" fillId="6" borderId="22" xfId="0" applyNumberFormat="1" applyFont="1" applyFill="1" applyBorder="1" applyAlignment="1"/>
    <xf numFmtId="5" fontId="13" fillId="0" borderId="18" xfId="1" applyNumberFormat="1" applyFont="1" applyFill="1" applyBorder="1" applyAlignment="1"/>
    <xf numFmtId="5" fontId="13" fillId="0" borderId="22" xfId="4" applyFont="1" applyFill="1" applyBorder="1" applyAlignment="1">
      <alignment vertical="top"/>
    </xf>
    <xf numFmtId="165" fontId="13" fillId="0" borderId="44" xfId="1" applyNumberFormat="1" applyFont="1" applyFill="1" applyBorder="1" applyAlignment="1">
      <alignment vertical="center"/>
    </xf>
    <xf numFmtId="5" fontId="13" fillId="0" borderId="15" xfId="1" applyNumberFormat="1" applyFont="1" applyFill="1" applyBorder="1" applyAlignment="1">
      <alignment vertical="center"/>
    </xf>
    <xf numFmtId="5" fontId="13" fillId="0" borderId="27" xfId="4" applyNumberFormat="1" applyFont="1" applyFill="1" applyBorder="1" applyAlignment="1">
      <alignment vertical="center"/>
    </xf>
    <xf numFmtId="5" fontId="15" fillId="0" borderId="15" xfId="4" applyFont="1" applyFill="1" applyBorder="1" applyAlignment="1">
      <alignment vertical="center"/>
    </xf>
    <xf numFmtId="5" fontId="13" fillId="0" borderId="21" xfId="4" applyNumberFormat="1" applyFont="1" applyFill="1" applyBorder="1" applyAlignment="1">
      <alignment vertical="center"/>
    </xf>
    <xf numFmtId="0" fontId="11" fillId="0" borderId="61" xfId="16" applyFont="1" applyFill="1" applyBorder="1" applyAlignment="1">
      <alignment vertical="center" wrapText="1"/>
    </xf>
    <xf numFmtId="5" fontId="11" fillId="0" borderId="6" xfId="1" applyNumberFormat="1" applyFont="1" applyFill="1" applyBorder="1" applyAlignment="1"/>
    <xf numFmtId="0" fontId="11" fillId="0" borderId="61" xfId="16" applyFont="1" applyBorder="1" applyAlignment="1">
      <alignment vertical="center" wrapText="1"/>
    </xf>
    <xf numFmtId="165" fontId="13" fillId="0" borderId="0" xfId="1" applyNumberFormat="1" applyFont="1" applyFill="1" applyBorder="1" applyAlignment="1">
      <alignment horizontal="right" vertical="center" wrapText="1"/>
    </xf>
    <xf numFmtId="165" fontId="13" fillId="0" borderId="15" xfId="4" applyNumberFormat="1" applyFont="1" applyFill="1" applyBorder="1" applyAlignment="1">
      <alignment horizontal="right" vertical="center"/>
    </xf>
    <xf numFmtId="0" fontId="13" fillId="6" borderId="71" xfId="0" applyFont="1" applyFill="1" applyBorder="1" applyAlignment="1">
      <alignment vertical="center"/>
    </xf>
    <xf numFmtId="0" fontId="13" fillId="6" borderId="29" xfId="0" applyFont="1" applyFill="1" applyBorder="1" applyAlignment="1">
      <alignment vertical="center"/>
    </xf>
    <xf numFmtId="0" fontId="13" fillId="6" borderId="71" xfId="0" applyFont="1" applyFill="1" applyBorder="1" applyAlignment="1">
      <alignment vertical="center" wrapText="1"/>
    </xf>
    <xf numFmtId="0" fontId="13" fillId="6" borderId="72" xfId="0" applyFont="1" applyFill="1" applyBorder="1" applyAlignment="1">
      <alignment vertical="center"/>
    </xf>
    <xf numFmtId="0" fontId="13" fillId="6" borderId="1" xfId="0" applyFont="1" applyFill="1" applyBorder="1" applyAlignment="1">
      <alignment vertical="center"/>
    </xf>
    <xf numFmtId="0" fontId="11" fillId="0" borderId="13" xfId="16" applyFont="1" applyBorder="1" applyAlignment="1">
      <alignment horizontal="center" vertical="center" wrapText="1"/>
    </xf>
    <xf numFmtId="0" fontId="11" fillId="0" borderId="17" xfId="16" applyFont="1" applyBorder="1" applyAlignment="1">
      <alignment horizontal="center" vertical="center" wrapText="1"/>
    </xf>
    <xf numFmtId="0" fontId="11" fillId="0" borderId="11" xfId="16" applyFont="1" applyBorder="1" applyAlignment="1">
      <alignment horizontal="center" vertical="center" wrapText="1"/>
    </xf>
    <xf numFmtId="0" fontId="11" fillId="0" borderId="70" xfId="16" applyFont="1" applyBorder="1" applyAlignment="1">
      <alignment horizontal="center" vertical="center" wrapText="1"/>
    </xf>
    <xf numFmtId="0" fontId="11" fillId="0" borderId="11" xfId="16" applyFont="1" applyFill="1" applyBorder="1" applyAlignment="1">
      <alignment horizontal="center" vertical="center" wrapText="1"/>
    </xf>
    <xf numFmtId="0" fontId="11" fillId="0" borderId="17" xfId="16" applyFont="1" applyFill="1" applyBorder="1" applyAlignment="1">
      <alignment horizontal="center" vertical="center" wrapText="1"/>
    </xf>
    <xf numFmtId="0" fontId="11" fillId="0" borderId="70" xfId="16" applyFont="1" applyFill="1" applyBorder="1" applyAlignment="1">
      <alignment horizontal="center" vertical="center" wrapText="1"/>
    </xf>
    <xf numFmtId="171" fontId="11" fillId="0" borderId="1" xfId="0" applyNumberFormat="1" applyFont="1" applyBorder="1" applyAlignment="1">
      <alignment horizontal="center" vertical="center" wrapText="1"/>
    </xf>
    <xf numFmtId="171" fontId="11" fillId="0" borderId="90" xfId="0" applyNumberFormat="1" applyFont="1" applyBorder="1" applyAlignment="1">
      <alignment horizontal="center" vertical="center" wrapText="1"/>
    </xf>
    <xf numFmtId="0" fontId="13" fillId="0" borderId="117" xfId="16" applyFont="1" applyFill="1" applyBorder="1" applyAlignment="1">
      <alignment horizontal="center" vertical="center" wrapText="1"/>
    </xf>
    <xf numFmtId="5" fontId="11" fillId="0" borderId="28" xfId="4" applyFont="1" applyFill="1" applyBorder="1" applyAlignment="1">
      <alignment horizontal="center" vertical="center" wrapText="1"/>
    </xf>
    <xf numFmtId="0" fontId="13" fillId="0" borderId="27" xfId="0" applyFont="1" applyBorder="1" applyAlignment="1">
      <alignment horizontal="center" vertical="center" textRotation="90" wrapText="1"/>
    </xf>
    <xf numFmtId="0" fontId="13" fillId="0" borderId="15" xfId="0" applyFont="1" applyBorder="1" applyAlignment="1">
      <alignment horizontal="center" vertical="center" textRotation="90" wrapText="1"/>
    </xf>
    <xf numFmtId="0" fontId="13" fillId="0" borderId="21" xfId="0" applyFont="1" applyBorder="1" applyAlignment="1">
      <alignment horizontal="center" vertical="center" textRotation="90" wrapText="1"/>
    </xf>
    <xf numFmtId="0" fontId="13" fillId="0" borderId="27" xfId="0" applyFont="1" applyFill="1" applyBorder="1" applyAlignment="1">
      <alignment horizontal="center" vertical="center"/>
    </xf>
    <xf numFmtId="0" fontId="13" fillId="0" borderId="21" xfId="0" applyFont="1" applyFill="1" applyBorder="1" applyAlignment="1">
      <alignment horizontal="center" vertical="center"/>
    </xf>
    <xf numFmtId="0" fontId="13" fillId="6" borderId="25" xfId="0" applyFont="1" applyFill="1" applyBorder="1" applyAlignment="1">
      <alignment horizontal="left" vertical="center"/>
    </xf>
    <xf numFmtId="0" fontId="13" fillId="6" borderId="16" xfId="0" applyFont="1" applyFill="1" applyBorder="1" applyAlignment="1">
      <alignment horizontal="left" vertical="center"/>
    </xf>
    <xf numFmtId="0" fontId="13" fillId="6" borderId="31" xfId="0" applyFont="1" applyFill="1" applyBorder="1" applyAlignment="1">
      <alignment horizontal="left" vertical="center"/>
    </xf>
    <xf numFmtId="0" fontId="13" fillId="6" borderId="26" xfId="0" applyFont="1" applyFill="1" applyBorder="1" applyAlignment="1">
      <alignment horizontal="left" vertical="top" wrapText="1"/>
    </xf>
    <xf numFmtId="0" fontId="13" fillId="6" borderId="28" xfId="0" applyFont="1" applyFill="1" applyBorder="1" applyAlignment="1">
      <alignment horizontal="left" vertical="top" wrapText="1"/>
    </xf>
    <xf numFmtId="0" fontId="13" fillId="6" borderId="32" xfId="0" applyFont="1" applyFill="1" applyBorder="1" applyAlignment="1">
      <alignment horizontal="left" vertical="top" wrapText="1"/>
    </xf>
    <xf numFmtId="0" fontId="11" fillId="0" borderId="0" xfId="15" applyFont="1" applyBorder="1" applyAlignment="1">
      <alignment horizontal="center" vertical="center"/>
    </xf>
    <xf numFmtId="0" fontId="11" fillId="0" borderId="29"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29" xfId="27" applyFont="1" applyBorder="1" applyAlignment="1">
      <alignment horizontal="center" vertical="center"/>
    </xf>
    <xf numFmtId="0" fontId="11" fillId="0" borderId="1" xfId="27" applyFont="1" applyBorder="1" applyAlignment="1">
      <alignment horizontal="center" vertical="center"/>
    </xf>
    <xf numFmtId="0" fontId="11" fillId="0" borderId="30" xfId="27" applyFont="1" applyBorder="1" applyAlignment="1">
      <alignment horizontal="center" vertical="center"/>
    </xf>
    <xf numFmtId="0" fontId="11" fillId="0" borderId="25" xfId="27" applyFont="1" applyBorder="1" applyAlignment="1">
      <alignment horizontal="center" vertical="center" textRotation="90" wrapText="1"/>
    </xf>
    <xf numFmtId="0" fontId="11" fillId="0" borderId="24" xfId="27" applyFont="1" applyBorder="1" applyAlignment="1">
      <alignment horizontal="center" vertical="center" textRotation="90" wrapText="1"/>
    </xf>
    <xf numFmtId="0" fontId="11" fillId="0" borderId="26" xfId="27" applyFont="1" applyBorder="1" applyAlignment="1">
      <alignment horizontal="center" vertical="center" textRotation="90" wrapText="1"/>
    </xf>
    <xf numFmtId="0" fontId="11" fillId="0" borderId="29" xfId="27" applyFont="1" applyBorder="1" applyAlignment="1">
      <alignment horizontal="center" vertical="center" wrapText="1"/>
    </xf>
    <xf numFmtId="0" fontId="11" fillId="0" borderId="1" xfId="27" applyFont="1" applyBorder="1" applyAlignment="1">
      <alignment horizontal="center" vertical="center" wrapText="1"/>
    </xf>
    <xf numFmtId="0" fontId="18" fillId="0" borderId="28" xfId="29" applyFont="1" applyBorder="1" applyAlignment="1">
      <alignment horizontal="center" vertical="center"/>
    </xf>
    <xf numFmtId="0" fontId="18" fillId="6" borderId="29" xfId="29" applyFont="1" applyFill="1" applyBorder="1" applyAlignment="1">
      <alignment horizontal="center" vertical="center"/>
    </xf>
    <xf numFmtId="0" fontId="18" fillId="6" borderId="30" xfId="29" applyFont="1" applyFill="1" applyBorder="1" applyAlignment="1">
      <alignment horizontal="center" vertical="center"/>
    </xf>
    <xf numFmtId="0" fontId="18" fillId="0" borderId="27" xfId="29" applyFont="1" applyBorder="1" applyAlignment="1">
      <alignment horizontal="center" vertical="center" wrapText="1"/>
    </xf>
    <xf numFmtId="0" fontId="18" fillId="0" borderId="15" xfId="29" applyFont="1" applyBorder="1" applyAlignment="1">
      <alignment horizontal="center" vertical="center" wrapText="1"/>
    </xf>
    <xf numFmtId="0" fontId="18" fillId="0" borderId="21" xfId="29" applyFont="1" applyBorder="1" applyAlignment="1">
      <alignment horizontal="center" vertical="center" wrapText="1"/>
    </xf>
    <xf numFmtId="0" fontId="18" fillId="0" borderId="68" xfId="29" applyFont="1" applyBorder="1" applyAlignment="1">
      <alignment horizontal="center" vertical="center" wrapText="1"/>
    </xf>
    <xf numFmtId="0" fontId="18" fillId="0" borderId="61" xfId="29" applyFont="1" applyBorder="1" applyAlignment="1">
      <alignment horizontal="center" vertical="center" wrapText="1"/>
    </xf>
    <xf numFmtId="0" fontId="18" fillId="0" borderId="63" xfId="29" applyFont="1" applyBorder="1" applyAlignment="1">
      <alignment horizontal="center" vertical="center" wrapText="1"/>
    </xf>
    <xf numFmtId="0" fontId="18" fillId="0" borderId="53" xfId="29" applyFont="1" applyBorder="1" applyAlignment="1">
      <alignment horizontal="left" vertical="center" wrapText="1"/>
    </xf>
    <xf numFmtId="0" fontId="18" fillId="0" borderId="54" xfId="29" applyFont="1" applyBorder="1" applyAlignment="1">
      <alignment horizontal="left" vertical="center" wrapText="1"/>
    </xf>
    <xf numFmtId="0" fontId="18" fillId="0" borderId="104" xfId="29" applyFont="1" applyBorder="1" applyAlignment="1">
      <alignment horizontal="left" vertical="center" wrapText="1"/>
    </xf>
    <xf numFmtId="0" fontId="18" fillId="0" borderId="105" xfId="29" applyFont="1" applyBorder="1" applyAlignment="1">
      <alignment horizontal="left" vertical="center" wrapText="1"/>
    </xf>
    <xf numFmtId="0" fontId="15" fillId="0" borderId="51" xfId="29" applyFont="1" applyBorder="1" applyAlignment="1">
      <alignment horizontal="left" vertical="center" wrapText="1"/>
    </xf>
    <xf numFmtId="0" fontId="15" fillId="0" borderId="52" xfId="29" applyFont="1" applyBorder="1" applyAlignment="1">
      <alignment horizontal="left" vertical="center" wrapText="1"/>
    </xf>
    <xf numFmtId="0" fontId="15" fillId="0" borderId="106" xfId="29" applyFont="1" applyBorder="1" applyAlignment="1">
      <alignment horizontal="left" vertical="center" wrapText="1"/>
    </xf>
    <xf numFmtId="0" fontId="15" fillId="0" borderId="107" xfId="29" applyFont="1" applyBorder="1" applyAlignment="1">
      <alignment horizontal="left" vertical="center" wrapText="1"/>
    </xf>
    <xf numFmtId="0" fontId="18" fillId="0" borderId="16" xfId="29" applyFont="1" applyBorder="1" applyAlignment="1">
      <alignment horizontal="left" vertical="center" wrapText="1"/>
    </xf>
    <xf numFmtId="0" fontId="15" fillId="0" borderId="0" xfId="29" applyFont="1" applyBorder="1" applyAlignment="1">
      <alignment horizontal="left" vertical="center" wrapText="1"/>
    </xf>
    <xf numFmtId="0" fontId="15" fillId="0" borderId="0" xfId="29" applyFont="1" applyFill="1" applyBorder="1" applyAlignment="1">
      <alignment horizontal="left" vertical="center" wrapText="1"/>
    </xf>
    <xf numFmtId="0" fontId="18" fillId="0" borderId="51" xfId="29" applyFont="1" applyBorder="1" applyAlignment="1">
      <alignment horizontal="left" vertical="center" wrapText="1"/>
    </xf>
    <xf numFmtId="0" fontId="18" fillId="0" borderId="52" xfId="29" applyFont="1" applyBorder="1" applyAlignment="1">
      <alignment horizontal="left" vertical="center" wrapText="1"/>
    </xf>
    <xf numFmtId="0" fontId="18" fillId="0" borderId="38" xfId="29" applyFont="1" applyBorder="1" applyAlignment="1">
      <alignment horizontal="center" vertical="center" wrapText="1"/>
    </xf>
    <xf numFmtId="0" fontId="18" fillId="0" borderId="106" xfId="29" applyFont="1" applyBorder="1" applyAlignment="1">
      <alignment horizontal="left" vertical="center" wrapText="1"/>
    </xf>
    <xf numFmtId="0" fontId="18" fillId="0" borderId="107" xfId="29" applyFont="1" applyBorder="1" applyAlignment="1">
      <alignment horizontal="left" vertical="center" wrapText="1"/>
    </xf>
    <xf numFmtId="0" fontId="11" fillId="0" borderId="48" xfId="28" applyFont="1" applyBorder="1" applyAlignment="1">
      <alignment horizontal="center" vertical="center"/>
    </xf>
    <xf numFmtId="0" fontId="11" fillId="0" borderId="49" xfId="28" applyFont="1" applyBorder="1" applyAlignment="1">
      <alignment horizontal="center" vertical="center"/>
    </xf>
    <xf numFmtId="0" fontId="11" fillId="0" borderId="50" xfId="28" applyFont="1" applyBorder="1" applyAlignment="1">
      <alignment horizontal="center" vertical="center"/>
    </xf>
    <xf numFmtId="0" fontId="10" fillId="0" borderId="84" xfId="16" applyFont="1" applyFill="1" applyBorder="1" applyAlignment="1">
      <alignment horizontal="left" vertical="center"/>
    </xf>
    <xf numFmtId="0" fontId="10" fillId="0" borderId="57" xfId="16" applyFont="1" applyFill="1" applyBorder="1" applyAlignment="1">
      <alignment horizontal="left" vertical="center"/>
    </xf>
    <xf numFmtId="0" fontId="10" fillId="0" borderId="85" xfId="16" applyFont="1" applyFill="1" applyBorder="1" applyAlignment="1">
      <alignment horizontal="left" vertical="center"/>
    </xf>
    <xf numFmtId="0" fontId="10" fillId="0" borderId="26" xfId="16" applyFont="1" applyFill="1" applyBorder="1" applyAlignment="1">
      <alignment horizontal="left" vertical="center" wrapText="1"/>
    </xf>
    <xf numFmtId="0" fontId="10" fillId="0" borderId="28" xfId="16" applyFont="1" applyFill="1" applyBorder="1" applyAlignment="1">
      <alignment horizontal="left" vertical="center" wrapText="1"/>
    </xf>
    <xf numFmtId="0" fontId="10" fillId="0" borderId="32" xfId="16" applyFont="1" applyFill="1" applyBorder="1" applyAlignment="1">
      <alignment horizontal="left" vertical="center" wrapText="1"/>
    </xf>
    <xf numFmtId="0" fontId="11" fillId="0" borderId="25" xfId="0" applyFont="1" applyBorder="1" applyAlignment="1">
      <alignment horizontal="center" vertical="center"/>
    </xf>
    <xf numFmtId="0" fontId="11" fillId="0" borderId="16" xfId="0" applyFont="1" applyBorder="1" applyAlignment="1">
      <alignment horizontal="center" vertical="center"/>
    </xf>
    <xf numFmtId="0" fontId="11" fillId="0" borderId="31" xfId="0" applyFont="1" applyBorder="1" applyAlignment="1">
      <alignment horizontal="center" vertical="center"/>
    </xf>
    <xf numFmtId="0" fontId="10" fillId="6" borderId="25" xfId="16" applyFont="1" applyFill="1" applyBorder="1" applyAlignment="1">
      <alignment horizontal="left" vertical="center"/>
    </xf>
    <xf numFmtId="0" fontId="10" fillId="6" borderId="16" xfId="16" applyFont="1" applyFill="1" applyBorder="1" applyAlignment="1">
      <alignment horizontal="left" vertical="center"/>
    </xf>
    <xf numFmtId="0" fontId="10" fillId="6" borderId="31" xfId="16" applyFont="1" applyFill="1" applyBorder="1" applyAlignment="1">
      <alignment horizontal="left" vertical="center"/>
    </xf>
    <xf numFmtId="0" fontId="10" fillId="6" borderId="24" xfId="16" applyFont="1" applyFill="1" applyBorder="1" applyAlignment="1">
      <alignment horizontal="left" vertical="center"/>
    </xf>
    <xf numFmtId="0" fontId="10" fillId="6" borderId="0" xfId="16" applyFont="1" applyFill="1" applyBorder="1" applyAlignment="1">
      <alignment horizontal="left" vertical="center"/>
    </xf>
    <xf numFmtId="0" fontId="10" fillId="6" borderId="22" xfId="16" applyFont="1" applyFill="1" applyBorder="1" applyAlignment="1">
      <alignment horizontal="left" vertical="center"/>
    </xf>
    <xf numFmtId="0" fontId="10" fillId="6" borderId="86" xfId="16" applyFont="1" applyFill="1" applyBorder="1" applyAlignment="1">
      <alignment horizontal="left" vertical="center" wrapText="1"/>
    </xf>
    <xf numFmtId="0" fontId="10" fillId="6" borderId="46" xfId="16" applyFont="1" applyFill="1" applyBorder="1" applyAlignment="1">
      <alignment horizontal="left" vertical="center" wrapText="1"/>
    </xf>
    <xf numFmtId="0" fontId="10" fillId="6" borderId="87" xfId="16" applyFont="1" applyFill="1" applyBorder="1" applyAlignment="1">
      <alignment horizontal="left" vertical="center" wrapText="1"/>
    </xf>
    <xf numFmtId="0" fontId="10" fillId="0" borderId="86" xfId="16" applyFont="1" applyFill="1" applyBorder="1" applyAlignment="1">
      <alignment horizontal="left" vertical="center"/>
    </xf>
    <xf numFmtId="0" fontId="10" fillId="0" borderId="46" xfId="16" applyFont="1" applyFill="1" applyBorder="1" applyAlignment="1">
      <alignment horizontal="left" vertical="center"/>
    </xf>
    <xf numFmtId="0" fontId="10" fillId="0" borderId="87" xfId="16" applyFont="1" applyFill="1" applyBorder="1" applyAlignment="1">
      <alignment horizontal="left" vertical="center"/>
    </xf>
    <xf numFmtId="0" fontId="10" fillId="6" borderId="26" xfId="16" applyFont="1" applyFill="1" applyBorder="1" applyAlignment="1">
      <alignment horizontal="left" vertical="center"/>
    </xf>
    <xf numFmtId="0" fontId="10" fillId="6" borderId="28" xfId="16" applyFont="1" applyFill="1" applyBorder="1" applyAlignment="1">
      <alignment horizontal="left" vertical="center"/>
    </xf>
    <xf numFmtId="0" fontId="10" fillId="6" borderId="32" xfId="16" applyFont="1" applyFill="1" applyBorder="1" applyAlignment="1">
      <alignment horizontal="left" vertical="center"/>
    </xf>
    <xf numFmtId="0" fontId="10" fillId="0" borderId="88" xfId="16" applyFont="1" applyFill="1" applyBorder="1" applyAlignment="1">
      <alignment horizontal="left" vertical="center"/>
    </xf>
    <xf numFmtId="0" fontId="10" fillId="0" borderId="45" xfId="16" applyFont="1" applyFill="1" applyBorder="1" applyAlignment="1">
      <alignment horizontal="left" vertical="center"/>
    </xf>
    <xf numFmtId="0" fontId="10" fillId="0" borderId="89" xfId="16" applyFont="1" applyFill="1" applyBorder="1" applyAlignment="1">
      <alignment horizontal="left" vertical="center"/>
    </xf>
    <xf numFmtId="0" fontId="13" fillId="6" borderId="26" xfId="0" applyFont="1" applyFill="1" applyBorder="1" applyAlignment="1">
      <alignment horizontal="left"/>
    </xf>
    <xf numFmtId="0" fontId="13" fillId="6" borderId="28" xfId="0" applyFont="1" applyFill="1" applyBorder="1" applyAlignment="1">
      <alignment horizontal="left"/>
    </xf>
    <xf numFmtId="0" fontId="13" fillId="6" borderId="32" xfId="0" applyFont="1" applyFill="1" applyBorder="1" applyAlignment="1">
      <alignment horizontal="left"/>
    </xf>
    <xf numFmtId="0" fontId="11" fillId="0" borderId="29" xfId="0" applyFont="1" applyBorder="1" applyAlignment="1">
      <alignment horizontal="center"/>
    </xf>
    <xf numFmtId="0" fontId="11" fillId="0" borderId="1" xfId="0" applyFont="1" applyBorder="1" applyAlignment="1">
      <alignment horizontal="center"/>
    </xf>
    <xf numFmtId="0" fontId="11" fillId="0" borderId="30" xfId="0" applyFont="1" applyBorder="1" applyAlignment="1">
      <alignment horizontal="center"/>
    </xf>
    <xf numFmtId="0" fontId="11" fillId="0" borderId="27" xfId="0" applyFont="1" applyBorder="1" applyAlignment="1">
      <alignment horizontal="center" vertical="center" textRotation="89"/>
    </xf>
    <xf numFmtId="0" fontId="11" fillId="0" borderId="15" xfId="0" applyFont="1" applyBorder="1" applyAlignment="1">
      <alignment horizontal="center" vertical="center" textRotation="89"/>
    </xf>
    <xf numFmtId="0" fontId="11" fillId="0" borderId="21" xfId="0" applyFont="1" applyBorder="1" applyAlignment="1">
      <alignment horizontal="center" vertical="center" textRotation="89"/>
    </xf>
    <xf numFmtId="0" fontId="13" fillId="6" borderId="25" xfId="0" applyFont="1" applyFill="1" applyBorder="1" applyAlignment="1">
      <alignment horizontal="left"/>
    </xf>
    <xf numFmtId="0" fontId="13" fillId="6" borderId="16" xfId="0" applyFont="1" applyFill="1" applyBorder="1" applyAlignment="1">
      <alignment horizontal="left"/>
    </xf>
    <xf numFmtId="0" fontId="13" fillId="6" borderId="31" xfId="0" applyFont="1" applyFill="1" applyBorder="1" applyAlignment="1">
      <alignment horizontal="left"/>
    </xf>
    <xf numFmtId="0" fontId="11" fillId="0" borderId="29" xfId="0" applyFont="1" applyBorder="1" applyAlignment="1">
      <alignment horizontal="left"/>
    </xf>
    <xf numFmtId="0" fontId="11" fillId="0" borderId="30" xfId="0" applyFont="1" applyBorder="1" applyAlignment="1">
      <alignment horizontal="left"/>
    </xf>
    <xf numFmtId="0" fontId="11" fillId="0" borderId="48" xfId="16" applyNumberFormat="1" applyFont="1" applyFill="1" applyBorder="1" applyAlignment="1">
      <alignment horizontal="center" vertical="center" wrapText="1"/>
    </xf>
    <xf numFmtId="0" fontId="13" fillId="0" borderId="49" xfId="0"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0" fillId="0" borderId="120" xfId="16" applyFont="1" applyFill="1" applyBorder="1" applyAlignment="1">
      <alignment wrapText="1"/>
    </xf>
    <xf numFmtId="0" fontId="10" fillId="0" borderId="121" xfId="0" applyFont="1" applyFill="1" applyBorder="1" applyAlignment="1">
      <alignment wrapText="1"/>
    </xf>
    <xf numFmtId="0" fontId="10" fillId="0" borderId="122" xfId="0" applyFont="1" applyFill="1" applyBorder="1" applyAlignment="1">
      <alignment wrapText="1"/>
    </xf>
    <xf numFmtId="0" fontId="10" fillId="0" borderId="25" xfId="0" applyFont="1" applyFill="1" applyBorder="1" applyAlignment="1">
      <alignment horizontal="left"/>
    </xf>
    <xf numFmtId="0" fontId="10" fillId="0" borderId="16" xfId="0" applyFont="1" applyFill="1" applyBorder="1" applyAlignment="1">
      <alignment horizontal="left"/>
    </xf>
    <xf numFmtId="0" fontId="10" fillId="0" borderId="31" xfId="0" applyFont="1" applyFill="1" applyBorder="1" applyAlignment="1">
      <alignment horizontal="left"/>
    </xf>
    <xf numFmtId="0" fontId="11" fillId="0" borderId="29" xfId="16" applyNumberFormat="1" applyFont="1" applyFill="1" applyBorder="1" applyAlignment="1">
      <alignment horizontal="center" vertical="center" wrapText="1"/>
    </xf>
    <xf numFmtId="0" fontId="11" fillId="0" borderId="1" xfId="16" applyNumberFormat="1" applyFont="1" applyFill="1" applyBorder="1" applyAlignment="1">
      <alignment horizontal="center" vertical="center" wrapText="1"/>
    </xf>
    <xf numFmtId="0" fontId="11" fillId="0" borderId="30" xfId="16" applyNumberFormat="1" applyFont="1" applyFill="1" applyBorder="1" applyAlignment="1">
      <alignment horizontal="center" vertical="center" wrapText="1"/>
    </xf>
    <xf numFmtId="10" fontId="13" fillId="0" borderId="7" xfId="17" applyFont="1" applyFill="1" applyBorder="1" applyAlignment="1">
      <alignment horizontal="center" wrapText="1"/>
    </xf>
    <xf numFmtId="10" fontId="13" fillId="0" borderId="13" xfId="17" applyFont="1" applyFill="1" applyBorder="1" applyAlignment="1">
      <alignment horizontal="center" wrapText="1"/>
    </xf>
    <xf numFmtId="10" fontId="13" fillId="0" borderId="56" xfId="17" applyFont="1" applyFill="1" applyBorder="1" applyAlignment="1">
      <alignment horizontal="center" wrapText="1"/>
    </xf>
    <xf numFmtId="10" fontId="13" fillId="0" borderId="97" xfId="17" applyFont="1" applyFill="1" applyBorder="1" applyAlignment="1">
      <alignment horizontal="center" wrapText="1"/>
    </xf>
    <xf numFmtId="10" fontId="13" fillId="0" borderId="28" xfId="17" applyFont="1" applyFill="1" applyBorder="1" applyAlignment="1">
      <alignment horizontal="center" wrapText="1"/>
    </xf>
    <xf numFmtId="10" fontId="13" fillId="0" borderId="32" xfId="17" applyFont="1" applyFill="1" applyBorder="1" applyAlignment="1">
      <alignment horizontal="center" wrapText="1"/>
    </xf>
    <xf numFmtId="0" fontId="10" fillId="6" borderId="120" xfId="16" applyFont="1" applyFill="1" applyBorder="1" applyAlignment="1">
      <alignment horizontal="left" vertical="center" wrapText="1"/>
    </xf>
    <xf numFmtId="0" fontId="10" fillId="6" borderId="121" xfId="16" applyFont="1" applyFill="1" applyBorder="1" applyAlignment="1">
      <alignment horizontal="left" vertical="center" wrapText="1"/>
    </xf>
    <xf numFmtId="0" fontId="10" fillId="6" borderId="122" xfId="16" applyFont="1" applyFill="1" applyBorder="1" applyAlignment="1">
      <alignment horizontal="left" vertical="center" wrapText="1"/>
    </xf>
    <xf numFmtId="0" fontId="13" fillId="0" borderId="24" xfId="16" applyFont="1" applyFill="1" applyBorder="1" applyAlignment="1">
      <alignment horizontal="left" wrapText="1"/>
    </xf>
    <xf numFmtId="0" fontId="13" fillId="0" borderId="0" xfId="16" applyFont="1" applyFill="1" applyBorder="1" applyAlignment="1">
      <alignment horizontal="left" wrapText="1"/>
    </xf>
    <xf numFmtId="0" fontId="13" fillId="0" borderId="24" xfId="0" applyFont="1" applyFill="1" applyBorder="1" applyAlignment="1">
      <alignment horizontal="left"/>
    </xf>
    <xf numFmtId="0" fontId="13" fillId="0" borderId="0" xfId="0" applyFont="1" applyFill="1" applyBorder="1" applyAlignment="1">
      <alignment horizontal="left"/>
    </xf>
    <xf numFmtId="0" fontId="13" fillId="0" borderId="6" xfId="0" applyFont="1" applyFill="1" applyBorder="1" applyAlignment="1">
      <alignment horizontal="left"/>
    </xf>
    <xf numFmtId="0" fontId="10" fillId="6" borderId="58" xfId="16" applyFont="1" applyFill="1" applyBorder="1" applyAlignment="1">
      <alignment horizontal="left" vertical="center" wrapText="1"/>
    </xf>
    <xf numFmtId="0" fontId="10" fillId="6" borderId="47" xfId="16" applyFont="1" applyFill="1" applyBorder="1" applyAlignment="1">
      <alignment horizontal="left" vertical="center" wrapText="1"/>
    </xf>
    <xf numFmtId="0" fontId="10" fillId="6" borderId="59" xfId="16" applyFont="1" applyFill="1" applyBorder="1" applyAlignment="1">
      <alignment horizontal="left" vertical="center" wrapText="1"/>
    </xf>
    <xf numFmtId="0" fontId="13" fillId="0" borderId="88" xfId="0" applyFont="1" applyFill="1" applyBorder="1" applyAlignment="1">
      <alignment horizontal="center"/>
    </xf>
    <xf numFmtId="0" fontId="13" fillId="0" borderId="45" xfId="0" applyFont="1" applyFill="1" applyBorder="1" applyAlignment="1">
      <alignment horizontal="center"/>
    </xf>
    <xf numFmtId="0" fontId="13" fillId="0" borderId="89" xfId="0" applyFont="1" applyFill="1" applyBorder="1" applyAlignment="1">
      <alignment horizontal="center"/>
    </xf>
    <xf numFmtId="37" fontId="13" fillId="0" borderId="28" xfId="1" applyNumberFormat="1" applyFont="1" applyFill="1" applyBorder="1" applyAlignment="1">
      <alignment horizontal="center" wrapText="1"/>
    </xf>
    <xf numFmtId="37" fontId="13" fillId="0" borderId="32" xfId="1" applyNumberFormat="1" applyFont="1" applyFill="1" applyBorder="1" applyAlignment="1">
      <alignment horizontal="center" wrapText="1"/>
    </xf>
    <xf numFmtId="0" fontId="10" fillId="6" borderId="25" xfId="0" applyFont="1" applyFill="1" applyBorder="1" applyAlignment="1">
      <alignment horizontal="left"/>
    </xf>
    <xf numFmtId="0" fontId="10" fillId="6" borderId="16" xfId="0" applyFont="1" applyFill="1" applyBorder="1" applyAlignment="1">
      <alignment horizontal="left"/>
    </xf>
    <xf numFmtId="0" fontId="10" fillId="6" borderId="31" xfId="0" applyFont="1" applyFill="1" applyBorder="1" applyAlignment="1">
      <alignment horizontal="left"/>
    </xf>
    <xf numFmtId="0" fontId="10" fillId="6" borderId="24" xfId="16" applyFont="1" applyFill="1" applyBorder="1" applyAlignment="1">
      <alignment horizontal="left" vertical="center" wrapText="1"/>
    </xf>
    <xf numFmtId="0" fontId="10" fillId="6" borderId="0" xfId="16" applyFont="1" applyFill="1" applyBorder="1" applyAlignment="1">
      <alignment horizontal="left" vertical="center" wrapText="1"/>
    </xf>
    <xf numFmtId="0" fontId="10" fillId="6" borderId="22" xfId="16" applyFont="1" applyFill="1" applyBorder="1" applyAlignment="1">
      <alignment horizontal="left" vertical="center" wrapText="1"/>
    </xf>
    <xf numFmtId="0" fontId="11" fillId="0" borderId="25" xfId="16" applyNumberFormat="1" applyFont="1" applyFill="1" applyBorder="1" applyAlignment="1">
      <alignment horizontal="center" vertical="center" wrapText="1"/>
    </xf>
    <xf numFmtId="0" fontId="11" fillId="0" borderId="16" xfId="16" applyNumberFormat="1" applyFont="1" applyFill="1" applyBorder="1" applyAlignment="1">
      <alignment horizontal="center" vertical="center" wrapText="1"/>
    </xf>
    <xf numFmtId="0" fontId="11" fillId="0" borderId="31" xfId="16" applyNumberFormat="1" applyFont="1" applyFill="1" applyBorder="1" applyAlignment="1">
      <alignment horizontal="center" vertical="center" wrapText="1"/>
    </xf>
    <xf numFmtId="0" fontId="11" fillId="0" borderId="48" xfId="0" applyFont="1" applyBorder="1" applyAlignment="1">
      <alignment horizontal="center"/>
    </xf>
    <xf numFmtId="0" fontId="11" fillId="0" borderId="49" xfId="0" applyFont="1" applyBorder="1" applyAlignment="1">
      <alignment horizontal="center"/>
    </xf>
    <xf numFmtId="0" fontId="11" fillId="0" borderId="50" xfId="0" applyFont="1" applyBorder="1" applyAlignment="1">
      <alignment horizontal="center"/>
    </xf>
    <xf numFmtId="0" fontId="10" fillId="0" borderId="25" xfId="16" applyFont="1" applyFill="1" applyBorder="1" applyAlignment="1">
      <alignment horizontal="left" vertical="center"/>
    </xf>
    <xf numFmtId="0" fontId="10" fillId="0" borderId="16" xfId="16" applyFont="1" applyFill="1" applyBorder="1" applyAlignment="1">
      <alignment horizontal="left" vertical="center"/>
    </xf>
    <xf numFmtId="0" fontId="10" fillId="0" borderId="31" xfId="16" applyFont="1" applyFill="1" applyBorder="1" applyAlignment="1">
      <alignment horizontal="left" vertical="center"/>
    </xf>
    <xf numFmtId="0" fontId="10" fillId="0" borderId="120" xfId="0" applyFont="1" applyFill="1" applyBorder="1" applyAlignment="1">
      <alignment horizontal="left" wrapText="1"/>
    </xf>
    <xf numFmtId="0" fontId="10" fillId="0" borderId="121" xfId="0" applyFont="1" applyFill="1" applyBorder="1" applyAlignment="1">
      <alignment horizontal="left" wrapText="1"/>
    </xf>
    <xf numFmtId="0" fontId="10" fillId="0" borderId="122" xfId="0" applyFont="1" applyFill="1" applyBorder="1" applyAlignment="1">
      <alignment horizontal="left" wrapText="1"/>
    </xf>
    <xf numFmtId="0" fontId="10" fillId="6" borderId="26" xfId="0" applyFont="1" applyFill="1" applyBorder="1" applyAlignment="1">
      <alignment horizontal="left" vertical="center" wrapText="1"/>
    </xf>
    <xf numFmtId="0" fontId="10" fillId="6" borderId="28" xfId="0" applyFont="1" applyFill="1" applyBorder="1" applyAlignment="1">
      <alignment horizontal="left" vertical="center" wrapText="1"/>
    </xf>
    <xf numFmtId="0" fontId="10" fillId="6" borderId="32" xfId="0" applyFont="1" applyFill="1" applyBorder="1" applyAlignment="1">
      <alignment horizontal="left" vertical="center" wrapText="1"/>
    </xf>
    <xf numFmtId="165" fontId="13" fillId="0" borderId="24" xfId="1" applyNumberFormat="1" applyFont="1" applyFill="1" applyBorder="1" applyAlignment="1">
      <alignment horizontal="center" vertical="center"/>
    </xf>
    <xf numFmtId="165" fontId="13" fillId="0" borderId="22" xfId="1" applyNumberFormat="1" applyFont="1" applyFill="1" applyBorder="1" applyAlignment="1">
      <alignment horizontal="center" vertical="center"/>
    </xf>
    <xf numFmtId="165" fontId="13" fillId="0" borderId="26" xfId="1" applyNumberFormat="1" applyFont="1" applyFill="1" applyBorder="1" applyAlignment="1">
      <alignment horizontal="center" vertical="center"/>
    </xf>
    <xf numFmtId="165" fontId="13" fillId="0" borderId="32" xfId="1" applyNumberFormat="1" applyFont="1" applyFill="1" applyBorder="1" applyAlignment="1">
      <alignment horizontal="center" vertical="center"/>
    </xf>
    <xf numFmtId="165" fontId="13" fillId="0" borderId="29" xfId="1" applyNumberFormat="1" applyFont="1" applyFill="1" applyBorder="1" applyAlignment="1">
      <alignment horizontal="center" vertical="center"/>
    </xf>
    <xf numFmtId="165" fontId="13" fillId="0" borderId="30" xfId="1" applyNumberFormat="1" applyFont="1" applyFill="1" applyBorder="1" applyAlignment="1">
      <alignment horizontal="center" vertical="center"/>
    </xf>
    <xf numFmtId="0" fontId="13" fillId="6" borderId="1" xfId="0" applyFont="1" applyFill="1" applyBorder="1" applyAlignment="1">
      <alignment horizontal="center" vertical="center"/>
    </xf>
    <xf numFmtId="0" fontId="13" fillId="6" borderId="30" xfId="0" applyFont="1" applyFill="1" applyBorder="1" applyAlignment="1">
      <alignment horizontal="center" vertical="center"/>
    </xf>
    <xf numFmtId="0" fontId="10" fillId="0" borderId="123" xfId="0" applyFont="1" applyBorder="1" applyAlignment="1">
      <alignment horizontal="left" vertical="center" wrapText="1"/>
    </xf>
    <xf numFmtId="0" fontId="10" fillId="0" borderId="124" xfId="0" applyFont="1" applyBorder="1" applyAlignment="1">
      <alignment horizontal="left" vertical="center" wrapText="1"/>
    </xf>
    <xf numFmtId="0" fontId="10" fillId="0" borderId="125" xfId="0" applyFont="1" applyBorder="1" applyAlignment="1">
      <alignment horizontal="left" vertical="center" wrapText="1"/>
    </xf>
    <xf numFmtId="0" fontId="10" fillId="0" borderId="24" xfId="0" applyFont="1" applyBorder="1" applyAlignment="1">
      <alignment horizontal="left" vertical="center"/>
    </xf>
    <xf numFmtId="0" fontId="10" fillId="0" borderId="0" xfId="0" applyFont="1" applyBorder="1" applyAlignment="1">
      <alignment horizontal="left" vertical="center"/>
    </xf>
    <xf numFmtId="0" fontId="10" fillId="0" borderId="22" xfId="0" applyFont="1" applyBorder="1" applyAlignment="1">
      <alignment horizontal="left" vertical="center"/>
    </xf>
    <xf numFmtId="0" fontId="13" fillId="0" borderId="27" xfId="0" applyFont="1" applyBorder="1" applyAlignment="1">
      <alignment horizontal="center" vertical="center" textRotation="90"/>
    </xf>
    <xf numFmtId="0" fontId="13" fillId="0" borderId="15" xfId="0" applyFont="1" applyBorder="1" applyAlignment="1">
      <alignment horizontal="center" vertical="center" textRotation="90"/>
    </xf>
    <xf numFmtId="0" fontId="13" fillId="0" borderId="21" xfId="0" applyFont="1" applyBorder="1" applyAlignment="1">
      <alignment horizontal="center" vertical="center" textRotation="90"/>
    </xf>
    <xf numFmtId="0" fontId="10" fillId="0" borderId="58" xfId="0" applyFont="1" applyFill="1" applyBorder="1" applyAlignment="1">
      <alignment horizontal="left" vertical="center"/>
    </xf>
    <xf numFmtId="0" fontId="10" fillId="0" borderId="47" xfId="0" applyFont="1" applyFill="1" applyBorder="1" applyAlignment="1">
      <alignment horizontal="left" vertical="center"/>
    </xf>
    <xf numFmtId="0" fontId="10" fillId="0" borderId="59" xfId="0" applyFont="1" applyFill="1" applyBorder="1" applyAlignment="1">
      <alignment horizontal="left" vertical="center"/>
    </xf>
    <xf numFmtId="0" fontId="10" fillId="0" borderId="58" xfId="0" applyFont="1" applyBorder="1" applyAlignment="1">
      <alignment horizontal="left" vertical="center"/>
    </xf>
    <xf numFmtId="0" fontId="10" fillId="0" borderId="47" xfId="0" applyFont="1" applyBorder="1" applyAlignment="1">
      <alignment horizontal="left" vertical="center"/>
    </xf>
    <xf numFmtId="0" fontId="10" fillId="0" borderId="59" xfId="0" applyFont="1" applyBorder="1" applyAlignment="1">
      <alignment horizontal="left" vertical="center"/>
    </xf>
    <xf numFmtId="5" fontId="11" fillId="0" borderId="29" xfId="4" applyFont="1" applyFill="1" applyBorder="1" applyAlignment="1">
      <alignment horizontal="center" vertical="center"/>
    </xf>
    <xf numFmtId="5" fontId="11" fillId="0" borderId="1" xfId="4" applyFont="1" applyFill="1" applyBorder="1" applyAlignment="1">
      <alignment horizontal="center" vertical="center"/>
    </xf>
    <xf numFmtId="5" fontId="11" fillId="0" borderId="30" xfId="4" applyFont="1" applyFill="1" applyBorder="1" applyAlignment="1">
      <alignment horizontal="center" vertical="center"/>
    </xf>
    <xf numFmtId="5" fontId="11" fillId="0" borderId="29" xfId="4" applyFont="1" applyFill="1" applyBorder="1" applyAlignment="1">
      <alignment horizontal="center" vertical="center" wrapText="1"/>
    </xf>
    <xf numFmtId="5" fontId="11" fillId="0" borderId="30" xfId="4" applyFont="1" applyFill="1" applyBorder="1" applyAlignment="1">
      <alignment horizontal="center" vertical="center" wrapText="1"/>
    </xf>
    <xf numFmtId="165" fontId="13" fillId="0" borderId="25" xfId="1" applyNumberFormat="1" applyFont="1" applyFill="1" applyBorder="1" applyAlignment="1">
      <alignment horizontal="center" vertical="center"/>
    </xf>
    <xf numFmtId="165" fontId="13" fillId="0" borderId="31" xfId="1" applyNumberFormat="1" applyFont="1" applyFill="1" applyBorder="1" applyAlignment="1">
      <alignment horizontal="center" vertical="center"/>
    </xf>
    <xf numFmtId="0" fontId="10" fillId="0" borderId="126" xfId="0" applyFont="1" applyFill="1" applyBorder="1" applyAlignment="1">
      <alignment horizontal="left" vertical="top" wrapText="1"/>
    </xf>
    <xf numFmtId="0" fontId="10" fillId="0" borderId="127" xfId="0" applyFont="1" applyFill="1" applyBorder="1" applyAlignment="1">
      <alignment horizontal="left" vertical="top" wrapText="1"/>
    </xf>
    <xf numFmtId="0" fontId="10" fillId="0" borderId="128" xfId="0" applyFont="1" applyFill="1" applyBorder="1" applyAlignment="1">
      <alignment horizontal="left" vertical="top" wrapText="1"/>
    </xf>
    <xf numFmtId="0" fontId="10" fillId="0" borderId="118" xfId="0" applyFont="1" applyBorder="1" applyAlignment="1">
      <alignment horizontal="left" vertical="top"/>
    </xf>
    <xf numFmtId="0" fontId="10" fillId="0" borderId="65" xfId="0" applyFont="1" applyBorder="1" applyAlignment="1">
      <alignment horizontal="left" vertical="top"/>
    </xf>
    <xf numFmtId="0" fontId="10" fillId="0" borderId="119" xfId="0" applyFont="1" applyBorder="1" applyAlignment="1">
      <alignment horizontal="left" vertical="top"/>
    </xf>
    <xf numFmtId="0" fontId="13" fillId="0" borderId="49" xfId="0" applyFont="1" applyBorder="1" applyAlignment="1">
      <alignment horizontal="center" vertical="center" wrapText="1"/>
    </xf>
    <xf numFmtId="0" fontId="13" fillId="0" borderId="50" xfId="0" applyFont="1" applyBorder="1" applyAlignment="1">
      <alignment horizontal="center" vertical="center" wrapText="1"/>
    </xf>
    <xf numFmtId="0" fontId="10" fillId="0" borderId="58" xfId="16" applyFont="1" applyFill="1" applyBorder="1" applyAlignment="1">
      <alignment wrapText="1"/>
    </xf>
    <xf numFmtId="0" fontId="10" fillId="0" borderId="47" xfId="0" applyFont="1" applyFill="1" applyBorder="1" applyAlignment="1">
      <alignment wrapText="1"/>
    </xf>
    <xf numFmtId="0" fontId="10" fillId="0" borderId="59" xfId="0" applyFont="1" applyFill="1" applyBorder="1" applyAlignment="1">
      <alignment wrapText="1"/>
    </xf>
    <xf numFmtId="0" fontId="10" fillId="0" borderId="120" xfId="16" applyFont="1" applyFill="1" applyBorder="1" applyAlignment="1">
      <alignment horizontal="left" vertical="top" wrapText="1"/>
    </xf>
    <xf numFmtId="0" fontId="10" fillId="0" borderId="121" xfId="16" applyFont="1" applyFill="1" applyBorder="1" applyAlignment="1">
      <alignment horizontal="left" vertical="top" wrapText="1"/>
    </xf>
    <xf numFmtId="0" fontId="10" fillId="0" borderId="122" xfId="16" applyFont="1" applyFill="1" applyBorder="1" applyAlignment="1">
      <alignment horizontal="left" vertical="top" wrapText="1"/>
    </xf>
    <xf numFmtId="0" fontId="10" fillId="0" borderId="58" xfId="16" applyFont="1" applyFill="1" applyBorder="1" applyAlignment="1">
      <alignment vertical="top" wrapText="1"/>
    </xf>
    <xf numFmtId="0" fontId="10" fillId="0" borderId="47" xfId="0" applyFont="1" applyFill="1" applyBorder="1" applyAlignment="1">
      <alignment vertical="top" wrapText="1"/>
    </xf>
    <xf numFmtId="0" fontId="10" fillId="0" borderId="59" xfId="0" applyFont="1" applyFill="1" applyBorder="1" applyAlignment="1">
      <alignment vertical="top" wrapText="1"/>
    </xf>
    <xf numFmtId="0" fontId="10" fillId="0" borderId="24" xfId="16" applyFont="1" applyFill="1" applyBorder="1" applyAlignment="1">
      <alignment horizontal="left" vertical="top" wrapText="1"/>
    </xf>
    <xf numFmtId="0" fontId="10" fillId="0" borderId="0" xfId="16" applyFont="1" applyFill="1" applyBorder="1" applyAlignment="1">
      <alignment horizontal="left" vertical="top" wrapText="1"/>
    </xf>
    <xf numFmtId="0" fontId="10" fillId="0" borderId="22" xfId="16" applyFont="1" applyFill="1" applyBorder="1" applyAlignment="1">
      <alignment horizontal="left" vertical="top" wrapText="1"/>
    </xf>
  </cellXfs>
  <cellStyles count="59">
    <cellStyle name="Comma" xfId="1" builtinId="3" customBuiltin="1"/>
    <cellStyle name="Comma 2" xfId="26"/>
    <cellStyle name="Comma 2 2" xfId="40"/>
    <cellStyle name="Comma 3" xfId="2"/>
    <cellStyle name="Comma 3 2" xfId="37"/>
    <cellStyle name="Comma 4" xfId="31"/>
    <cellStyle name="Comma0" xfId="3"/>
    <cellStyle name="Comma0 2" xfId="41"/>
    <cellStyle name="Comma0 3" xfId="32"/>
    <cellStyle name="Currency" xfId="4" builtinId="4" customBuiltin="1"/>
    <cellStyle name="Currency 2" xfId="21"/>
    <cellStyle name="Currency 2 2" xfId="42"/>
    <cellStyle name="Currency 3" xfId="38"/>
    <cellStyle name="Currency 4" xfId="57"/>
    <cellStyle name="Currency0" xfId="5"/>
    <cellStyle name="Currency0 2" xfId="43"/>
    <cellStyle name="Currency0 3" xfId="33"/>
    <cellStyle name="Date" xfId="6"/>
    <cellStyle name="Date 2" xfId="44"/>
    <cellStyle name="Date 3" xfId="34"/>
    <cellStyle name="Fixed" xfId="7"/>
    <cellStyle name="Fixed 2" xfId="45"/>
    <cellStyle name="Fixed 3" xfId="35"/>
    <cellStyle name="Grey" xfId="8"/>
    <cellStyle name="Grey 2" xfId="46"/>
    <cellStyle name="Header1" xfId="9"/>
    <cellStyle name="Header2" xfId="10"/>
    <cellStyle name="Heading 1" xfId="11" builtinId="16" customBuiltin="1"/>
    <cellStyle name="Heading 1 2" xfId="47"/>
    <cellStyle name="Heading 2" xfId="12" builtinId="17" customBuiltin="1"/>
    <cellStyle name="Heading 2 2" xfId="48"/>
    <cellStyle name="Input [yellow]" xfId="13"/>
    <cellStyle name="Input [yellow] 2" xfId="49"/>
    <cellStyle name="Normal" xfId="0" builtinId="0"/>
    <cellStyle name="Normal - Style1" xfId="14"/>
    <cellStyle name="Normal 10" xfId="30"/>
    <cellStyle name="Normal 11" xfId="51"/>
    <cellStyle name="Normal 12" xfId="58"/>
    <cellStyle name="Normal 2" xfId="20"/>
    <cellStyle name="Normal 2 2" xfId="39"/>
    <cellStyle name="Normal 3" xfId="22"/>
    <cellStyle name="Normal 3 2" xfId="53"/>
    <cellStyle name="Normal 4" xfId="23"/>
    <cellStyle name="Normal 5" xfId="24"/>
    <cellStyle name="Normal 6" xfId="25"/>
    <cellStyle name="Normal 7" xfId="27"/>
    <cellStyle name="Normal 7 2" xfId="55"/>
    <cellStyle name="Normal 8" xfId="28"/>
    <cellStyle name="Normal 8 2" xfId="56"/>
    <cellStyle name="Normal 9" xfId="29"/>
    <cellStyle name="Normal_JBC Monthly Report_PReed_Sept9" xfId="15"/>
    <cellStyle name="Normal_MMEXP Caseload Prepared Sept5" xfId="16"/>
    <cellStyle name="Percent" xfId="17" builtinId="5" customBuiltin="1"/>
    <cellStyle name="Percent [2]" xfId="18"/>
    <cellStyle name="Percent 2" xfId="50"/>
    <cellStyle name="Percent 3" xfId="54"/>
    <cellStyle name="Total" xfId="19" builtinId="25" customBuiltin="1"/>
    <cellStyle name="Total 2" xfId="52"/>
    <cellStyle name="Total 3" xfId="36"/>
  </cellStyles>
  <dxfs count="1">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and CHP+ Caseload</a:t>
            </a:r>
          </a:p>
        </c:rich>
      </c:tx>
      <c:layout>
        <c:manualLayout>
          <c:xMode val="edge"/>
          <c:yMode val="edge"/>
          <c:x val="0.33420392946965793"/>
          <c:y val="3.0107526881720432E-2"/>
        </c:manualLayout>
      </c:layout>
      <c:overlay val="0"/>
      <c:spPr>
        <a:noFill/>
        <a:ln w="25400">
          <a:noFill/>
        </a:ln>
      </c:spPr>
    </c:title>
    <c:autoTitleDeleted val="0"/>
    <c:plotArea>
      <c:layout>
        <c:manualLayout>
          <c:layoutTarget val="inner"/>
          <c:xMode val="edge"/>
          <c:yMode val="edge"/>
          <c:x val="0.15013064400258289"/>
          <c:y val="0.14838740840770306"/>
          <c:w val="0.71148870418615351"/>
          <c:h val="0.62580776589332554"/>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4ACA-4EC0-8EC6-6AD0478933E8}"/>
            </c:ext>
          </c:extLst>
        </c:ser>
        <c:dLbls>
          <c:showLegendKey val="0"/>
          <c:showVal val="0"/>
          <c:showCatName val="0"/>
          <c:showSerName val="0"/>
          <c:showPercent val="0"/>
          <c:showBubbleSize val="0"/>
        </c:dLbls>
        <c:marker val="1"/>
        <c:smooth val="0"/>
        <c:axId val="118023232"/>
        <c:axId val="118020880"/>
      </c:lineChart>
      <c:lineChart>
        <c:grouping val="standard"/>
        <c:varyColors val="0"/>
        <c:ser>
          <c:idx val="0"/>
          <c:order val="1"/>
          <c:tx>
            <c:strRef>
              <c:f>'Graph for Web- DO NOT PRINT'!$C$1</c:f>
              <c:strCache>
                <c:ptCount val="1"/>
                <c:pt idx="0">
                  <c:v>CHP+</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PRINT'!$C$2:$C$21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4458</c:v>
                </c:pt>
                <c:pt idx="13">
                  <c:v>71057</c:v>
                </c:pt>
                <c:pt idx="14">
                  <c:v>69973</c:v>
                </c:pt>
                <c:pt idx="15">
                  <c:v>68488</c:v>
                </c:pt>
                <c:pt idx="16">
                  <c:v>68047</c:v>
                </c:pt>
                <c:pt idx="17">
                  <c:v>68278</c:v>
                </c:pt>
                <c:pt idx="18">
                  <c:v>69221</c:v>
                </c:pt>
                <c:pt idx="19">
                  <c:v>69655</c:v>
                </c:pt>
              </c:numCache>
            </c:numRef>
          </c:val>
          <c:smooth val="0"/>
          <c:extLst>
            <c:ext xmlns:c16="http://schemas.microsoft.com/office/drawing/2014/chart" uri="{C3380CC4-5D6E-409C-BE32-E72D297353CC}">
              <c16:uniqueId val="{00000001-4ACA-4EC0-8EC6-6AD0478933E8}"/>
            </c:ext>
          </c:extLst>
        </c:ser>
        <c:dLbls>
          <c:showLegendKey val="0"/>
          <c:showVal val="0"/>
          <c:showCatName val="0"/>
          <c:showSerName val="0"/>
          <c:showPercent val="0"/>
          <c:showBubbleSize val="0"/>
        </c:dLbls>
        <c:marker val="1"/>
        <c:smooth val="0"/>
        <c:axId val="118023624"/>
        <c:axId val="118022056"/>
      </c:lineChart>
      <c:catAx>
        <c:axId val="118023232"/>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118020880"/>
        <c:crosses val="autoZero"/>
        <c:auto val="0"/>
        <c:lblAlgn val="ctr"/>
        <c:lblOffset val="100"/>
        <c:tickLblSkip val="1"/>
        <c:tickMarkSkip val="1"/>
        <c:noMultiLvlLbl val="0"/>
      </c:catAx>
      <c:valAx>
        <c:axId val="118020880"/>
        <c:scaling>
          <c:orientation val="minMax"/>
          <c:max val="540000"/>
          <c:min val="380000"/>
        </c:scaling>
        <c:delete val="0"/>
        <c:axPos val="l"/>
        <c:majorGridlines>
          <c:spPr>
            <a:ln w="3175">
              <a:solidFill>
                <a:srgbClr val="000000"/>
              </a:solidFill>
              <a:prstDash val="solid"/>
            </a:ln>
          </c:spPr>
        </c:majorGridlines>
        <c:title>
          <c:tx>
            <c:rich>
              <a:bodyPr/>
              <a:lstStyle/>
              <a:p>
                <a:pPr>
                  <a:defRPr sz="1200" b="1" i="0" u="none" strike="noStrike" baseline="0">
                    <a:solidFill>
                      <a:srgbClr val="800000"/>
                    </a:solidFill>
                    <a:latin typeface="Times New Roman"/>
                    <a:ea typeface="Times New Roman"/>
                    <a:cs typeface="Times New Roman"/>
                  </a:defRPr>
                </a:pPr>
                <a:r>
                  <a:rPr lang="en-US"/>
                  <a:t>Medicaid</a:t>
                </a:r>
              </a:p>
            </c:rich>
          </c:tx>
          <c:layout>
            <c:manualLayout>
              <c:xMode val="edge"/>
              <c:yMode val="edge"/>
              <c:x val="1.95822454308094E-2"/>
              <c:y val="0.38924821494087897"/>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118023232"/>
        <c:crosses val="autoZero"/>
        <c:crossBetween val="between"/>
        <c:majorUnit val="20000"/>
      </c:valAx>
      <c:catAx>
        <c:axId val="118023624"/>
        <c:scaling>
          <c:orientation val="minMax"/>
        </c:scaling>
        <c:delete val="1"/>
        <c:axPos val="b"/>
        <c:numFmt formatCode="mmm\ yyyy" sourceLinked="1"/>
        <c:majorTickMark val="out"/>
        <c:minorTickMark val="none"/>
        <c:tickLblPos val="none"/>
        <c:crossAx val="118022056"/>
        <c:crosses val="autoZero"/>
        <c:auto val="0"/>
        <c:lblAlgn val="ctr"/>
        <c:lblOffset val="100"/>
        <c:noMultiLvlLbl val="0"/>
      </c:catAx>
      <c:valAx>
        <c:axId val="118022056"/>
        <c:scaling>
          <c:orientation val="minMax"/>
          <c:max val="74000"/>
          <c:min val="58000"/>
        </c:scaling>
        <c:delete val="0"/>
        <c:axPos val="r"/>
        <c:title>
          <c:tx>
            <c:rich>
              <a:bodyPr/>
              <a:lstStyle/>
              <a:p>
                <a:pPr>
                  <a:defRPr sz="1200" b="1" i="0" u="none" strike="noStrike" baseline="0">
                    <a:solidFill>
                      <a:srgbClr val="000080"/>
                    </a:solidFill>
                    <a:latin typeface="Times New Roman"/>
                    <a:ea typeface="Times New Roman"/>
                    <a:cs typeface="Times New Roman"/>
                  </a:defRPr>
                </a:pPr>
                <a:r>
                  <a:rPr lang="en-US"/>
                  <a:t>CHP+</a:t>
                </a:r>
              </a:p>
            </c:rich>
          </c:tx>
          <c:layout>
            <c:manualLayout>
              <c:xMode val="edge"/>
              <c:yMode val="edge"/>
              <c:x val="0.94386477799935553"/>
              <c:y val="0.41290412891937273"/>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118023624"/>
        <c:crosses val="max"/>
        <c:crossBetween val="between"/>
        <c:majorUnit val="2000"/>
      </c:valAx>
      <c:spPr>
        <a:noFill/>
        <a:ln w="12700">
          <a:solidFill>
            <a:srgbClr val="808080"/>
          </a:solidFill>
          <a:prstDash val="solid"/>
        </a:ln>
      </c:spPr>
    </c:plotArea>
    <c:legend>
      <c:legendPos val="b"/>
      <c:layout>
        <c:manualLayout>
          <c:xMode val="edge"/>
          <c:yMode val="edge"/>
          <c:wMode val="edge"/>
          <c:hMode val="edge"/>
          <c:x val="0.40339452999185127"/>
          <c:y val="0.93333536533739736"/>
          <c:w val="0.60966098558828974"/>
          <c:h val="0.98494826856320383"/>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504563233376838"/>
          <c:y val="3.0042918454936087E-2"/>
        </c:manualLayout>
      </c:layout>
      <c:overlay val="0"/>
      <c:spPr>
        <a:noFill/>
        <a:ln w="25400">
          <a:noFill/>
        </a:ln>
      </c:spPr>
    </c:title>
    <c:autoTitleDeleted val="0"/>
    <c:plotArea>
      <c:layout>
        <c:manualLayout>
          <c:layoutTarget val="inner"/>
          <c:xMode val="edge"/>
          <c:yMode val="edge"/>
          <c:x val="0.14993481095176617"/>
          <c:y val="0.14806882467646817"/>
          <c:w val="0.79400260756192953"/>
          <c:h val="0.62661009863085027"/>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30A9-4A52-9ABB-AB8AC4D22B89}"/>
            </c:ext>
          </c:extLst>
        </c:ser>
        <c:dLbls>
          <c:showLegendKey val="0"/>
          <c:showVal val="0"/>
          <c:showCatName val="0"/>
          <c:showSerName val="0"/>
          <c:showPercent val="0"/>
          <c:showBubbleSize val="0"/>
        </c:dLbls>
        <c:marker val="1"/>
        <c:smooth val="0"/>
        <c:axId val="229576448"/>
        <c:axId val="228474824"/>
      </c:lineChart>
      <c:catAx>
        <c:axId val="229576448"/>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28474824"/>
        <c:crosses val="autoZero"/>
        <c:auto val="0"/>
        <c:lblAlgn val="ctr"/>
        <c:lblOffset val="100"/>
        <c:tickLblSkip val="1"/>
        <c:tickMarkSkip val="1"/>
        <c:noMultiLvlLbl val="0"/>
      </c:catAx>
      <c:valAx>
        <c:axId val="228474824"/>
        <c:scaling>
          <c:orientation val="minMax"/>
          <c:max val="540000"/>
          <c:min val="380000"/>
        </c:scaling>
        <c:delete val="0"/>
        <c:axPos val="l"/>
        <c:majorGridlines>
          <c:spPr>
            <a:ln w="3175">
              <a:solidFill>
                <a:srgbClr val="000000"/>
              </a:solidFill>
              <a:prstDash val="solid"/>
            </a:ln>
          </c:spPr>
        </c:majorGridlines>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29576448"/>
        <c:crosses val="autoZero"/>
        <c:crossBetween val="between"/>
        <c:majorUnit val="20000"/>
      </c:valAx>
      <c:spPr>
        <a:noFill/>
        <a:ln w="12700">
          <a:solidFill>
            <a:srgbClr val="808080"/>
          </a:solidFill>
          <a:prstDash val="solid"/>
        </a:ln>
      </c:spPr>
    </c:plotArea>
    <c:legend>
      <c:legendPos val="b"/>
      <c:layout>
        <c:manualLayout>
          <c:xMode val="edge"/>
          <c:yMode val="edge"/>
          <c:wMode val="edge"/>
          <c:hMode val="edge"/>
          <c:x val="0.48891786179922636"/>
          <c:y val="0.93347729602469265"/>
          <c:w val="0.60756192959582789"/>
          <c:h val="0.98497944194743858"/>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453179680665323"/>
          <c:y val="2.9978586723768741E-2"/>
        </c:manualLayout>
      </c:layout>
      <c:overlay val="0"/>
      <c:spPr>
        <a:noFill/>
        <a:ln w="25400">
          <a:noFill/>
        </a:ln>
      </c:spPr>
    </c:title>
    <c:autoTitleDeleted val="0"/>
    <c:plotArea>
      <c:layout>
        <c:manualLayout>
          <c:layoutTarget val="inner"/>
          <c:xMode val="edge"/>
          <c:yMode val="edge"/>
          <c:x val="0.14973977373730993"/>
          <c:y val="0.14775160599571735"/>
          <c:w val="0.79427184330220968"/>
          <c:h val="0.62740899357601765"/>
        </c:manualLayout>
      </c:layout>
      <c:barChart>
        <c:barDir val="col"/>
        <c:grouping val="clustered"/>
        <c:varyColors val="0"/>
        <c:ser>
          <c:idx val="1"/>
          <c:order val="0"/>
          <c:tx>
            <c:strRef>
              <c:f>'Graph for Web- DO NOT PRINT'!$B$1</c:f>
              <c:strCache>
                <c:ptCount val="1"/>
                <c:pt idx="0">
                  <c:v>Medicaid</c:v>
                </c:pt>
              </c:strCache>
            </c:strRef>
          </c:tx>
          <c:spPr>
            <a:solidFill>
              <a:srgbClr val="993366"/>
            </a:solidFill>
            <a:ln w="25400">
              <a:solidFill>
                <a:srgbClr val="800000"/>
              </a:solidFill>
              <a:prstDash val="solid"/>
            </a:ln>
          </c:spPr>
          <c:invertIfNegative val="0"/>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86DC-4063-AFE5-6C3E26FB1950}"/>
            </c:ext>
          </c:extLst>
        </c:ser>
        <c:dLbls>
          <c:showLegendKey val="0"/>
          <c:showVal val="0"/>
          <c:showCatName val="0"/>
          <c:showSerName val="0"/>
          <c:showPercent val="0"/>
          <c:showBubbleSize val="0"/>
        </c:dLbls>
        <c:gapWidth val="150"/>
        <c:axId val="118811704"/>
        <c:axId val="115984840"/>
      </c:barChart>
      <c:catAx>
        <c:axId val="118811704"/>
        <c:scaling>
          <c:orientation val="minMax"/>
        </c:scaling>
        <c:delete val="0"/>
        <c:axPos val="b"/>
        <c:numFmt formatCode="mmm\ yyyy"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115984840"/>
        <c:crosses val="autoZero"/>
        <c:auto val="0"/>
        <c:lblAlgn val="ctr"/>
        <c:lblOffset val="100"/>
        <c:tickLblSkip val="1"/>
        <c:tickMarkSkip val="1"/>
        <c:noMultiLvlLbl val="0"/>
      </c:catAx>
      <c:valAx>
        <c:axId val="115984840"/>
        <c:scaling>
          <c:orientation val="minMax"/>
          <c:max val="540000"/>
          <c:min val="380000"/>
        </c:scaling>
        <c:delete val="0"/>
        <c:axPos val="l"/>
        <c:majorGridlines>
          <c:spPr>
            <a:ln w="3175">
              <a:solidFill>
                <a:srgbClr val="000000"/>
              </a:solidFill>
              <a:prstDash val="solid"/>
            </a:ln>
          </c:spPr>
        </c:majorGridlines>
        <c:numFmt formatCode="#,##0_);\(#,##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118811704"/>
        <c:crosses val="autoZero"/>
        <c:crossBetween val="between"/>
        <c:majorUnit val="20000"/>
      </c:valAx>
      <c:spPr>
        <a:noFill/>
        <a:ln w="12700">
          <a:solidFill>
            <a:srgbClr val="808080"/>
          </a:solidFill>
          <a:prstDash val="solid"/>
        </a:ln>
      </c:spPr>
    </c:plotArea>
    <c:legend>
      <c:legendPos val="r"/>
      <c:layout>
        <c:manualLayout>
          <c:xMode val="edge"/>
          <c:yMode val="edge"/>
          <c:wMode val="edge"/>
          <c:hMode val="edge"/>
          <c:x val="0.5"/>
          <c:y val="0.93361884368309889"/>
          <c:w val="0.59375"/>
          <c:h val="0.98501070663811574"/>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600075</xdr:colOff>
      <xdr:row>0</xdr:row>
      <xdr:rowOff>180975</xdr:rowOff>
    </xdr:from>
    <xdr:to>
      <xdr:col>15</xdr:col>
      <xdr:colOff>581025</xdr:colOff>
      <xdr:row>23</xdr:row>
      <xdr:rowOff>9525</xdr:rowOff>
    </xdr:to>
    <xdr:graphicFrame macro="">
      <xdr:nvGraphicFramePr>
        <xdr:cNvPr id="206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25</xdr:row>
      <xdr:rowOff>0</xdr:rowOff>
    </xdr:from>
    <xdr:to>
      <xdr:col>15</xdr:col>
      <xdr:colOff>600075</xdr:colOff>
      <xdr:row>47</xdr:row>
      <xdr:rowOff>38100</xdr:rowOff>
    </xdr:to>
    <xdr:graphicFrame macro="">
      <xdr:nvGraphicFramePr>
        <xdr:cNvPr id="206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48</xdr:row>
      <xdr:rowOff>0</xdr:rowOff>
    </xdr:from>
    <xdr:to>
      <xdr:col>16</xdr:col>
      <xdr:colOff>0</xdr:colOff>
      <xdr:row>70</xdr:row>
      <xdr:rowOff>47625</xdr:rowOff>
    </xdr:to>
    <xdr:graphicFrame macro="">
      <xdr:nvGraphicFramePr>
        <xdr:cNvPr id="206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PFSRV03\Shared-BUDGETOF\Hospitals\RATES\2000sheet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HP+/Reports/FY%202013-14%20Reporting/CHP%20Caseload%20Tracki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Hospitals\RATES\2000shee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edical%20Services%20Premiums/Cash%20Based%20Monthly%20Expenditur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onthly%20Reporting/JBC%20Monthly%20Reports/FY%202016-17/FY%202016-17%20Long-Term%20Home%20Healt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edical%20Services%20Premiums/Cash%20Based%20Monthly%20Expenditures%20-%20Supplemental%20Payment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onthly%20Reporting/JBC%20Monthly%20Reports/FY%202015-16/FY%202015-16%20Expansion%20Expenditur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onthly%20Reporting/JBC%20Monthly%20Reports/PCPP%20and%20HMO%20Caseloa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onthly%20Reporting/JBC%20Monthly%20Reports/FY%202016-17/FY%202016-17%20ACC_RCCO_COUNTY.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cpfsrv03\shared-BUDGETOF\FICU\CHP+\CHP%20Caseload%20Trac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ds"/>
      <sheetName val="Prenatal"/>
      <sheetName val="For JBC Report"/>
      <sheetName val="Sheet3"/>
      <sheetName val="Per capitas FY 2010-11"/>
      <sheetName val="Estimated Dental"/>
      <sheetName val="Advocate letter response"/>
    </sheetNames>
    <sheetDataSet>
      <sheetData sheetId="0">
        <row r="197">
          <cell r="E197">
            <v>15933</v>
          </cell>
        </row>
        <row r="198">
          <cell r="E198">
            <v>17642</v>
          </cell>
        </row>
        <row r="199">
          <cell r="E199">
            <v>16564</v>
          </cell>
        </row>
        <row r="200">
          <cell r="E200">
            <v>20972</v>
          </cell>
        </row>
        <row r="201">
          <cell r="E201">
            <v>19542</v>
          </cell>
        </row>
        <row r="202">
          <cell r="E202">
            <v>20376</v>
          </cell>
        </row>
      </sheetData>
      <sheetData sheetId="1">
        <row r="142">
          <cell r="E142">
            <v>354</v>
          </cell>
        </row>
        <row r="143">
          <cell r="E143">
            <v>393</v>
          </cell>
        </row>
        <row r="144">
          <cell r="E144">
            <v>385</v>
          </cell>
        </row>
        <row r="145">
          <cell r="E145">
            <v>533</v>
          </cell>
        </row>
        <row r="146">
          <cell r="E146">
            <v>534</v>
          </cell>
        </row>
        <row r="147">
          <cell r="E147">
            <v>540</v>
          </cell>
        </row>
      </sheetData>
      <sheetData sheetId="2">
        <row r="93">
          <cell r="E93">
            <v>17496</v>
          </cell>
          <cell r="I93">
            <v>460</v>
          </cell>
        </row>
        <row r="94">
          <cell r="E94">
            <v>19106</v>
          </cell>
          <cell r="I94">
            <v>496</v>
          </cell>
        </row>
        <row r="95">
          <cell r="E95">
            <v>18350</v>
          </cell>
          <cell r="I95">
            <v>488</v>
          </cell>
        </row>
        <row r="96">
          <cell r="E96">
            <v>16449</v>
          </cell>
          <cell r="I96">
            <v>457</v>
          </cell>
        </row>
        <row r="97">
          <cell r="E97">
            <v>16027</v>
          </cell>
          <cell r="I97">
            <v>455</v>
          </cell>
        </row>
        <row r="98">
          <cell r="E98">
            <v>15851</v>
          </cell>
          <cell r="I98">
            <v>446</v>
          </cell>
        </row>
        <row r="99">
          <cell r="E99">
            <v>15780</v>
          </cell>
          <cell r="I99">
            <v>478</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 Pivot"/>
      <sheetName val="Chart1"/>
      <sheetName val="Extra Pivot"/>
      <sheetName val="Sheet1"/>
      <sheetName val="Directions"/>
      <sheetName val="Cash-Based Monthly Totals"/>
      <sheetName val="Checksums"/>
      <sheetName val="Formatted Pivot"/>
      <sheetName val="Hospital Supplemental Payments"/>
      <sheetName val="Summarized Monthly Totals"/>
      <sheetName val="FY 12-13 Projections"/>
      <sheetName val="FY 11-12 Projections"/>
      <sheetName val="B2 - Caseload (Monthly)"/>
      <sheetName val="SQL"/>
      <sheetName val="1293 Pivot"/>
      <sheetName val="Bonus Pivot"/>
      <sheetName val="Bonus Pivot (2)"/>
      <sheetName val="Category Order"/>
      <sheetName val="Elig Order"/>
      <sheetName val="Old Category Order"/>
      <sheetName val="Dummy Columns"/>
      <sheetName val="FY 2009-10 Cash-Based Totals"/>
      <sheetName val="Weeks"/>
      <sheetName val="Simple Estimate"/>
      <sheetName val="FY 08-09 Cash-Based Totals"/>
      <sheetName val="FY 07-08 Cash-Based Totals"/>
      <sheetName val="caseload graph"/>
      <sheetName val="YoYTD paste in"/>
      <sheetName val="YoY TD new"/>
      <sheetName val="FY 07-08 Projections"/>
      <sheetName val="MMR Summary"/>
      <sheetName val="Totals for MMR Graphs FY 08-09"/>
      <sheetName val="MMR Graph MSP"/>
      <sheetName val="MMR Table MSP"/>
      <sheetName val="MMR Graph Acute"/>
      <sheetName val="MMR Table Acute"/>
      <sheetName val="MMR Graph CBLTC"/>
      <sheetName val="MMR Table CBLTC"/>
      <sheetName val="MMR Graph LTC CINF"/>
      <sheetName val="MMR Table LTC CINF"/>
      <sheetName val="MMR Graph LTC PACE"/>
      <sheetName val="MMR Table LTC PACE"/>
      <sheetName val="MMR Graph LTC SMIB"/>
      <sheetName val="MMR Table LTC SMIB"/>
      <sheetName val="MMR Graph LTC group format"/>
      <sheetName val="Totals for MMR Graphs"/>
      <sheetName val="Summarized MonTotals (Acute)"/>
      <sheetName val="FY 08-09 Projections (Acute)"/>
      <sheetName val="FY 07-08 Projections (Acute)"/>
      <sheetName val="Summarized MonTotals (CBLTC)"/>
      <sheetName val="FY 08-09 Projections (CBLTC)"/>
      <sheetName val="FY 07-08 Projections (CBLTC)"/>
      <sheetName val="Summarized MonTotals (C1NF)"/>
      <sheetName val="FY 08-09 Projections (C1NF)"/>
      <sheetName val="Summarized MonTotals (C2NF)"/>
      <sheetName val="FY 08-09 Projections (C2NF)"/>
      <sheetName val="12m Graph - Top 5"/>
      <sheetName val="12m Graph - 6-10"/>
      <sheetName val="12m Graph 11-20"/>
      <sheetName val="Graph PDN"/>
      <sheetName val="Top 5 bar graph"/>
      <sheetName val="Rank 6-20 bar graph"/>
      <sheetName val="Major Category Bar Graph"/>
      <sheetName val="Totals for Graphs - 12m"/>
      <sheetName val="FY 05-06 Cash-Based Totals"/>
      <sheetName val="FY 06-07 Cash-Based Totals"/>
      <sheetName val="XOrgn Lookup"/>
      <sheetName val="Category"/>
      <sheetName val="Sheet3"/>
      <sheetName val="Sheet4"/>
      <sheetName val="Sheet5"/>
      <sheetName val="Sheet6"/>
      <sheetName val="Sheet7"/>
      <sheetName val="Sheet8"/>
    </sheetNames>
    <sheetDataSet>
      <sheetData sheetId="0"/>
      <sheetData sheetId="1" refreshError="1"/>
      <sheetData sheetId="2"/>
      <sheetData sheetId="3"/>
      <sheetData sheetId="4"/>
      <sheetData sheetId="5">
        <row r="3">
          <cell r="GK3">
            <v>51180193.51000002</v>
          </cell>
          <cell r="GL3">
            <v>63940070.300000012</v>
          </cell>
          <cell r="GM3">
            <v>50530484.63000004</v>
          </cell>
          <cell r="GN3">
            <v>68635470.929999977</v>
          </cell>
          <cell r="GO3">
            <v>51211880.099999987</v>
          </cell>
          <cell r="GP3">
            <v>56694399.75999999</v>
          </cell>
          <cell r="GQ3">
            <v>64139352.060000002</v>
          </cell>
        </row>
        <row r="4">
          <cell r="GK4">
            <v>2231185.5699999998</v>
          </cell>
          <cell r="GL4">
            <v>3425724.15</v>
          </cell>
          <cell r="GM4">
            <v>2497610.1800000011</v>
          </cell>
          <cell r="GN4">
            <v>2793181.160000002</v>
          </cell>
          <cell r="GO4">
            <v>2048017.7800000003</v>
          </cell>
          <cell r="GP4">
            <v>2007853.25</v>
          </cell>
          <cell r="GQ4">
            <v>2353493.15</v>
          </cell>
        </row>
        <row r="5">
          <cell r="GK5">
            <v>1989094.23</v>
          </cell>
          <cell r="GL5">
            <v>2393038.2000000002</v>
          </cell>
          <cell r="GM5">
            <v>2127248.2700000009</v>
          </cell>
          <cell r="GN5">
            <v>2623738.2000000011</v>
          </cell>
          <cell r="GO5">
            <v>2531653.0199999996</v>
          </cell>
          <cell r="GP5">
            <v>2096685.1299999994</v>
          </cell>
          <cell r="GQ5">
            <v>2811553.9099999997</v>
          </cell>
        </row>
        <row r="6">
          <cell r="GK6">
            <v>1588109.2800000003</v>
          </cell>
          <cell r="GL6">
            <v>1821242.98</v>
          </cell>
          <cell r="GM6">
            <v>1525627.56</v>
          </cell>
          <cell r="GN6">
            <v>2271225.8400000003</v>
          </cell>
          <cell r="GO6">
            <v>1792519.7299999997</v>
          </cell>
          <cell r="GP6">
            <v>1635013.5899999999</v>
          </cell>
          <cell r="GQ6">
            <v>2170059.5299999998</v>
          </cell>
        </row>
        <row r="7">
          <cell r="GK7">
            <v>20146151.23</v>
          </cell>
          <cell r="GL7">
            <v>40599515.690000005</v>
          </cell>
          <cell r="GM7">
            <v>28948833.960000001</v>
          </cell>
          <cell r="GN7">
            <v>33521673.940000001</v>
          </cell>
          <cell r="GO7">
            <v>27070032.620000001</v>
          </cell>
          <cell r="GP7">
            <v>25012795.180000003</v>
          </cell>
          <cell r="GQ7">
            <v>27864070.609999996</v>
          </cell>
        </row>
        <row r="8">
          <cell r="GK8">
            <v>414107.14000000007</v>
          </cell>
          <cell r="GL8">
            <v>568313.94999999995</v>
          </cell>
          <cell r="GM8">
            <v>419641.7300000001</v>
          </cell>
          <cell r="GN8">
            <v>823850.14000000013</v>
          </cell>
          <cell r="GO8">
            <v>485030.32999999996</v>
          </cell>
          <cell r="GP8">
            <v>508657.37000000005</v>
          </cell>
          <cell r="GQ8">
            <v>599655.51</v>
          </cell>
        </row>
        <row r="9">
          <cell r="GK9">
            <v>33122182.459999997</v>
          </cell>
          <cell r="GL9">
            <v>32703618.520000003</v>
          </cell>
          <cell r="GM9">
            <v>33465252.200000003</v>
          </cell>
          <cell r="GN9">
            <v>34237891.460000001</v>
          </cell>
          <cell r="GO9">
            <v>33536834.189999998</v>
          </cell>
          <cell r="GP9">
            <v>26948885.68</v>
          </cell>
          <cell r="GQ9">
            <v>34262716.149999999</v>
          </cell>
        </row>
        <row r="10">
          <cell r="GK10">
            <v>51219321.810000002</v>
          </cell>
          <cell r="GL10">
            <v>57681226.559999995</v>
          </cell>
          <cell r="GM10">
            <v>60591898.689999983</v>
          </cell>
          <cell r="GN10">
            <v>75352276.789999992</v>
          </cell>
          <cell r="GO10">
            <v>54432353.760000005</v>
          </cell>
          <cell r="GP10">
            <v>61936906.179999992</v>
          </cell>
          <cell r="GQ10">
            <v>81018140.500000015</v>
          </cell>
        </row>
        <row r="11">
          <cell r="GK11">
            <v>51455926.379999995</v>
          </cell>
          <cell r="GL11">
            <v>48325879.709999986</v>
          </cell>
          <cell r="GM11">
            <v>50136332.960000001</v>
          </cell>
          <cell r="GN11">
            <v>66402863.460000001</v>
          </cell>
          <cell r="GO11">
            <v>46015783.550000012</v>
          </cell>
          <cell r="GP11">
            <v>42052676.74000001</v>
          </cell>
          <cell r="GQ11">
            <v>47093229.579999998</v>
          </cell>
        </row>
        <row r="12">
          <cell r="GK12">
            <v>8910846.8799999971</v>
          </cell>
          <cell r="GL12">
            <v>11600297.860000001</v>
          </cell>
          <cell r="GM12">
            <v>9542221.8599999994</v>
          </cell>
          <cell r="GN12">
            <v>12821368.550000003</v>
          </cell>
          <cell r="GO12">
            <v>9525765.6399999969</v>
          </cell>
          <cell r="GP12">
            <v>10178402.129999999</v>
          </cell>
          <cell r="GQ12">
            <v>12064248.050000003</v>
          </cell>
        </row>
        <row r="13">
          <cell r="GK13">
            <v>13839504.520000001</v>
          </cell>
          <cell r="GL13">
            <v>17114434.520000003</v>
          </cell>
          <cell r="GM13">
            <v>13608631.920000004</v>
          </cell>
          <cell r="GN13">
            <v>19052580.560000028</v>
          </cell>
          <cell r="GO13">
            <v>14098534.320000002</v>
          </cell>
          <cell r="GP13">
            <v>15240714.729999999</v>
          </cell>
          <cell r="GQ13">
            <v>17097986.760000005</v>
          </cell>
        </row>
        <row r="14">
          <cell r="GK14">
            <v>66239820.04999999</v>
          </cell>
          <cell r="GL14">
            <v>87220032.459999979</v>
          </cell>
          <cell r="GM14">
            <v>69975082.299999997</v>
          </cell>
          <cell r="GN14">
            <v>90019350.049999982</v>
          </cell>
          <cell r="GO14">
            <v>70279174.469999984</v>
          </cell>
          <cell r="GP14">
            <v>77730002.150000036</v>
          </cell>
          <cell r="GQ14">
            <v>93253864.539999992</v>
          </cell>
        </row>
        <row r="15">
          <cell r="GK15"/>
          <cell r="GL15"/>
          <cell r="GM15">
            <v>-128245815.98000003</v>
          </cell>
          <cell r="GN15">
            <v>-2743065.86</v>
          </cell>
          <cell r="GO15"/>
          <cell r="GP15">
            <v>-154735457.09999999</v>
          </cell>
          <cell r="GQ15"/>
        </row>
        <row r="17">
          <cell r="GK17">
            <v>1275745.49</v>
          </cell>
          <cell r="GL17">
            <v>1758207.0899999999</v>
          </cell>
          <cell r="GM17">
            <v>1366726.17</v>
          </cell>
          <cell r="GN17">
            <v>2405453.29</v>
          </cell>
          <cell r="GO17">
            <v>1623965.0499999998</v>
          </cell>
          <cell r="GP17">
            <v>1613098.9199999997</v>
          </cell>
          <cell r="GQ17">
            <v>2339821.16</v>
          </cell>
        </row>
        <row r="18">
          <cell r="GK18">
            <v>10637575.050000001</v>
          </cell>
          <cell r="GL18">
            <v>15070819.180000002</v>
          </cell>
          <cell r="GM18">
            <v>10238088.920000002</v>
          </cell>
          <cell r="GN18">
            <v>15864409.98</v>
          </cell>
          <cell r="GO18">
            <v>11057789.09</v>
          </cell>
          <cell r="GP18">
            <v>13205105.190000001</v>
          </cell>
          <cell r="GQ18">
            <v>15540914.659999998</v>
          </cell>
        </row>
        <row r="19">
          <cell r="GK19">
            <v>5782235.0400000187</v>
          </cell>
          <cell r="GL19">
            <v>4415366.9000000004</v>
          </cell>
          <cell r="GM19">
            <v>1842196.4700000058</v>
          </cell>
          <cell r="GN19">
            <v>3314079.7500000009</v>
          </cell>
          <cell r="GO19">
            <v>10579721.620000001</v>
          </cell>
          <cell r="GP19">
            <v>5789647.0599999996</v>
          </cell>
          <cell r="GQ19">
            <v>2472131.4700000002</v>
          </cell>
        </row>
        <row r="20">
          <cell r="GK20">
            <v>327774.43</v>
          </cell>
          <cell r="GL20">
            <v>249521</v>
          </cell>
          <cell r="GM20">
            <v>237626.06</v>
          </cell>
          <cell r="GN20">
            <v>285634.76</v>
          </cell>
          <cell r="GO20">
            <v>155107.26999999999</v>
          </cell>
          <cell r="GP20">
            <v>204677.75</v>
          </cell>
          <cell r="GQ20">
            <v>319111.96999999997</v>
          </cell>
        </row>
        <row r="21">
          <cell r="GK21"/>
          <cell r="GL21"/>
          <cell r="GM21"/>
          <cell r="GN21"/>
          <cell r="GO21"/>
          <cell r="GP21"/>
          <cell r="GQ21"/>
        </row>
        <row r="22">
          <cell r="GK22"/>
          <cell r="GL22">
            <v>1203</v>
          </cell>
          <cell r="GM22"/>
          <cell r="GN22"/>
          <cell r="GO22"/>
          <cell r="GP22"/>
          <cell r="GQ22"/>
        </row>
        <row r="23">
          <cell r="GK23">
            <v>22325740.420000002</v>
          </cell>
          <cell r="GL23">
            <v>27677867.219999999</v>
          </cell>
          <cell r="GM23">
            <v>23712000.32</v>
          </cell>
          <cell r="GN23">
            <v>29456309.970000006</v>
          </cell>
          <cell r="GO23">
            <v>23200092.999999993</v>
          </cell>
          <cell r="GP23">
            <v>23696183.870000001</v>
          </cell>
          <cell r="GQ23">
            <v>29196704</v>
          </cell>
        </row>
        <row r="26">
          <cell r="GK26">
            <v>27382101.640000001</v>
          </cell>
          <cell r="GL26">
            <v>31474398.009999998</v>
          </cell>
          <cell r="GM26">
            <v>27271358.49000001</v>
          </cell>
          <cell r="GN26">
            <v>32402491.439999994</v>
          </cell>
          <cell r="GO26">
            <v>27075014.170000002</v>
          </cell>
          <cell r="GP26">
            <v>30280980.529999997</v>
          </cell>
          <cell r="GQ26">
            <v>33894038.730000004</v>
          </cell>
        </row>
        <row r="27">
          <cell r="GK27">
            <v>3026569.1599999997</v>
          </cell>
          <cell r="GL27">
            <v>3405917.79</v>
          </cell>
          <cell r="GM27">
            <v>3031112.4499999997</v>
          </cell>
          <cell r="GN27">
            <v>3459378.0100000002</v>
          </cell>
          <cell r="GO27">
            <v>3089497.7600000002</v>
          </cell>
          <cell r="GP27">
            <v>3220629.27</v>
          </cell>
          <cell r="GQ27">
            <v>3577617.6200000006</v>
          </cell>
        </row>
        <row r="28">
          <cell r="GK28">
            <v>1204308.8200000003</v>
          </cell>
          <cell r="GL28">
            <v>1322926.76</v>
          </cell>
          <cell r="GM28">
            <v>1201947.8099999998</v>
          </cell>
          <cell r="GN28">
            <v>1377152.8399999999</v>
          </cell>
          <cell r="GO28">
            <v>1182535.6799999999</v>
          </cell>
          <cell r="GP28">
            <v>1448630.1099999999</v>
          </cell>
          <cell r="GQ28">
            <v>1634422.87</v>
          </cell>
        </row>
        <row r="29">
          <cell r="GK29"/>
          <cell r="GL29"/>
          <cell r="GM29"/>
          <cell r="GO29"/>
          <cell r="GP29"/>
          <cell r="GQ29"/>
        </row>
        <row r="30">
          <cell r="GK30"/>
          <cell r="GL30">
            <v>9907.82</v>
          </cell>
          <cell r="GM30">
            <v>317707.75999999995</v>
          </cell>
          <cell r="GN30">
            <v>163907.16999999998</v>
          </cell>
          <cell r="GO30">
            <v>11339.7</v>
          </cell>
          <cell r="GP30">
            <v>108647.24</v>
          </cell>
          <cell r="GQ30">
            <v>231597.97</v>
          </cell>
        </row>
        <row r="31">
          <cell r="GK31">
            <v>1584957.0999999999</v>
          </cell>
          <cell r="GL31">
            <v>1438661.36</v>
          </cell>
          <cell r="GM31">
            <v>1501668.96</v>
          </cell>
          <cell r="GN31">
            <v>2332059.9600000004</v>
          </cell>
          <cell r="GO31">
            <v>1416481.0899999999</v>
          </cell>
          <cell r="GP31">
            <v>1405398.3800000001</v>
          </cell>
          <cell r="GQ31">
            <v>2342207.21</v>
          </cell>
        </row>
        <row r="32">
          <cell r="GK32">
            <v>32706.07</v>
          </cell>
          <cell r="GL32">
            <v>42163.06</v>
          </cell>
          <cell r="GM32">
            <v>36112.5</v>
          </cell>
          <cell r="GN32">
            <v>66020.77</v>
          </cell>
          <cell r="GO32">
            <v>51645.96</v>
          </cell>
          <cell r="GP32">
            <v>43500.1</v>
          </cell>
          <cell r="GQ32">
            <v>33029.530000000006</v>
          </cell>
        </row>
        <row r="33">
          <cell r="GK33">
            <v>50576.990000000005</v>
          </cell>
          <cell r="GL33">
            <v>72478.55</v>
          </cell>
          <cell r="GM33">
            <v>65694.06</v>
          </cell>
          <cell r="GN33">
            <v>56030.14</v>
          </cell>
          <cell r="GO33">
            <v>54746.170000000006</v>
          </cell>
          <cell r="GP33">
            <v>57287.97</v>
          </cell>
          <cell r="GQ33">
            <v>77007.459999999992</v>
          </cell>
        </row>
        <row r="34">
          <cell r="GK34">
            <v>188062.97000000003</v>
          </cell>
          <cell r="GL34">
            <v>217877.86</v>
          </cell>
          <cell r="GM34">
            <v>213643.19999999998</v>
          </cell>
          <cell r="GN34">
            <v>271345.74</v>
          </cell>
          <cell r="GO34">
            <v>251821.47</v>
          </cell>
          <cell r="GP34">
            <v>299063.93000000005</v>
          </cell>
          <cell r="GQ34">
            <v>305916.2</v>
          </cell>
        </row>
        <row r="35">
          <cell r="GK35">
            <v>5643462.9399999995</v>
          </cell>
          <cell r="GL35">
            <v>8650868.3499999996</v>
          </cell>
          <cell r="GM35">
            <v>7257148.54</v>
          </cell>
          <cell r="GN35">
            <v>8605654.4899999984</v>
          </cell>
          <cell r="GO35">
            <v>6863178.6899999995</v>
          </cell>
          <cell r="GP35">
            <v>6715100.6300000008</v>
          </cell>
          <cell r="GQ35">
            <v>8008069.2299999995</v>
          </cell>
        </row>
        <row r="36">
          <cell r="GK36">
            <v>3998808.4300000006</v>
          </cell>
          <cell r="GL36">
            <v>5164619.8600000003</v>
          </cell>
          <cell r="GM36">
            <v>4731265.7100000018</v>
          </cell>
          <cell r="GN36">
            <v>5149544.7800000012</v>
          </cell>
          <cell r="GO36">
            <v>4753947.3999999994</v>
          </cell>
          <cell r="GP36">
            <v>4557535.04</v>
          </cell>
          <cell r="GQ36">
            <v>4511379.53</v>
          </cell>
        </row>
        <row r="37">
          <cell r="GK37">
            <v>202695.87</v>
          </cell>
          <cell r="GL37">
            <v>243155.91000000003</v>
          </cell>
          <cell r="GM37">
            <v>237155.65</v>
          </cell>
          <cell r="GN37">
            <v>368863.62999999995</v>
          </cell>
          <cell r="GO37">
            <v>247913.98999999996</v>
          </cell>
          <cell r="GP37">
            <v>275044.25</v>
          </cell>
          <cell r="GQ37">
            <v>365257.09</v>
          </cell>
        </row>
        <row r="39">
          <cell r="GK39">
            <v>49788415.869999997</v>
          </cell>
          <cell r="GL39">
            <v>59931490.929999992</v>
          </cell>
          <cell r="GM39">
            <v>55422233.080000006</v>
          </cell>
          <cell r="GN39">
            <v>57806132.720000014</v>
          </cell>
          <cell r="GO39">
            <v>53490235.839999996</v>
          </cell>
          <cell r="GP39">
            <v>53627362.25</v>
          </cell>
          <cell r="GQ39">
            <v>56097803.280000001</v>
          </cell>
        </row>
        <row r="40">
          <cell r="GK40">
            <v>271224.72000000003</v>
          </cell>
          <cell r="GL40">
            <v>186549.53</v>
          </cell>
          <cell r="GM40">
            <v>343049.05</v>
          </cell>
          <cell r="GN40">
            <v>165172.01</v>
          </cell>
          <cell r="GO40">
            <v>420552.27</v>
          </cell>
          <cell r="GP40">
            <v>313318.18</v>
          </cell>
          <cell r="GQ40">
            <v>441052.66000000003</v>
          </cell>
        </row>
        <row r="41">
          <cell r="GK41">
            <v>12011470</v>
          </cell>
          <cell r="GL41">
            <v>12464803.050000001</v>
          </cell>
          <cell r="GM41">
            <v>12925600.709999999</v>
          </cell>
          <cell r="GN41">
            <v>12629603.609999999</v>
          </cell>
          <cell r="GO41">
            <v>20527665.400000002</v>
          </cell>
          <cell r="GP41">
            <v>13835215.429999998</v>
          </cell>
          <cell r="GQ41">
            <v>-1251154.0699999998</v>
          </cell>
        </row>
        <row r="42">
          <cell r="GK42">
            <v>14211873.5</v>
          </cell>
          <cell r="GL42">
            <v>14012387.5</v>
          </cell>
          <cell r="GM42">
            <v>13970667.000000002</v>
          </cell>
          <cell r="GN42">
            <v>14410577.499999998</v>
          </cell>
          <cell r="GO42">
            <v>14087928.9</v>
          </cell>
          <cell r="GP42">
            <v>14202963.199999999</v>
          </cell>
          <cell r="GQ42">
            <v>15421772.300000001</v>
          </cell>
        </row>
        <row r="43">
          <cell r="GK43">
            <v>150214.46000000002</v>
          </cell>
          <cell r="GL43">
            <v>170777.27</v>
          </cell>
          <cell r="GM43">
            <v>165626.74</v>
          </cell>
          <cell r="GN43">
            <v>164715.84999999998</v>
          </cell>
          <cell r="GO43">
            <v>173837.89</v>
          </cell>
          <cell r="GP43">
            <v>176622.36000000002</v>
          </cell>
          <cell r="GQ43">
            <v>176554.63</v>
          </cell>
        </row>
        <row r="45">
          <cell r="GK45"/>
          <cell r="GL45">
            <v>-76906.559999999998</v>
          </cell>
          <cell r="GM45">
            <v>2773331.5299999993</v>
          </cell>
          <cell r="GN45">
            <v>2800437.71</v>
          </cell>
          <cell r="GO45">
            <v>5569155.8899999997</v>
          </cell>
          <cell r="GP45">
            <v>2823339.81</v>
          </cell>
          <cell r="GQ45">
            <v>2779150.52</v>
          </cell>
        </row>
        <row r="46">
          <cell r="GK46"/>
          <cell r="GM46"/>
          <cell r="GO46"/>
          <cell r="GP46"/>
          <cell r="GQ46"/>
        </row>
        <row r="47">
          <cell r="GK47">
            <v>10119408.720000014</v>
          </cell>
          <cell r="GL47">
            <v>10379745.67</v>
          </cell>
          <cell r="GM47">
            <v>12421651.799999982</v>
          </cell>
          <cell r="GN47">
            <v>14504414.060000012</v>
          </cell>
          <cell r="GO47">
            <v>10541076.75</v>
          </cell>
          <cell r="GP47">
            <v>17115224.559999999</v>
          </cell>
          <cell r="GQ47">
            <v>13057935.41</v>
          </cell>
        </row>
        <row r="49">
          <cell r="GK49"/>
          <cell r="GL49"/>
          <cell r="GM49"/>
          <cell r="GN49"/>
          <cell r="GO49"/>
          <cell r="GP49">
            <v>3174958</v>
          </cell>
          <cell r="GQ49"/>
        </row>
        <row r="50">
          <cell r="GK50"/>
          <cell r="GL50"/>
          <cell r="GM50"/>
          <cell r="GN50"/>
          <cell r="GO50"/>
          <cell r="GP50"/>
          <cell r="GQ50"/>
        </row>
        <row r="51">
          <cell r="GK51"/>
          <cell r="GL51"/>
          <cell r="GM51"/>
          <cell r="GN51"/>
          <cell r="GO51"/>
          <cell r="GP51"/>
          <cell r="GQ51"/>
        </row>
        <row r="52">
          <cell r="GK52">
            <v>62067716.999999985</v>
          </cell>
          <cell r="GL52">
            <v>59690531.000000015</v>
          </cell>
          <cell r="GM52">
            <v>37886746.999999993</v>
          </cell>
          <cell r="GN52">
            <v>47502320.999999985</v>
          </cell>
          <cell r="GO52">
            <v>57067957</v>
          </cell>
          <cell r="GP52">
            <v>60389399</v>
          </cell>
          <cell r="GQ52">
            <v>55653878</v>
          </cell>
        </row>
        <row r="53">
          <cell r="GK53">
            <v>6882341.9999999981</v>
          </cell>
          <cell r="GL53">
            <v>10182930.000000004</v>
          </cell>
          <cell r="GM53">
            <v>8691019.9999999963</v>
          </cell>
          <cell r="GN53">
            <v>8563105</v>
          </cell>
          <cell r="GO53">
            <v>8529369</v>
          </cell>
          <cell r="GP53">
            <v>8715599</v>
          </cell>
          <cell r="GQ53">
            <v>8537215</v>
          </cell>
        </row>
        <row r="54">
          <cell r="GK54"/>
          <cell r="GL54"/>
          <cell r="GM54"/>
          <cell r="GN54"/>
          <cell r="GO54"/>
          <cell r="GP54">
            <v>27081</v>
          </cell>
          <cell r="GQ54"/>
        </row>
        <row r="55">
          <cell r="GK55"/>
          <cell r="GL55"/>
          <cell r="GM55"/>
          <cell r="GN55"/>
          <cell r="GO55"/>
          <cell r="GP55">
            <v>5396841</v>
          </cell>
          <cell r="GQ55"/>
        </row>
        <row r="56">
          <cell r="GK56">
            <v>-352372.93000000005</v>
          </cell>
          <cell r="GL56">
            <v>-1076353.78</v>
          </cell>
          <cell r="GM56">
            <v>745847.76999999979</v>
          </cell>
          <cell r="GN56">
            <v>-26241.170000000002</v>
          </cell>
          <cell r="GO56">
            <v>127081.63</v>
          </cell>
          <cell r="GP56">
            <v>370066.04000000004</v>
          </cell>
          <cell r="GQ56">
            <v>-132499.66</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Pivot"/>
      <sheetName val="Data"/>
      <sheetName val="SQL"/>
    </sheetNames>
    <sheetDataSet>
      <sheetData sheetId="0">
        <row r="3">
          <cell r="B3">
            <v>19676045.559999995</v>
          </cell>
          <cell r="C3">
            <v>25069901.41</v>
          </cell>
          <cell r="D3">
            <v>21290249.149999984</v>
          </cell>
          <cell r="E3">
            <v>26349151.640000004</v>
          </cell>
          <cell r="F3">
            <v>20867333.550000012</v>
          </cell>
          <cell r="G3">
            <v>21486977.259999979</v>
          </cell>
          <cell r="H3">
            <v>26568527.359999999</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and summary"/>
      <sheetName val="Feeder table"/>
      <sheetName val="Grouper"/>
    </sheetNames>
    <sheetDataSet>
      <sheetData sheetId="0">
        <row r="18">
          <cell r="AB18">
            <v>15302827.999999994</v>
          </cell>
          <cell r="AC18">
            <v>15257831.000000007</v>
          </cell>
          <cell r="AD18">
            <v>-15620871</v>
          </cell>
          <cell r="AE18">
            <v>16372420.000000011</v>
          </cell>
          <cell r="AF18">
            <v>31834279.000000007</v>
          </cell>
          <cell r="AG18">
            <v>34594773.000000007</v>
          </cell>
          <cell r="AH18">
            <v>30454467.999999981</v>
          </cell>
        </row>
        <row r="19">
          <cell r="AB19">
            <v>1757921</v>
          </cell>
          <cell r="AC19">
            <v>-574268</v>
          </cell>
          <cell r="AD19">
            <v>0</v>
          </cell>
          <cell r="AE19">
            <v>829401</v>
          </cell>
          <cell r="AF19">
            <v>0</v>
          </cell>
          <cell r="AG19">
            <v>-1181406</v>
          </cell>
          <cell r="AH19">
            <v>836606</v>
          </cell>
        </row>
        <row r="20">
          <cell r="AB20">
            <v>11559513.999999996</v>
          </cell>
          <cell r="AC20">
            <v>11559514.000000002</v>
          </cell>
          <cell r="AD20">
            <v>14233741.999999998</v>
          </cell>
          <cell r="AE20">
            <v>8401833.0000000037</v>
          </cell>
          <cell r="AF20">
            <v>7064718</v>
          </cell>
          <cell r="AG20">
            <v>8041039.9999999972</v>
          </cell>
          <cell r="AH20">
            <v>6576557</v>
          </cell>
        </row>
        <row r="21">
          <cell r="AB21">
            <v>33447454</v>
          </cell>
          <cell r="AC21">
            <v>33447454.000000011</v>
          </cell>
          <cell r="AD21">
            <v>39273875.999999993</v>
          </cell>
          <cell r="AE21">
            <v>21082173</v>
          </cell>
          <cell r="AF21">
            <v>18168960</v>
          </cell>
          <cell r="AG21">
            <v>18934992</v>
          </cell>
          <cell r="AH21">
            <v>17786247.000000004</v>
          </cell>
        </row>
      </sheetData>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2)"/>
      <sheetName val="Exhibit"/>
      <sheetName val="Pivot-Dollars"/>
      <sheetName val="Data-Dollars"/>
      <sheetName val="Pivot-Clients"/>
      <sheetName val="Data-Clients"/>
      <sheetName val="Pivot-Dollars16"/>
      <sheetName val="Sheet5"/>
      <sheetName val="Data-Dollars16"/>
      <sheetName val="Data-Clients16"/>
      <sheetName val="SQL-NNE Adjust (QTLY)"/>
      <sheetName val="SQL-MONTHLY"/>
    </sheetNames>
    <sheetDataSet>
      <sheetData sheetId="0"/>
      <sheetData sheetId="1">
        <row r="4">
          <cell r="K4">
            <v>4608875.58</v>
          </cell>
          <cell r="L4">
            <v>8275700.4000000004</v>
          </cell>
          <cell r="M4">
            <v>9576439.0700000022</v>
          </cell>
          <cell r="N4">
            <v>12204044.729999999</v>
          </cell>
          <cell r="O4">
            <v>9470911.6600000001</v>
          </cell>
          <cell r="P4">
            <v>13799106.719999999</v>
          </cell>
          <cell r="Q4">
            <v>57935078.159999996</v>
          </cell>
        </row>
        <row r="5">
          <cell r="K5">
            <v>1270.6199999999999</v>
          </cell>
          <cell r="L5">
            <v>4689.99</v>
          </cell>
          <cell r="M5">
            <v>11120.67</v>
          </cell>
          <cell r="N5">
            <v>12772.1</v>
          </cell>
          <cell r="O5">
            <v>7778.6</v>
          </cell>
          <cell r="P5">
            <v>9347.32</v>
          </cell>
          <cell r="Q5">
            <v>46979.299999999996</v>
          </cell>
        </row>
        <row r="6">
          <cell r="K6">
            <v>0</v>
          </cell>
          <cell r="L6">
            <v>0</v>
          </cell>
          <cell r="M6">
            <v>0</v>
          </cell>
          <cell r="N6">
            <v>0</v>
          </cell>
          <cell r="O6">
            <v>0</v>
          </cell>
          <cell r="P6">
            <v>0</v>
          </cell>
          <cell r="Q6">
            <v>0</v>
          </cell>
        </row>
        <row r="7">
          <cell r="K7">
            <v>323992.44</v>
          </cell>
          <cell r="L7">
            <v>310333.81</v>
          </cell>
          <cell r="M7">
            <v>334712.8</v>
          </cell>
          <cell r="N7">
            <v>361267.98</v>
          </cell>
          <cell r="O7">
            <v>361084.46</v>
          </cell>
          <cell r="P7">
            <v>409296.9</v>
          </cell>
          <cell r="Q7">
            <v>2100688.39</v>
          </cell>
        </row>
        <row r="8">
          <cell r="Q8">
            <v>0</v>
          </cell>
        </row>
        <row r="9">
          <cell r="Q9">
            <v>60082745.849999994</v>
          </cell>
        </row>
        <row r="10">
          <cell r="K10">
            <v>0</v>
          </cell>
          <cell r="L10">
            <v>0</v>
          </cell>
          <cell r="M10">
            <v>0</v>
          </cell>
          <cell r="N10">
            <v>0</v>
          </cell>
          <cell r="O10">
            <v>0</v>
          </cell>
          <cell r="P10">
            <v>0</v>
          </cell>
          <cell r="Q10">
            <v>0</v>
          </cell>
        </row>
        <row r="11">
          <cell r="K11">
            <v>0</v>
          </cell>
          <cell r="L11">
            <v>0</v>
          </cell>
          <cell r="M11">
            <v>394.5</v>
          </cell>
          <cell r="N11">
            <v>0</v>
          </cell>
          <cell r="O11">
            <v>0</v>
          </cell>
          <cell r="P11">
            <v>52.28</v>
          </cell>
          <cell r="Q11">
            <v>446.78</v>
          </cell>
        </row>
        <row r="12">
          <cell r="Q12">
            <v>60083192.629999995</v>
          </cell>
        </row>
        <row r="13">
          <cell r="K13">
            <v>38413</v>
          </cell>
          <cell r="L13">
            <v>40465</v>
          </cell>
          <cell r="M13">
            <v>44348</v>
          </cell>
          <cell r="N13">
            <v>47215</v>
          </cell>
          <cell r="O13">
            <v>48526</v>
          </cell>
          <cell r="P13">
            <v>51279</v>
          </cell>
          <cell r="Q13">
            <v>45041</v>
          </cell>
        </row>
        <row r="14">
          <cell r="K14">
            <v>128.44970817171273</v>
          </cell>
          <cell r="L14">
            <v>212.30011614975908</v>
          </cell>
          <cell r="M14">
            <v>223.74553621358353</v>
          </cell>
          <cell r="N14">
            <v>266.40018659324363</v>
          </cell>
          <cell r="O14">
            <v>202.77324980422867</v>
          </cell>
          <cell r="P14">
            <v>277.26365997776867</v>
          </cell>
          <cell r="Q14">
            <v>1333.96666659266</v>
          </cell>
        </row>
        <row r="15">
          <cell r="K15">
            <v>11457167.18</v>
          </cell>
          <cell r="L15">
            <v>31284953.710000005</v>
          </cell>
          <cell r="M15">
            <v>42431585.569999993</v>
          </cell>
          <cell r="N15">
            <v>61804746.140000001</v>
          </cell>
          <cell r="O15">
            <v>50688450.969999999</v>
          </cell>
          <cell r="P15">
            <v>72888903.719999984</v>
          </cell>
          <cell r="Q15">
            <v>270555807.28999996</v>
          </cell>
        </row>
        <row r="16">
          <cell r="K16">
            <v>2922.01</v>
          </cell>
          <cell r="L16">
            <v>117029.5</v>
          </cell>
          <cell r="M16">
            <v>106569.28</v>
          </cell>
          <cell r="N16">
            <v>244856.18000000002</v>
          </cell>
          <cell r="O16">
            <v>185379.5</v>
          </cell>
          <cell r="P16">
            <v>190215.86000000002</v>
          </cell>
          <cell r="Q16">
            <v>846972.33</v>
          </cell>
        </row>
        <row r="17">
          <cell r="K17">
            <v>19586.48</v>
          </cell>
          <cell r="L17">
            <v>37637.730000000003</v>
          </cell>
          <cell r="M17">
            <v>67601.39</v>
          </cell>
          <cell r="N17">
            <v>107855.37</v>
          </cell>
          <cell r="O17">
            <v>66138.33</v>
          </cell>
          <cell r="P17">
            <v>109977.88</v>
          </cell>
          <cell r="Q17">
            <v>408797.18</v>
          </cell>
        </row>
        <row r="18">
          <cell r="K18">
            <v>662801.59</v>
          </cell>
          <cell r="L18">
            <v>642036.63</v>
          </cell>
          <cell r="M18">
            <v>616427.04</v>
          </cell>
          <cell r="N18">
            <v>763576.75</v>
          </cell>
          <cell r="O18">
            <v>925348.75</v>
          </cell>
          <cell r="P18">
            <v>1137891.22</v>
          </cell>
          <cell r="Q18">
            <v>4748081.9799999995</v>
          </cell>
        </row>
        <row r="19">
          <cell r="Q19">
            <v>0</v>
          </cell>
        </row>
        <row r="20">
          <cell r="Q20">
            <v>276559658.77999997</v>
          </cell>
        </row>
        <row r="21">
          <cell r="K21">
            <v>0</v>
          </cell>
          <cell r="L21">
            <v>0</v>
          </cell>
          <cell r="M21">
            <v>0</v>
          </cell>
          <cell r="N21">
            <v>0</v>
          </cell>
          <cell r="O21">
            <v>0</v>
          </cell>
          <cell r="P21">
            <v>0</v>
          </cell>
          <cell r="Q21">
            <v>0</v>
          </cell>
        </row>
        <row r="22">
          <cell r="K22">
            <v>4944.5200000000004</v>
          </cell>
          <cell r="L22">
            <v>15261.19</v>
          </cell>
          <cell r="M22">
            <v>29370.18</v>
          </cell>
          <cell r="N22">
            <v>39866.51</v>
          </cell>
          <cell r="O22">
            <v>72776.710000000006</v>
          </cell>
          <cell r="P22">
            <v>97462.63</v>
          </cell>
          <cell r="Q22">
            <v>259681.74</v>
          </cell>
        </row>
        <row r="23">
          <cell r="Q23">
            <v>276819340.51999998</v>
          </cell>
        </row>
        <row r="24">
          <cell r="K24">
            <v>75174</v>
          </cell>
          <cell r="L24">
            <v>82124</v>
          </cell>
          <cell r="M24">
            <v>91371</v>
          </cell>
          <cell r="N24">
            <v>114290</v>
          </cell>
          <cell r="O24">
            <v>126063</v>
          </cell>
          <cell r="P24">
            <v>144174</v>
          </cell>
          <cell r="Q24">
            <v>105532.66666666667</v>
          </cell>
        </row>
        <row r="25">
          <cell r="K25">
            <v>161.59073323223453</v>
          </cell>
          <cell r="L25">
            <v>390.83482002825002</v>
          </cell>
          <cell r="M25">
            <v>473.36193606286452</v>
          </cell>
          <cell r="N25">
            <v>550.8872250415609</v>
          </cell>
          <cell r="O25">
            <v>412.00109675321067</v>
          </cell>
          <cell r="P25">
            <v>516.21271040548208</v>
          </cell>
          <cell r="Q25">
            <v>2623.0678069981486</v>
          </cell>
        </row>
        <row r="26">
          <cell r="K26">
            <v>16066042.76</v>
          </cell>
          <cell r="L26">
            <v>39560654.110000007</v>
          </cell>
          <cell r="M26">
            <v>52008024.639999993</v>
          </cell>
          <cell r="N26">
            <v>74008790.870000005</v>
          </cell>
          <cell r="O26">
            <v>60159362.629999995</v>
          </cell>
          <cell r="P26">
            <v>86688010.439999983</v>
          </cell>
          <cell r="Q26">
            <v>328490885.44999999</v>
          </cell>
        </row>
        <row r="27">
          <cell r="K27">
            <v>4192.63</v>
          </cell>
          <cell r="L27">
            <v>121719.49</v>
          </cell>
          <cell r="M27">
            <v>117689.95</v>
          </cell>
          <cell r="N27">
            <v>257628.28000000003</v>
          </cell>
          <cell r="O27">
            <v>193158.1</v>
          </cell>
          <cell r="P27">
            <v>199563.18000000002</v>
          </cell>
          <cell r="Q27">
            <v>893951.63000000012</v>
          </cell>
        </row>
        <row r="28">
          <cell r="K28">
            <v>19586.48</v>
          </cell>
          <cell r="L28">
            <v>37637.730000000003</v>
          </cell>
          <cell r="M28">
            <v>67601.39</v>
          </cell>
          <cell r="N28">
            <v>107855.37</v>
          </cell>
          <cell r="O28">
            <v>66138.33</v>
          </cell>
          <cell r="P28">
            <v>109977.88</v>
          </cell>
          <cell r="Q28">
            <v>408797.18</v>
          </cell>
        </row>
        <row r="29">
          <cell r="K29">
            <v>986794.03</v>
          </cell>
          <cell r="L29">
            <v>952370.44</v>
          </cell>
          <cell r="M29">
            <v>951139.84000000008</v>
          </cell>
          <cell r="N29">
            <v>1124844.73</v>
          </cell>
          <cell r="O29">
            <v>1286433.21</v>
          </cell>
          <cell r="P29">
            <v>1547188.12</v>
          </cell>
          <cell r="Q29">
            <v>6848770.3700000001</v>
          </cell>
        </row>
        <row r="30">
          <cell r="Q30">
            <v>0</v>
          </cell>
        </row>
        <row r="31">
          <cell r="Q31">
            <v>336642404.63</v>
          </cell>
        </row>
        <row r="32">
          <cell r="K32">
            <v>0</v>
          </cell>
          <cell r="L32">
            <v>0</v>
          </cell>
          <cell r="M32">
            <v>0</v>
          </cell>
          <cell r="N32">
            <v>0</v>
          </cell>
          <cell r="O32">
            <v>0</v>
          </cell>
          <cell r="P32">
            <v>0</v>
          </cell>
          <cell r="Q32">
            <v>0</v>
          </cell>
        </row>
        <row r="33">
          <cell r="K33">
            <v>4944.5200000000004</v>
          </cell>
          <cell r="L33">
            <v>15261.19</v>
          </cell>
          <cell r="M33">
            <v>29764.68</v>
          </cell>
          <cell r="N33">
            <v>39866.51</v>
          </cell>
          <cell r="O33">
            <v>72776.710000000006</v>
          </cell>
          <cell r="P33">
            <v>97514.91</v>
          </cell>
          <cell r="Q33">
            <v>260128.52</v>
          </cell>
        </row>
        <row r="34">
          <cell r="Q34">
            <v>336902533.14999998</v>
          </cell>
        </row>
        <row r="35">
          <cell r="K35">
            <v>113587</v>
          </cell>
          <cell r="L35">
            <v>122589</v>
          </cell>
          <cell r="M35">
            <v>135719</v>
          </cell>
          <cell r="N35">
            <v>161505</v>
          </cell>
          <cell r="O35">
            <v>174589</v>
          </cell>
          <cell r="P35">
            <v>195453</v>
          </cell>
          <cell r="Q35">
            <v>150573.66666666666</v>
          </cell>
        </row>
        <row r="36">
          <cell r="K36">
            <v>150.38305809643711</v>
          </cell>
          <cell r="L36">
            <v>331.90288655589001</v>
          </cell>
          <cell r="M36">
            <v>391.79643601853832</v>
          </cell>
          <cell r="N36">
            <v>467.71917748676526</v>
          </cell>
          <cell r="O36">
            <v>353.84743013591918</v>
          </cell>
          <cell r="P36">
            <v>453.52209753751532</v>
          </cell>
          <cell r="Q36">
            <v>2237.4598467859587</v>
          </cell>
        </row>
        <row r="43">
          <cell r="E43">
            <v>10521204.800000001</v>
          </cell>
          <cell r="F43">
            <v>11585142.010000002</v>
          </cell>
          <cell r="G43">
            <v>15624406.999999998</v>
          </cell>
          <cell r="H43">
            <v>12583815.389999999</v>
          </cell>
          <cell r="I43">
            <v>14215137.32</v>
          </cell>
          <cell r="J43">
            <v>16876867.440000001</v>
          </cell>
          <cell r="K43">
            <v>14920688.179999998</v>
          </cell>
          <cell r="L43">
            <v>16324691.770000001</v>
          </cell>
          <cell r="M43">
            <v>19481027.319999997</v>
          </cell>
          <cell r="N43">
            <v>14121506.749999998</v>
          </cell>
          <cell r="O43">
            <v>10832232</v>
          </cell>
          <cell r="P43">
            <v>8338166.6699999981</v>
          </cell>
          <cell r="Q43">
            <v>165424886.64999998</v>
          </cell>
        </row>
        <row r="44">
          <cell r="E44">
            <v>23031.040000000001</v>
          </cell>
          <cell r="F44">
            <v>17529.3</v>
          </cell>
          <cell r="G44">
            <v>10896.75</v>
          </cell>
          <cell r="H44">
            <v>8885.0499999999993</v>
          </cell>
          <cell r="I44">
            <v>11632.64</v>
          </cell>
          <cell r="J44">
            <v>39414.019999999997</v>
          </cell>
          <cell r="K44">
            <v>18382.77</v>
          </cell>
          <cell r="L44">
            <v>18988.990000000002</v>
          </cell>
          <cell r="M44">
            <v>26793.01</v>
          </cell>
          <cell r="N44">
            <v>13480.17</v>
          </cell>
          <cell r="O44">
            <v>5047.38</v>
          </cell>
          <cell r="P44">
            <v>3560.06</v>
          </cell>
          <cell r="Q44">
            <v>197641.18000000002</v>
          </cell>
        </row>
        <row r="45">
          <cell r="E45">
            <v>0</v>
          </cell>
          <cell r="F45">
            <v>0</v>
          </cell>
          <cell r="G45">
            <v>0</v>
          </cell>
          <cell r="H45">
            <v>0</v>
          </cell>
          <cell r="I45">
            <v>3208.66</v>
          </cell>
          <cell r="J45">
            <v>3419.68</v>
          </cell>
          <cell r="K45">
            <v>3208.66</v>
          </cell>
          <cell r="L45">
            <v>1377.34</v>
          </cell>
          <cell r="M45">
            <v>17303.490000000002</v>
          </cell>
          <cell r="N45">
            <v>5343.75</v>
          </cell>
          <cell r="O45">
            <v>6648.57</v>
          </cell>
          <cell r="P45">
            <v>0</v>
          </cell>
          <cell r="Q45">
            <v>40510.15</v>
          </cell>
        </row>
        <row r="46">
          <cell r="E46">
            <v>446344.44</v>
          </cell>
          <cell r="F46">
            <v>450337.01</v>
          </cell>
          <cell r="G46">
            <v>524404.22</v>
          </cell>
          <cell r="H46">
            <v>488971.95</v>
          </cell>
          <cell r="I46">
            <v>500374.87</v>
          </cell>
          <cell r="J46">
            <v>493332.96</v>
          </cell>
          <cell r="K46">
            <v>482464.63</v>
          </cell>
          <cell r="L46">
            <v>502387.01</v>
          </cell>
          <cell r="M46">
            <v>519291.09</v>
          </cell>
          <cell r="N46">
            <v>489246.82</v>
          </cell>
          <cell r="O46">
            <v>380141.69</v>
          </cell>
          <cell r="P46">
            <v>311797.59000000003</v>
          </cell>
          <cell r="Q46">
            <v>5589094.2800000003</v>
          </cell>
        </row>
        <row r="47">
          <cell r="Q47">
            <v>0</v>
          </cell>
        </row>
        <row r="48">
          <cell r="Q48">
            <v>171252132.25999999</v>
          </cell>
        </row>
        <row r="49">
          <cell r="E49">
            <v>232727.94</v>
          </cell>
          <cell r="F49">
            <v>132988.91</v>
          </cell>
          <cell r="G49">
            <v>47831.03</v>
          </cell>
          <cell r="H49">
            <v>0</v>
          </cell>
          <cell r="I49">
            <v>0</v>
          </cell>
          <cell r="J49">
            <v>0</v>
          </cell>
          <cell r="K49">
            <v>0</v>
          </cell>
          <cell r="L49">
            <v>0</v>
          </cell>
          <cell r="M49">
            <v>-4241.03</v>
          </cell>
          <cell r="N49">
            <v>0</v>
          </cell>
          <cell r="O49">
            <v>0</v>
          </cell>
          <cell r="P49">
            <v>-120.42</v>
          </cell>
          <cell r="Q49">
            <v>409186.43</v>
          </cell>
        </row>
        <row r="50">
          <cell r="E50">
            <v>360</v>
          </cell>
          <cell r="F50">
            <v>0</v>
          </cell>
          <cell r="G50">
            <v>4636.32</v>
          </cell>
          <cell r="H50">
            <v>400</v>
          </cell>
          <cell r="I50">
            <v>2434.16</v>
          </cell>
          <cell r="J50">
            <v>4737.3599999999997</v>
          </cell>
          <cell r="K50">
            <v>3463.2</v>
          </cell>
          <cell r="L50">
            <v>2866.95</v>
          </cell>
          <cell r="M50">
            <v>3411.72</v>
          </cell>
          <cell r="N50">
            <v>3676.01</v>
          </cell>
          <cell r="O50">
            <v>18270.759999999998</v>
          </cell>
          <cell r="P50">
            <v>3199.88</v>
          </cell>
          <cell r="Q50">
            <v>47456.359999999993</v>
          </cell>
        </row>
        <row r="51">
          <cell r="Q51">
            <v>171708775.05000001</v>
          </cell>
        </row>
        <row r="52">
          <cell r="E52">
            <v>57057</v>
          </cell>
          <cell r="F52">
            <v>57086</v>
          </cell>
          <cell r="G52">
            <v>60380</v>
          </cell>
          <cell r="H52">
            <v>60321</v>
          </cell>
          <cell r="I52">
            <v>65052</v>
          </cell>
          <cell r="J52">
            <v>68416</v>
          </cell>
          <cell r="K52">
            <v>65196</v>
          </cell>
          <cell r="L52">
            <v>73234</v>
          </cell>
          <cell r="M52">
            <v>72226</v>
          </cell>
          <cell r="N52">
            <v>63800</v>
          </cell>
          <cell r="O52">
            <v>50488</v>
          </cell>
          <cell r="P52">
            <v>63482</v>
          </cell>
          <cell r="Q52">
            <v>63061.5</v>
          </cell>
        </row>
        <row r="53">
          <cell r="E53">
            <v>196.70975024975021</v>
          </cell>
          <cell r="F53">
            <v>213.46735153978213</v>
          </cell>
          <cell r="G53">
            <v>268.50240675720437</v>
          </cell>
          <cell r="H53">
            <v>216.87426252880422</v>
          </cell>
          <cell r="I53">
            <v>226.47708986656829</v>
          </cell>
          <cell r="J53">
            <v>254.58622924462117</v>
          </cell>
          <cell r="K53">
            <v>236.64346647033557</v>
          </cell>
          <cell r="L53">
            <v>230.08864816888334</v>
          </cell>
          <cell r="M53">
            <v>277.5120538310303</v>
          </cell>
          <cell r="N53">
            <v>229.36134012539182</v>
          </cell>
          <cell r="O53">
            <v>222.67351449849471</v>
          </cell>
          <cell r="P53">
            <v>136.36312309000976</v>
          </cell>
          <cell r="Q53">
            <v>2722.8780642705933</v>
          </cell>
        </row>
        <row r="54">
          <cell r="E54">
            <v>56430010.25</v>
          </cell>
          <cell r="F54">
            <v>62761944.829999991</v>
          </cell>
          <cell r="G54">
            <v>81075480.409999996</v>
          </cell>
          <cell r="H54">
            <v>62411649.480000012</v>
          </cell>
          <cell r="I54">
            <v>71194220.799999997</v>
          </cell>
          <cell r="J54">
            <v>83632427.960000008</v>
          </cell>
          <cell r="K54">
            <v>73653258.140000001</v>
          </cell>
          <cell r="L54">
            <v>82350182.660000026</v>
          </cell>
          <cell r="M54">
            <v>99473678.299999997</v>
          </cell>
          <cell r="N54">
            <v>84240550.25999999</v>
          </cell>
          <cell r="O54">
            <v>93655776.040000007</v>
          </cell>
          <cell r="P54">
            <v>120756203.25999999</v>
          </cell>
          <cell r="Q54">
            <v>971635382.38999987</v>
          </cell>
        </row>
        <row r="55">
          <cell r="E55">
            <v>189936.38</v>
          </cell>
          <cell r="F55">
            <v>150435.92000000001</v>
          </cell>
          <cell r="G55">
            <v>246471.26</v>
          </cell>
          <cell r="H55">
            <v>229524.43999999997</v>
          </cell>
          <cell r="I55">
            <v>188685.4</v>
          </cell>
          <cell r="J55">
            <v>215599.18</v>
          </cell>
          <cell r="K55">
            <v>234261.79</v>
          </cell>
          <cell r="L55">
            <v>197098.47</v>
          </cell>
          <cell r="M55">
            <v>264124.79999999999</v>
          </cell>
          <cell r="N55">
            <v>284300.26</v>
          </cell>
          <cell r="O55">
            <v>250403.5</v>
          </cell>
          <cell r="P55">
            <v>294829.24</v>
          </cell>
          <cell r="Q55">
            <v>2745670.6400000006</v>
          </cell>
        </row>
        <row r="56">
          <cell r="E56">
            <v>101087.55</v>
          </cell>
          <cell r="F56">
            <v>79024.789999999994</v>
          </cell>
          <cell r="G56">
            <v>117758.34</v>
          </cell>
          <cell r="H56">
            <v>162896.26999999999</v>
          </cell>
          <cell r="I56">
            <v>141408.59</v>
          </cell>
          <cell r="J56">
            <v>119792.31</v>
          </cell>
          <cell r="K56">
            <v>185185.92000000001</v>
          </cell>
          <cell r="L56">
            <v>147677.29</v>
          </cell>
          <cell r="M56">
            <v>120704.03</v>
          </cell>
          <cell r="N56">
            <v>99615.2</v>
          </cell>
          <cell r="O56">
            <v>76993.06</v>
          </cell>
          <cell r="P56">
            <v>214626.49</v>
          </cell>
          <cell r="Q56">
            <v>1566769.8399999999</v>
          </cell>
        </row>
        <row r="57">
          <cell r="E57">
            <v>1321931.1399999999</v>
          </cell>
          <cell r="F57">
            <v>1389322.21</v>
          </cell>
          <cell r="G57">
            <v>1538203.32</v>
          </cell>
          <cell r="H57">
            <v>1491058.01</v>
          </cell>
          <cell r="I57">
            <v>1501150.15</v>
          </cell>
          <cell r="J57">
            <v>1488698.58</v>
          </cell>
          <cell r="K57">
            <v>1527792.79</v>
          </cell>
          <cell r="L57">
            <v>1569509.75</v>
          </cell>
          <cell r="M57">
            <v>1663201.68</v>
          </cell>
          <cell r="N57">
            <v>1816328.24</v>
          </cell>
          <cell r="O57">
            <v>2055374.69</v>
          </cell>
          <cell r="P57">
            <v>2172677.2799999998</v>
          </cell>
          <cell r="Q57">
            <v>19535247.84</v>
          </cell>
        </row>
        <row r="58">
          <cell r="Q58">
            <v>0</v>
          </cell>
        </row>
        <row r="59">
          <cell r="Q59">
            <v>995483070.71000004</v>
          </cell>
        </row>
        <row r="60">
          <cell r="E60">
            <v>1347917.34</v>
          </cell>
          <cell r="F60">
            <v>300323.59999999998</v>
          </cell>
          <cell r="G60">
            <v>88468.1</v>
          </cell>
          <cell r="H60">
            <v>0</v>
          </cell>
          <cell r="I60">
            <v>0</v>
          </cell>
          <cell r="J60">
            <v>0</v>
          </cell>
          <cell r="K60">
            <v>0</v>
          </cell>
          <cell r="L60">
            <v>0</v>
          </cell>
          <cell r="M60">
            <v>-114734.05</v>
          </cell>
          <cell r="N60">
            <v>0</v>
          </cell>
          <cell r="O60">
            <v>0</v>
          </cell>
          <cell r="P60">
            <v>-8389.17</v>
          </cell>
          <cell r="Q60">
            <v>1613585.82</v>
          </cell>
        </row>
        <row r="61">
          <cell r="E61">
            <v>67618.789999999994</v>
          </cell>
          <cell r="F61">
            <v>75719.360000000001</v>
          </cell>
          <cell r="G61">
            <v>94344.12</v>
          </cell>
          <cell r="H61">
            <v>50475.35</v>
          </cell>
          <cell r="I61">
            <v>100653.75999999999</v>
          </cell>
          <cell r="J61">
            <v>127096.27</v>
          </cell>
          <cell r="K61">
            <v>70911.37</v>
          </cell>
          <cell r="L61">
            <v>110351.64</v>
          </cell>
          <cell r="M61">
            <v>117585.95</v>
          </cell>
          <cell r="N61">
            <v>122940.18</v>
          </cell>
          <cell r="O61">
            <v>154102.35</v>
          </cell>
          <cell r="P61">
            <v>118754.35</v>
          </cell>
          <cell r="Q61">
            <v>1210553.4900000002</v>
          </cell>
        </row>
        <row r="62">
          <cell r="Q62">
            <v>998307210.0200001</v>
          </cell>
        </row>
        <row r="63">
          <cell r="E63">
            <v>166313</v>
          </cell>
          <cell r="F63">
            <v>164589</v>
          </cell>
          <cell r="G63">
            <v>175924</v>
          </cell>
          <cell r="H63">
            <v>180706</v>
          </cell>
          <cell r="I63">
            <v>186477</v>
          </cell>
          <cell r="J63">
            <v>195625</v>
          </cell>
          <cell r="K63">
            <v>199866</v>
          </cell>
          <cell r="L63">
            <v>217664</v>
          </cell>
          <cell r="M63">
            <v>224449</v>
          </cell>
          <cell r="N63">
            <v>235118</v>
          </cell>
          <cell r="O63">
            <v>261360</v>
          </cell>
          <cell r="P63">
            <v>292363</v>
          </cell>
          <cell r="Q63">
            <v>208371.16666666666</v>
          </cell>
        </row>
        <row r="64">
          <cell r="E64">
            <v>357.50964416491797</v>
          </cell>
          <cell r="F64">
            <v>393.44531353857178</v>
          </cell>
          <cell r="G64">
            <v>472.70824645869806</v>
          </cell>
          <cell r="H64">
            <v>356.07895448961301</v>
          </cell>
          <cell r="I64">
            <v>392.14551231519181</v>
          </cell>
          <cell r="J64">
            <v>437.48812421725245</v>
          </cell>
          <cell r="K64">
            <v>378.61071923188547</v>
          </cell>
          <cell r="L64">
            <v>387.63791812150851</v>
          </cell>
          <cell r="M64">
            <v>452.3279707639598</v>
          </cell>
          <cell r="N64">
            <v>368.17144642264736</v>
          </cell>
          <cell r="O64">
            <v>368.0465627486991</v>
          </cell>
          <cell r="P64">
            <v>422.5866523807731</v>
          </cell>
          <cell r="Q64">
            <v>4791.0045616676016</v>
          </cell>
        </row>
        <row r="65">
          <cell r="E65">
            <v>66951215.049999997</v>
          </cell>
          <cell r="F65">
            <v>74347086.839999989</v>
          </cell>
          <cell r="G65">
            <v>96699887.409999996</v>
          </cell>
          <cell r="H65">
            <v>74995464.870000005</v>
          </cell>
          <cell r="I65">
            <v>85409358.120000005</v>
          </cell>
          <cell r="J65">
            <v>100509295.40000001</v>
          </cell>
          <cell r="K65">
            <v>88573946.319999993</v>
          </cell>
          <cell r="L65">
            <v>98674874.430000022</v>
          </cell>
          <cell r="M65">
            <v>118954705.61999999</v>
          </cell>
          <cell r="N65">
            <v>98362057.00999999</v>
          </cell>
          <cell r="O65">
            <v>104488008.04000001</v>
          </cell>
          <cell r="P65">
            <v>129094369.92999999</v>
          </cell>
          <cell r="Q65">
            <v>1137060269.04</v>
          </cell>
        </row>
        <row r="66">
          <cell r="E66">
            <v>212967.42</v>
          </cell>
          <cell r="F66">
            <v>167965.22</v>
          </cell>
          <cell r="G66">
            <v>257368.01</v>
          </cell>
          <cell r="H66">
            <v>238409.48999999996</v>
          </cell>
          <cell r="I66">
            <v>200318.03999999998</v>
          </cell>
          <cell r="J66">
            <v>255013.19999999998</v>
          </cell>
          <cell r="K66">
            <v>252644.56</v>
          </cell>
          <cell r="L66">
            <v>216087.46</v>
          </cell>
          <cell r="M66">
            <v>290917.81</v>
          </cell>
          <cell r="N66">
            <v>297780.43</v>
          </cell>
          <cell r="O66">
            <v>255450.88</v>
          </cell>
          <cell r="P66">
            <v>298389.3</v>
          </cell>
          <cell r="Q66">
            <v>2943311.82</v>
          </cell>
        </row>
        <row r="67">
          <cell r="E67">
            <v>101087.55</v>
          </cell>
          <cell r="F67">
            <v>79024.789999999994</v>
          </cell>
          <cell r="G67">
            <v>117758.34</v>
          </cell>
          <cell r="H67">
            <v>162896.26999999999</v>
          </cell>
          <cell r="I67">
            <v>144617.25</v>
          </cell>
          <cell r="J67">
            <v>123211.98999999999</v>
          </cell>
          <cell r="K67">
            <v>188394.58000000002</v>
          </cell>
          <cell r="L67">
            <v>149054.63</v>
          </cell>
          <cell r="M67">
            <v>138007.51999999999</v>
          </cell>
          <cell r="N67">
            <v>104958.95</v>
          </cell>
          <cell r="O67">
            <v>83641.63</v>
          </cell>
          <cell r="P67">
            <v>214626.49</v>
          </cell>
          <cell r="Q67">
            <v>1607279.99</v>
          </cell>
        </row>
        <row r="68">
          <cell r="E68">
            <v>1768275.5799999998</v>
          </cell>
          <cell r="F68">
            <v>1839659.22</v>
          </cell>
          <cell r="G68">
            <v>2062607.54</v>
          </cell>
          <cell r="H68">
            <v>1980029.96</v>
          </cell>
          <cell r="I68">
            <v>2001525.02</v>
          </cell>
          <cell r="J68">
            <v>1982031.54</v>
          </cell>
          <cell r="K68">
            <v>2010257.42</v>
          </cell>
          <cell r="L68">
            <v>2071896.76</v>
          </cell>
          <cell r="M68">
            <v>2182492.77</v>
          </cell>
          <cell r="N68">
            <v>2305575.06</v>
          </cell>
          <cell r="O68">
            <v>2435516.38</v>
          </cell>
          <cell r="P68">
            <v>2484474.8699999996</v>
          </cell>
          <cell r="Q68">
            <v>25124342.119999997</v>
          </cell>
        </row>
        <row r="69">
          <cell r="Q69">
            <v>0</v>
          </cell>
        </row>
        <row r="70">
          <cell r="Q70">
            <v>1166735202.97</v>
          </cell>
        </row>
        <row r="71">
          <cell r="E71">
            <v>1580645.28</v>
          </cell>
          <cell r="F71">
            <v>433312.51</v>
          </cell>
          <cell r="G71">
            <v>136299.13</v>
          </cell>
          <cell r="H71">
            <v>0</v>
          </cell>
          <cell r="I71">
            <v>0</v>
          </cell>
          <cell r="J71">
            <v>0</v>
          </cell>
          <cell r="K71">
            <v>0</v>
          </cell>
          <cell r="L71">
            <v>0</v>
          </cell>
          <cell r="M71">
            <v>-118975.08</v>
          </cell>
          <cell r="N71">
            <v>0</v>
          </cell>
          <cell r="O71">
            <v>0</v>
          </cell>
          <cell r="P71">
            <v>-8509.59</v>
          </cell>
          <cell r="Q71">
            <v>2022772.2499999998</v>
          </cell>
        </row>
        <row r="72">
          <cell r="E72">
            <v>67978.789999999994</v>
          </cell>
          <cell r="F72">
            <v>75719.360000000001</v>
          </cell>
          <cell r="G72">
            <v>98980.44</v>
          </cell>
          <cell r="H72">
            <v>50875.35</v>
          </cell>
          <cell r="I72">
            <v>103087.92</v>
          </cell>
          <cell r="J72">
            <v>131833.63</v>
          </cell>
          <cell r="K72">
            <v>74374.569999999992</v>
          </cell>
          <cell r="L72">
            <v>113218.59</v>
          </cell>
          <cell r="M72">
            <v>120997.67</v>
          </cell>
          <cell r="N72">
            <v>126616.18999999999</v>
          </cell>
          <cell r="O72">
            <v>172373.11000000002</v>
          </cell>
          <cell r="P72">
            <v>121954.23000000001</v>
          </cell>
          <cell r="Q72">
            <v>1258009.8499999999</v>
          </cell>
        </row>
        <row r="73">
          <cell r="Q73">
            <v>1170015985.0699999</v>
          </cell>
        </row>
        <row r="74">
          <cell r="E74">
            <v>223370</v>
          </cell>
          <cell r="F74">
            <v>221675</v>
          </cell>
          <cell r="G74">
            <v>236304</v>
          </cell>
          <cell r="H74">
            <v>241027</v>
          </cell>
          <cell r="I74">
            <v>251529</v>
          </cell>
          <cell r="J74">
            <v>264041</v>
          </cell>
          <cell r="K74">
            <v>265062</v>
          </cell>
          <cell r="L74">
            <v>290898</v>
          </cell>
          <cell r="M74">
            <v>296675</v>
          </cell>
          <cell r="N74">
            <v>298918</v>
          </cell>
          <cell r="O74">
            <v>311848</v>
          </cell>
          <cell r="P74">
            <v>355845</v>
          </cell>
          <cell r="Q74">
            <v>271432.66666666669</v>
          </cell>
        </row>
        <row r="75">
          <cell r="E75">
            <v>316.43537480413664</v>
          </cell>
          <cell r="F75">
            <v>347.0971825420097</v>
          </cell>
          <cell r="G75">
            <v>420.52991430530165</v>
          </cell>
          <cell r="H75">
            <v>321.24067403236972</v>
          </cell>
          <cell r="I75">
            <v>349.29931081505515</v>
          </cell>
          <cell r="J75">
            <v>390.09618112338615</v>
          </cell>
          <cell r="K75">
            <v>343.69173042533441</v>
          </cell>
          <cell r="L75">
            <v>347.97465733693605</v>
          </cell>
          <cell r="M75">
            <v>409.76875810230047</v>
          </cell>
          <cell r="N75">
            <v>338.54430860637365</v>
          </cell>
          <cell r="O75">
            <v>344.51075536799976</v>
          </cell>
          <cell r="P75">
            <v>371.52497640826761</v>
          </cell>
          <cell r="Q75">
            <v>4310.5201722342426</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P-PIP"/>
      <sheetName val="HMO + PACE"/>
      <sheetName val="PCPP"/>
      <sheetName val="ACC"/>
      <sheetName val="data"/>
      <sheetName val="ACC Pivot Bret"/>
      <sheetName val="ACC pivot data"/>
      <sheetName val="aug july hmo"/>
      <sheetName val="Update for Parents migration"/>
      <sheetName val="pivot"/>
      <sheetName val="ACC Pivot"/>
    </sheetNames>
    <sheetDataSet>
      <sheetData sheetId="0"/>
      <sheetData sheetId="1">
        <row r="36">
          <cell r="B36">
            <v>1544</v>
          </cell>
          <cell r="C36">
            <v>548</v>
          </cell>
          <cell r="D36">
            <v>3051</v>
          </cell>
          <cell r="E36">
            <v>283</v>
          </cell>
          <cell r="F36">
            <v>7638</v>
          </cell>
          <cell r="G36">
            <v>5166</v>
          </cell>
          <cell r="H36">
            <v>15217</v>
          </cell>
          <cell r="I36">
            <v>6</v>
          </cell>
          <cell r="J36">
            <v>4</v>
          </cell>
          <cell r="M36">
            <v>700</v>
          </cell>
          <cell r="N36">
            <v>81</v>
          </cell>
          <cell r="P36">
            <v>2</v>
          </cell>
          <cell r="Q36">
            <v>34240</v>
          </cell>
        </row>
        <row r="37">
          <cell r="B37">
            <v>1529</v>
          </cell>
          <cell r="C37">
            <v>545</v>
          </cell>
          <cell r="D37">
            <v>3013</v>
          </cell>
          <cell r="E37">
            <v>275</v>
          </cell>
          <cell r="F37">
            <v>7312</v>
          </cell>
          <cell r="G37">
            <v>5047</v>
          </cell>
          <cell r="H37">
            <v>14766</v>
          </cell>
          <cell r="I37">
            <v>6</v>
          </cell>
          <cell r="J37">
            <v>5</v>
          </cell>
          <cell r="K37">
            <v>1</v>
          </cell>
          <cell r="L37">
            <v>1</v>
          </cell>
          <cell r="M37">
            <v>652</v>
          </cell>
          <cell r="N37">
            <v>71</v>
          </cell>
          <cell r="O37">
            <v>0</v>
          </cell>
          <cell r="P37">
            <v>3</v>
          </cell>
          <cell r="Q37">
            <v>33226</v>
          </cell>
        </row>
        <row r="38">
          <cell r="B38">
            <v>1562</v>
          </cell>
          <cell r="C38">
            <v>549</v>
          </cell>
          <cell r="D38">
            <v>3009</v>
          </cell>
          <cell r="E38">
            <v>285</v>
          </cell>
          <cell r="F38">
            <v>7283</v>
          </cell>
          <cell r="G38">
            <v>5046</v>
          </cell>
          <cell r="H38">
            <v>14833</v>
          </cell>
          <cell r="I38">
            <v>6</v>
          </cell>
          <cell r="J38">
            <v>3</v>
          </cell>
          <cell r="K38">
            <v>1</v>
          </cell>
          <cell r="L38">
            <v>0</v>
          </cell>
          <cell r="M38">
            <v>615</v>
          </cell>
          <cell r="N38">
            <v>71</v>
          </cell>
          <cell r="O38">
            <v>0</v>
          </cell>
          <cell r="P38">
            <v>2</v>
          </cell>
          <cell r="Q38">
            <v>33265</v>
          </cell>
        </row>
        <row r="39">
          <cell r="B39">
            <v>1573</v>
          </cell>
          <cell r="C39">
            <v>550</v>
          </cell>
          <cell r="D39">
            <v>3030</v>
          </cell>
          <cell r="E39">
            <v>301</v>
          </cell>
          <cell r="F39">
            <v>7374</v>
          </cell>
          <cell r="G39">
            <v>4854</v>
          </cell>
          <cell r="H39">
            <v>14775</v>
          </cell>
          <cell r="I39">
            <v>6</v>
          </cell>
          <cell r="J39">
            <v>3</v>
          </cell>
          <cell r="K39">
            <v>0</v>
          </cell>
          <cell r="L39">
            <v>0</v>
          </cell>
          <cell r="M39">
            <v>594</v>
          </cell>
          <cell r="N39">
            <v>63</v>
          </cell>
          <cell r="O39">
            <v>0</v>
          </cell>
          <cell r="P39">
            <v>2</v>
          </cell>
          <cell r="Q39">
            <v>33125</v>
          </cell>
        </row>
        <row r="40">
          <cell r="B40">
            <v>1598</v>
          </cell>
          <cell r="C40">
            <v>560</v>
          </cell>
          <cell r="D40">
            <v>3036</v>
          </cell>
          <cell r="E40">
            <v>317</v>
          </cell>
          <cell r="F40">
            <v>7431</v>
          </cell>
          <cell r="G40">
            <v>4854</v>
          </cell>
          <cell r="H40">
            <v>15140</v>
          </cell>
          <cell r="I40">
            <v>6</v>
          </cell>
          <cell r="J40">
            <v>3</v>
          </cell>
          <cell r="K40">
            <v>1</v>
          </cell>
          <cell r="L40">
            <v>0</v>
          </cell>
          <cell r="M40">
            <v>578</v>
          </cell>
          <cell r="N40">
            <v>68</v>
          </cell>
          <cell r="O40">
            <v>0</v>
          </cell>
          <cell r="P40">
            <v>4</v>
          </cell>
          <cell r="Q40">
            <v>33596</v>
          </cell>
        </row>
        <row r="41">
          <cell r="B41">
            <v>1573</v>
          </cell>
          <cell r="C41">
            <v>560</v>
          </cell>
          <cell r="D41">
            <v>2964</v>
          </cell>
          <cell r="E41">
            <v>323</v>
          </cell>
          <cell r="F41">
            <v>7498</v>
          </cell>
          <cell r="G41">
            <v>4923</v>
          </cell>
          <cell r="H41">
            <v>15116</v>
          </cell>
          <cell r="I41">
            <v>6</v>
          </cell>
          <cell r="J41">
            <v>13</v>
          </cell>
          <cell r="K41">
            <v>0</v>
          </cell>
          <cell r="L41">
            <v>0</v>
          </cell>
          <cell r="M41">
            <v>563</v>
          </cell>
          <cell r="N41">
            <v>66</v>
          </cell>
          <cell r="O41">
            <v>0</v>
          </cell>
          <cell r="P41">
            <v>3</v>
          </cell>
          <cell r="Q41">
            <v>33608</v>
          </cell>
        </row>
        <row r="42">
          <cell r="B42">
            <v>1679</v>
          </cell>
          <cell r="C42">
            <v>590</v>
          </cell>
          <cell r="D42">
            <v>3268</v>
          </cell>
          <cell r="E42">
            <v>323</v>
          </cell>
          <cell r="F42">
            <v>7902</v>
          </cell>
          <cell r="G42">
            <v>4739</v>
          </cell>
          <cell r="H42">
            <v>16220</v>
          </cell>
          <cell r="I42">
            <v>6</v>
          </cell>
          <cell r="J42">
            <v>4</v>
          </cell>
          <cell r="K42">
            <v>0</v>
          </cell>
          <cell r="L42">
            <v>2</v>
          </cell>
          <cell r="M42">
            <v>622</v>
          </cell>
          <cell r="N42">
            <v>73</v>
          </cell>
          <cell r="O42">
            <v>0</v>
          </cell>
          <cell r="P42">
            <v>0</v>
          </cell>
          <cell r="Q42">
            <v>35428</v>
          </cell>
        </row>
        <row r="85">
          <cell r="B85">
            <v>2526</v>
          </cell>
          <cell r="C85">
            <v>914</v>
          </cell>
          <cell r="D85">
            <v>4285</v>
          </cell>
          <cell r="E85">
            <v>47</v>
          </cell>
          <cell r="F85">
            <v>9271</v>
          </cell>
          <cell r="G85">
            <v>4185</v>
          </cell>
          <cell r="H85">
            <v>13795</v>
          </cell>
          <cell r="I85">
            <v>2</v>
          </cell>
          <cell r="J85">
            <v>34350</v>
          </cell>
          <cell r="K85">
            <v>4496</v>
          </cell>
          <cell r="L85">
            <v>276</v>
          </cell>
          <cell r="M85">
            <v>646</v>
          </cell>
          <cell r="N85">
            <v>67</v>
          </cell>
          <cell r="O85">
            <v>0</v>
          </cell>
          <cell r="P85">
            <v>2</v>
          </cell>
          <cell r="Q85">
            <v>74862</v>
          </cell>
        </row>
        <row r="86">
          <cell r="B86">
            <v>2570</v>
          </cell>
          <cell r="C86">
            <v>914</v>
          </cell>
          <cell r="D86">
            <v>4270</v>
          </cell>
          <cell r="E86">
            <v>48</v>
          </cell>
          <cell r="F86">
            <v>9130</v>
          </cell>
          <cell r="G86">
            <v>4142</v>
          </cell>
          <cell r="H86">
            <v>14448</v>
          </cell>
          <cell r="I86">
            <v>1</v>
          </cell>
          <cell r="J86">
            <v>34158</v>
          </cell>
          <cell r="K86">
            <v>4554</v>
          </cell>
          <cell r="L86">
            <v>269</v>
          </cell>
          <cell r="M86">
            <v>665</v>
          </cell>
          <cell r="N86">
            <v>65</v>
          </cell>
          <cell r="O86">
            <v>0</v>
          </cell>
          <cell r="P86">
            <v>3</v>
          </cell>
          <cell r="Q86">
            <v>75237</v>
          </cell>
        </row>
        <row r="87">
          <cell r="B87">
            <v>2602</v>
          </cell>
          <cell r="C87">
            <v>919</v>
          </cell>
          <cell r="D87">
            <v>4256</v>
          </cell>
          <cell r="E87">
            <v>42</v>
          </cell>
          <cell r="F87">
            <v>9164</v>
          </cell>
          <cell r="G87">
            <v>4119</v>
          </cell>
          <cell r="H87">
            <v>14978</v>
          </cell>
          <cell r="I87">
            <v>1</v>
          </cell>
          <cell r="J87">
            <v>33849</v>
          </cell>
          <cell r="K87">
            <v>4561</v>
          </cell>
          <cell r="L87">
            <v>239</v>
          </cell>
          <cell r="M87">
            <v>615</v>
          </cell>
          <cell r="N87">
            <v>64</v>
          </cell>
          <cell r="O87">
            <v>0</v>
          </cell>
          <cell r="P87">
            <v>4</v>
          </cell>
          <cell r="Q87">
            <v>75413</v>
          </cell>
        </row>
        <row r="88">
          <cell r="B88">
            <v>2601</v>
          </cell>
          <cell r="C88">
            <v>925</v>
          </cell>
          <cell r="D88">
            <v>4226</v>
          </cell>
          <cell r="E88">
            <v>46</v>
          </cell>
          <cell r="F88">
            <v>9271</v>
          </cell>
          <cell r="G88">
            <v>3915</v>
          </cell>
          <cell r="H88">
            <v>14988</v>
          </cell>
          <cell r="I88">
            <v>1</v>
          </cell>
          <cell r="J88">
            <v>33631</v>
          </cell>
          <cell r="K88">
            <v>4556</v>
          </cell>
          <cell r="L88">
            <v>239</v>
          </cell>
          <cell r="M88">
            <v>598</v>
          </cell>
          <cell r="N88">
            <v>64</v>
          </cell>
          <cell r="O88">
            <v>0</v>
          </cell>
          <cell r="P88">
            <v>2</v>
          </cell>
          <cell r="Q88">
            <v>75063</v>
          </cell>
        </row>
        <row r="89">
          <cell r="B89">
            <v>2661</v>
          </cell>
          <cell r="C89">
            <v>934</v>
          </cell>
          <cell r="D89">
            <v>4203</v>
          </cell>
          <cell r="E89">
            <v>48</v>
          </cell>
          <cell r="F89">
            <v>9362</v>
          </cell>
          <cell r="G89">
            <v>3940</v>
          </cell>
          <cell r="H89">
            <v>15684</v>
          </cell>
          <cell r="I89">
            <v>1</v>
          </cell>
          <cell r="J89">
            <v>33728</v>
          </cell>
          <cell r="K89">
            <v>4322</v>
          </cell>
          <cell r="L89">
            <v>216</v>
          </cell>
          <cell r="M89">
            <v>583</v>
          </cell>
          <cell r="N89">
            <v>50</v>
          </cell>
          <cell r="O89">
            <v>0</v>
          </cell>
          <cell r="P89">
            <v>0</v>
          </cell>
          <cell r="Q89">
            <v>75732</v>
          </cell>
        </row>
        <row r="90">
          <cell r="B90">
            <v>2616</v>
          </cell>
          <cell r="C90">
            <v>918</v>
          </cell>
          <cell r="D90">
            <v>4118</v>
          </cell>
          <cell r="E90">
            <v>49</v>
          </cell>
          <cell r="F90">
            <v>9405</v>
          </cell>
          <cell r="G90">
            <v>3959</v>
          </cell>
          <cell r="H90">
            <v>15988</v>
          </cell>
          <cell r="I90">
            <v>1</v>
          </cell>
          <cell r="J90">
            <v>33434</v>
          </cell>
          <cell r="K90">
            <v>4429</v>
          </cell>
          <cell r="L90">
            <v>210</v>
          </cell>
          <cell r="M90">
            <v>552</v>
          </cell>
          <cell r="N90">
            <v>49</v>
          </cell>
          <cell r="O90">
            <v>0</v>
          </cell>
          <cell r="P90">
            <v>2</v>
          </cell>
          <cell r="Q90">
            <v>75730</v>
          </cell>
        </row>
        <row r="91">
          <cell r="B91">
            <v>2696</v>
          </cell>
          <cell r="C91">
            <v>940</v>
          </cell>
          <cell r="D91">
            <v>4228</v>
          </cell>
          <cell r="E91">
            <v>45</v>
          </cell>
          <cell r="F91">
            <v>9394</v>
          </cell>
          <cell r="G91">
            <v>3680</v>
          </cell>
          <cell r="H91">
            <v>16088</v>
          </cell>
          <cell r="I91">
            <v>1</v>
          </cell>
          <cell r="J91">
            <v>33187</v>
          </cell>
          <cell r="K91">
            <v>4531</v>
          </cell>
          <cell r="L91">
            <v>200</v>
          </cell>
          <cell r="M91">
            <v>565</v>
          </cell>
          <cell r="N91">
            <v>46</v>
          </cell>
          <cell r="O91">
            <v>2</v>
          </cell>
          <cell r="P91">
            <v>2</v>
          </cell>
          <cell r="Q91">
            <v>75605</v>
          </cell>
        </row>
        <row r="102">
          <cell r="B102">
            <v>35</v>
          </cell>
          <cell r="C102">
            <v>71</v>
          </cell>
          <cell r="D102">
            <v>824</v>
          </cell>
          <cell r="E102">
            <v>25</v>
          </cell>
          <cell r="F102">
            <v>3458</v>
          </cell>
          <cell r="G102">
            <v>2077</v>
          </cell>
          <cell r="H102">
            <v>5351</v>
          </cell>
          <cell r="J102">
            <v>9005</v>
          </cell>
          <cell r="K102">
            <v>1615</v>
          </cell>
          <cell r="L102">
            <v>333</v>
          </cell>
          <cell r="M102">
            <v>179</v>
          </cell>
          <cell r="N102">
            <v>19</v>
          </cell>
          <cell r="Q102">
            <v>22992</v>
          </cell>
        </row>
        <row r="103">
          <cell r="B103">
            <v>33</v>
          </cell>
          <cell r="C103">
            <v>70</v>
          </cell>
          <cell r="D103">
            <v>810</v>
          </cell>
          <cell r="E103">
            <v>24</v>
          </cell>
          <cell r="F103">
            <v>3436</v>
          </cell>
          <cell r="G103">
            <v>2038</v>
          </cell>
          <cell r="H103">
            <v>5307</v>
          </cell>
          <cell r="J103">
            <v>8925</v>
          </cell>
          <cell r="K103">
            <v>1649</v>
          </cell>
          <cell r="L103">
            <v>328</v>
          </cell>
          <cell r="M103">
            <v>173</v>
          </cell>
          <cell r="N103">
            <v>19</v>
          </cell>
          <cell r="Q103">
            <v>22812</v>
          </cell>
        </row>
        <row r="104">
          <cell r="B104">
            <v>36</v>
          </cell>
          <cell r="C104">
            <v>75</v>
          </cell>
          <cell r="D104">
            <v>796</v>
          </cell>
          <cell r="E104">
            <v>28</v>
          </cell>
          <cell r="F104">
            <v>3434</v>
          </cell>
          <cell r="G104">
            <v>2051</v>
          </cell>
          <cell r="H104">
            <v>5350</v>
          </cell>
          <cell r="J104">
            <v>8965</v>
          </cell>
          <cell r="K104">
            <v>1632</v>
          </cell>
          <cell r="L104">
            <v>319</v>
          </cell>
          <cell r="M104">
            <v>163</v>
          </cell>
          <cell r="N104">
            <v>20</v>
          </cell>
          <cell r="P104">
            <v>2</v>
          </cell>
          <cell r="Q104">
            <v>22871</v>
          </cell>
        </row>
        <row r="105">
          <cell r="B105">
            <v>36</v>
          </cell>
          <cell r="C105">
            <v>75</v>
          </cell>
          <cell r="D105">
            <v>789</v>
          </cell>
          <cell r="E105">
            <v>28</v>
          </cell>
          <cell r="F105">
            <v>3447</v>
          </cell>
          <cell r="G105">
            <v>1971</v>
          </cell>
          <cell r="H105">
            <v>5208</v>
          </cell>
          <cell r="I105">
            <v>0</v>
          </cell>
          <cell r="J105">
            <v>8884</v>
          </cell>
          <cell r="K105">
            <v>1629</v>
          </cell>
          <cell r="L105">
            <v>316</v>
          </cell>
          <cell r="M105">
            <v>163</v>
          </cell>
          <cell r="N105">
            <v>19</v>
          </cell>
          <cell r="O105">
            <v>0</v>
          </cell>
          <cell r="P105">
            <v>1</v>
          </cell>
          <cell r="Q105">
            <v>22566</v>
          </cell>
        </row>
        <row r="106">
          <cell r="B106">
            <v>38</v>
          </cell>
          <cell r="C106">
            <v>73</v>
          </cell>
          <cell r="D106">
            <v>790</v>
          </cell>
          <cell r="E106">
            <v>25</v>
          </cell>
          <cell r="F106">
            <v>3455</v>
          </cell>
          <cell r="G106">
            <v>1974</v>
          </cell>
          <cell r="H106">
            <v>5214</v>
          </cell>
          <cell r="I106">
            <v>0</v>
          </cell>
          <cell r="J106">
            <v>8918</v>
          </cell>
          <cell r="K106">
            <v>1544</v>
          </cell>
          <cell r="L106">
            <v>305</v>
          </cell>
          <cell r="M106">
            <v>160</v>
          </cell>
          <cell r="N106">
            <v>19</v>
          </cell>
          <cell r="O106">
            <v>0</v>
          </cell>
          <cell r="P106">
            <v>0</v>
          </cell>
          <cell r="Q106">
            <v>22515</v>
          </cell>
        </row>
        <row r="107">
          <cell r="B107">
            <v>39</v>
          </cell>
          <cell r="C107">
            <v>74</v>
          </cell>
          <cell r="D107">
            <v>752</v>
          </cell>
          <cell r="E107">
            <v>21</v>
          </cell>
          <cell r="F107">
            <v>3428</v>
          </cell>
          <cell r="G107">
            <v>1968</v>
          </cell>
          <cell r="H107">
            <v>5197</v>
          </cell>
          <cell r="I107">
            <v>0</v>
          </cell>
          <cell r="J107">
            <v>8800</v>
          </cell>
          <cell r="K107">
            <v>1559</v>
          </cell>
          <cell r="L107">
            <v>306</v>
          </cell>
          <cell r="M107">
            <v>160</v>
          </cell>
          <cell r="N107">
            <v>21</v>
          </cell>
          <cell r="O107">
            <v>0</v>
          </cell>
          <cell r="P107">
            <v>0</v>
          </cell>
          <cell r="Q107">
            <v>22325</v>
          </cell>
        </row>
        <row r="108">
          <cell r="B108">
            <v>36</v>
          </cell>
          <cell r="C108">
            <v>77</v>
          </cell>
          <cell r="D108">
            <v>767</v>
          </cell>
          <cell r="E108">
            <v>22</v>
          </cell>
          <cell r="F108">
            <v>3383</v>
          </cell>
          <cell r="G108">
            <v>1870</v>
          </cell>
          <cell r="H108">
            <v>5176</v>
          </cell>
          <cell r="I108">
            <v>0</v>
          </cell>
          <cell r="J108">
            <v>8603</v>
          </cell>
          <cell r="K108">
            <v>1609</v>
          </cell>
          <cell r="L108">
            <v>303</v>
          </cell>
          <cell r="M108">
            <v>165</v>
          </cell>
          <cell r="N108">
            <v>23</v>
          </cell>
          <cell r="O108">
            <v>0</v>
          </cell>
          <cell r="P108">
            <v>0</v>
          </cell>
          <cell r="Q108">
            <v>22034</v>
          </cell>
        </row>
        <row r="150">
          <cell r="B150">
            <v>2501</v>
          </cell>
          <cell r="C150">
            <v>348</v>
          </cell>
          <cell r="D150">
            <v>169</v>
          </cell>
          <cell r="E150">
            <v>0</v>
          </cell>
          <cell r="F150">
            <v>0</v>
          </cell>
          <cell r="G150">
            <v>0</v>
          </cell>
          <cell r="H150">
            <v>0</v>
          </cell>
          <cell r="I150">
            <v>0</v>
          </cell>
          <cell r="J150">
            <v>0</v>
          </cell>
          <cell r="K150">
            <v>0</v>
          </cell>
          <cell r="L150">
            <v>0</v>
          </cell>
          <cell r="M150">
            <v>0</v>
          </cell>
          <cell r="N150">
            <v>0</v>
          </cell>
          <cell r="O150">
            <v>0</v>
          </cell>
          <cell r="P150">
            <v>0</v>
          </cell>
          <cell r="Q150">
            <v>3018</v>
          </cell>
        </row>
        <row r="151">
          <cell r="B151">
            <v>1041</v>
          </cell>
          <cell r="C151">
            <v>169</v>
          </cell>
          <cell r="D151">
            <v>105</v>
          </cell>
          <cell r="E151">
            <v>0</v>
          </cell>
          <cell r="F151">
            <v>0</v>
          </cell>
          <cell r="G151">
            <v>0</v>
          </cell>
          <cell r="H151">
            <v>0</v>
          </cell>
          <cell r="I151">
            <v>0</v>
          </cell>
          <cell r="J151">
            <v>1</v>
          </cell>
          <cell r="K151">
            <v>0</v>
          </cell>
          <cell r="L151">
            <v>0</v>
          </cell>
          <cell r="M151">
            <v>0</v>
          </cell>
          <cell r="N151">
            <v>0</v>
          </cell>
          <cell r="O151">
            <v>0</v>
          </cell>
          <cell r="P151">
            <v>0</v>
          </cell>
          <cell r="Q151">
            <v>1316</v>
          </cell>
        </row>
        <row r="152">
          <cell r="B152">
            <v>1221</v>
          </cell>
          <cell r="C152">
            <v>191</v>
          </cell>
          <cell r="D152">
            <v>118</v>
          </cell>
          <cell r="E152">
            <v>0</v>
          </cell>
          <cell r="F152">
            <v>0</v>
          </cell>
          <cell r="G152">
            <v>0</v>
          </cell>
          <cell r="H152">
            <v>1</v>
          </cell>
          <cell r="I152">
            <v>0</v>
          </cell>
          <cell r="J152">
            <v>0</v>
          </cell>
          <cell r="K152">
            <v>0</v>
          </cell>
          <cell r="L152">
            <v>0</v>
          </cell>
          <cell r="M152">
            <v>0</v>
          </cell>
          <cell r="N152">
            <v>0</v>
          </cell>
          <cell r="O152">
            <v>0</v>
          </cell>
          <cell r="P152">
            <v>0</v>
          </cell>
          <cell r="Q152">
            <v>1531</v>
          </cell>
        </row>
        <row r="153">
          <cell r="B153">
            <v>2313</v>
          </cell>
          <cell r="C153">
            <v>309</v>
          </cell>
          <cell r="D153">
            <v>157</v>
          </cell>
          <cell r="Q153">
            <v>2779</v>
          </cell>
        </row>
        <row r="154">
          <cell r="B154">
            <v>2494</v>
          </cell>
          <cell r="C154">
            <v>345</v>
          </cell>
          <cell r="D154">
            <v>164</v>
          </cell>
          <cell r="Q154">
            <v>3003</v>
          </cell>
        </row>
        <row r="155">
          <cell r="B155">
            <v>2497</v>
          </cell>
          <cell r="C155">
            <v>336</v>
          </cell>
          <cell r="D155">
            <v>157</v>
          </cell>
          <cell r="E155">
            <v>0</v>
          </cell>
          <cell r="F155">
            <v>0</v>
          </cell>
          <cell r="G155">
            <v>0</v>
          </cell>
          <cell r="H155">
            <v>0</v>
          </cell>
          <cell r="I155">
            <v>0</v>
          </cell>
          <cell r="J155">
            <v>0</v>
          </cell>
          <cell r="K155">
            <v>0</v>
          </cell>
          <cell r="L155">
            <v>0</v>
          </cell>
          <cell r="M155">
            <v>0</v>
          </cell>
          <cell r="N155">
            <v>0</v>
          </cell>
          <cell r="O155">
            <v>0</v>
          </cell>
          <cell r="P155">
            <v>0</v>
          </cell>
          <cell r="Q155">
            <v>2990</v>
          </cell>
        </row>
        <row r="156">
          <cell r="B156">
            <v>2628</v>
          </cell>
          <cell r="C156">
            <v>353</v>
          </cell>
          <cell r="D156">
            <v>170</v>
          </cell>
          <cell r="P156">
            <v>1</v>
          </cell>
          <cell r="Q156">
            <v>3152</v>
          </cell>
        </row>
      </sheetData>
      <sheetData sheetId="2"/>
      <sheetData sheetId="3">
        <row r="90">
          <cell r="B90">
            <v>18857</v>
          </cell>
          <cell r="C90">
            <v>7311</v>
          </cell>
          <cell r="D90">
            <v>51193</v>
          </cell>
          <cell r="E90">
            <v>2365</v>
          </cell>
          <cell r="F90">
            <v>118404</v>
          </cell>
          <cell r="G90">
            <v>66299</v>
          </cell>
          <cell r="H90">
            <v>274332</v>
          </cell>
          <cell r="I90">
            <v>133</v>
          </cell>
          <cell r="J90">
            <v>380671</v>
          </cell>
          <cell r="K90">
            <v>52565</v>
          </cell>
          <cell r="L90">
            <v>16936</v>
          </cell>
          <cell r="M90">
            <v>8814</v>
          </cell>
          <cell r="N90">
            <v>1198</v>
          </cell>
          <cell r="O90">
            <v>0</v>
          </cell>
          <cell r="P90">
            <v>37</v>
          </cell>
          <cell r="Q90">
            <v>999115</v>
          </cell>
        </row>
        <row r="91">
          <cell r="B91">
            <v>19276</v>
          </cell>
          <cell r="C91">
            <v>7420</v>
          </cell>
          <cell r="D91">
            <v>51691</v>
          </cell>
          <cell r="E91">
            <v>2421</v>
          </cell>
          <cell r="F91">
            <v>117794</v>
          </cell>
          <cell r="G91">
            <v>65835</v>
          </cell>
          <cell r="H91">
            <v>277676</v>
          </cell>
          <cell r="I91">
            <v>128</v>
          </cell>
          <cell r="J91">
            <v>380130</v>
          </cell>
          <cell r="K91">
            <v>52989</v>
          </cell>
          <cell r="L91">
            <v>17000</v>
          </cell>
          <cell r="M91">
            <v>8839</v>
          </cell>
          <cell r="N91">
            <v>1205</v>
          </cell>
          <cell r="O91">
            <v>0</v>
          </cell>
          <cell r="P91">
            <v>38</v>
          </cell>
          <cell r="Q91">
            <v>1002442</v>
          </cell>
        </row>
        <row r="92">
          <cell r="B92">
            <v>19562</v>
          </cell>
          <cell r="C92">
            <v>7449</v>
          </cell>
          <cell r="D92">
            <v>51814</v>
          </cell>
          <cell r="E92">
            <v>2469</v>
          </cell>
          <cell r="F92">
            <v>117155</v>
          </cell>
          <cell r="G92">
            <v>65632</v>
          </cell>
          <cell r="H92">
            <v>285162</v>
          </cell>
          <cell r="I92">
            <v>124</v>
          </cell>
          <cell r="J92">
            <v>378867</v>
          </cell>
          <cell r="K92">
            <v>53104</v>
          </cell>
          <cell r="L92">
            <v>17087</v>
          </cell>
          <cell r="M92">
            <v>8590</v>
          </cell>
          <cell r="N92">
            <v>1132</v>
          </cell>
          <cell r="O92">
            <v>0</v>
          </cell>
          <cell r="P92">
            <v>19</v>
          </cell>
          <cell r="Q92">
            <v>1008166</v>
          </cell>
        </row>
        <row r="93">
          <cell r="B93">
            <v>19381</v>
          </cell>
          <cell r="C93">
            <v>7483</v>
          </cell>
          <cell r="D93">
            <v>51592</v>
          </cell>
          <cell r="E93">
            <v>2558</v>
          </cell>
          <cell r="F93">
            <v>117616</v>
          </cell>
          <cell r="G93">
            <v>62682</v>
          </cell>
          <cell r="H93">
            <v>282016</v>
          </cell>
          <cell r="I93">
            <v>122</v>
          </cell>
          <cell r="J93">
            <v>378127</v>
          </cell>
          <cell r="K93">
            <v>53055</v>
          </cell>
          <cell r="L93">
            <v>17131</v>
          </cell>
          <cell r="M93">
            <v>8300</v>
          </cell>
          <cell r="N93">
            <v>1127</v>
          </cell>
          <cell r="O93">
            <v>0</v>
          </cell>
          <cell r="P93">
            <v>25</v>
          </cell>
          <cell r="Q93">
            <v>1001215</v>
          </cell>
        </row>
        <row r="94">
          <cell r="B94">
            <v>19879</v>
          </cell>
          <cell r="C94">
            <v>7640</v>
          </cell>
          <cell r="D94">
            <v>51818</v>
          </cell>
          <cell r="E94">
            <v>2559</v>
          </cell>
          <cell r="F94">
            <v>121100</v>
          </cell>
          <cell r="G94">
            <v>64300</v>
          </cell>
          <cell r="H94">
            <v>284281</v>
          </cell>
          <cell r="I94">
            <v>119</v>
          </cell>
          <cell r="J94">
            <v>382017</v>
          </cell>
          <cell r="K94">
            <v>50353</v>
          </cell>
          <cell r="L94">
            <v>17215</v>
          </cell>
          <cell r="M94">
            <v>8326</v>
          </cell>
          <cell r="N94">
            <v>1113</v>
          </cell>
          <cell r="O94">
            <v>1</v>
          </cell>
          <cell r="P94">
            <v>27</v>
          </cell>
          <cell r="Q94">
            <v>1010748</v>
          </cell>
        </row>
        <row r="95">
          <cell r="B95">
            <v>19760</v>
          </cell>
          <cell r="C95">
            <v>7654</v>
          </cell>
          <cell r="D95">
            <v>51686</v>
          </cell>
          <cell r="E95">
            <v>2591</v>
          </cell>
          <cell r="F95">
            <v>121895</v>
          </cell>
          <cell r="G95">
            <v>64798</v>
          </cell>
          <cell r="H95">
            <v>286345</v>
          </cell>
          <cell r="I95">
            <v>117</v>
          </cell>
          <cell r="J95">
            <v>380067</v>
          </cell>
          <cell r="K95">
            <v>50775</v>
          </cell>
          <cell r="L95">
            <v>17269</v>
          </cell>
          <cell r="M95">
            <v>8034</v>
          </cell>
          <cell r="N95">
            <v>1090</v>
          </cell>
          <cell r="O95">
            <v>1</v>
          </cell>
          <cell r="P95">
            <v>25</v>
          </cell>
          <cell r="Q95">
            <v>1012107</v>
          </cell>
        </row>
        <row r="96">
          <cell r="B96">
            <v>19818</v>
          </cell>
          <cell r="C96">
            <v>7770</v>
          </cell>
          <cell r="D96">
            <v>51792</v>
          </cell>
          <cell r="E96">
            <v>2642</v>
          </cell>
          <cell r="F96">
            <v>122401</v>
          </cell>
          <cell r="G96">
            <v>60141</v>
          </cell>
          <cell r="H96">
            <v>283640</v>
          </cell>
          <cell r="I96">
            <v>113</v>
          </cell>
          <cell r="J96">
            <v>378246</v>
          </cell>
          <cell r="K96">
            <v>52280</v>
          </cell>
          <cell r="L96">
            <v>17242</v>
          </cell>
          <cell r="M96">
            <v>7839</v>
          </cell>
          <cell r="N96">
            <v>1083</v>
          </cell>
          <cell r="O96">
            <v>2</v>
          </cell>
          <cell r="P96">
            <v>24</v>
          </cell>
          <cell r="Q96">
            <v>1005033</v>
          </cell>
        </row>
      </sheetData>
      <sheetData sheetId="4"/>
      <sheetData sheetId="5"/>
      <sheetData sheetId="6"/>
      <sheetData sheetId="7"/>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ACCPivot"/>
      <sheetName val="ACCData"/>
      <sheetName val="1281Pivot"/>
      <sheetName val="1281Data"/>
      <sheetName val="KPPivot"/>
      <sheetName val="KPData"/>
      <sheetName val="County Codes"/>
    </sheetNames>
    <sheetDataSet>
      <sheetData sheetId="0">
        <row r="3">
          <cell r="E3">
            <v>2928</v>
          </cell>
          <cell r="F3">
            <v>2975</v>
          </cell>
          <cell r="G3">
            <v>3011</v>
          </cell>
          <cell r="H3">
            <v>2959</v>
          </cell>
          <cell r="I3">
            <v>3006</v>
          </cell>
          <cell r="J3">
            <v>3011</v>
          </cell>
          <cell r="K3">
            <v>2987</v>
          </cell>
        </row>
        <row r="4">
          <cell r="E4">
            <v>8105</v>
          </cell>
          <cell r="F4">
            <v>8136</v>
          </cell>
          <cell r="G4">
            <v>8165</v>
          </cell>
          <cell r="H4">
            <v>8142</v>
          </cell>
          <cell r="I4">
            <v>8258</v>
          </cell>
          <cell r="J4">
            <v>8289</v>
          </cell>
          <cell r="K4">
            <v>8193</v>
          </cell>
        </row>
        <row r="5">
          <cell r="E5">
            <v>449</v>
          </cell>
          <cell r="F5">
            <v>468</v>
          </cell>
          <cell r="G5">
            <v>480</v>
          </cell>
          <cell r="H5">
            <v>482</v>
          </cell>
          <cell r="I5">
            <v>489</v>
          </cell>
          <cell r="J5">
            <v>485</v>
          </cell>
          <cell r="K5">
            <v>475</v>
          </cell>
        </row>
        <row r="6">
          <cell r="E6">
            <v>5751</v>
          </cell>
          <cell r="F6">
            <v>5800</v>
          </cell>
          <cell r="G6">
            <v>5792</v>
          </cell>
          <cell r="H6">
            <v>5650</v>
          </cell>
          <cell r="I6">
            <v>5617</v>
          </cell>
          <cell r="J6">
            <v>5562</v>
          </cell>
          <cell r="K6">
            <v>5527</v>
          </cell>
        </row>
        <row r="7">
          <cell r="E7">
            <v>11810</v>
          </cell>
          <cell r="F7">
            <v>11596</v>
          </cell>
          <cell r="G7">
            <v>11564</v>
          </cell>
          <cell r="H7">
            <v>11393</v>
          </cell>
          <cell r="I7">
            <v>11448</v>
          </cell>
          <cell r="J7">
            <v>11442</v>
          </cell>
          <cell r="K7">
            <v>11293</v>
          </cell>
        </row>
        <row r="8">
          <cell r="E8">
            <v>1630</v>
          </cell>
          <cell r="F8">
            <v>1636</v>
          </cell>
          <cell r="G8">
            <v>1604</v>
          </cell>
          <cell r="H8">
            <v>1574</v>
          </cell>
          <cell r="I8">
            <v>1547</v>
          </cell>
          <cell r="J8">
            <v>1551</v>
          </cell>
          <cell r="K8">
            <v>1482</v>
          </cell>
        </row>
        <row r="9">
          <cell r="E9">
            <v>2960</v>
          </cell>
          <cell r="F9">
            <v>2897</v>
          </cell>
          <cell r="G9">
            <v>2905</v>
          </cell>
          <cell r="H9">
            <v>2881</v>
          </cell>
          <cell r="I9">
            <v>2941</v>
          </cell>
          <cell r="J9">
            <v>2948</v>
          </cell>
          <cell r="K9">
            <v>2893</v>
          </cell>
        </row>
        <row r="10">
          <cell r="E10">
            <v>128</v>
          </cell>
          <cell r="F10">
            <v>129</v>
          </cell>
          <cell r="G10">
            <v>134</v>
          </cell>
          <cell r="H10">
            <v>132</v>
          </cell>
          <cell r="I10">
            <v>132</v>
          </cell>
          <cell r="J10">
            <v>136</v>
          </cell>
          <cell r="K10">
            <v>137</v>
          </cell>
        </row>
        <row r="11">
          <cell r="E11">
            <v>248</v>
          </cell>
          <cell r="F11">
            <v>243</v>
          </cell>
          <cell r="G11">
            <v>248</v>
          </cell>
          <cell r="H11">
            <v>257</v>
          </cell>
          <cell r="I11">
            <v>250</v>
          </cell>
          <cell r="J11">
            <v>247</v>
          </cell>
          <cell r="K11">
            <v>239</v>
          </cell>
        </row>
        <row r="12">
          <cell r="E12">
            <v>9370</v>
          </cell>
          <cell r="F12">
            <v>9424</v>
          </cell>
          <cell r="G12">
            <v>9510</v>
          </cell>
          <cell r="H12">
            <v>9484</v>
          </cell>
          <cell r="I12">
            <v>9602</v>
          </cell>
          <cell r="J12">
            <v>9516</v>
          </cell>
          <cell r="K12">
            <v>9503</v>
          </cell>
        </row>
        <row r="13">
          <cell r="E13">
            <v>51862</v>
          </cell>
          <cell r="F13">
            <v>52035</v>
          </cell>
          <cell r="G13">
            <v>52538</v>
          </cell>
          <cell r="H13">
            <v>52334</v>
          </cell>
          <cell r="I13">
            <v>52973</v>
          </cell>
          <cell r="J13">
            <v>52985</v>
          </cell>
          <cell r="K13">
            <v>52512</v>
          </cell>
        </row>
        <row r="14">
          <cell r="E14">
            <v>38639</v>
          </cell>
          <cell r="F14">
            <v>38308</v>
          </cell>
          <cell r="G14">
            <v>38427</v>
          </cell>
          <cell r="H14">
            <v>38546</v>
          </cell>
          <cell r="I14">
            <v>38913</v>
          </cell>
          <cell r="J14">
            <v>38973</v>
          </cell>
          <cell r="K14">
            <v>38698</v>
          </cell>
        </row>
        <row r="15">
          <cell r="E15">
            <v>3076</v>
          </cell>
          <cell r="F15">
            <v>3073</v>
          </cell>
          <cell r="G15">
            <v>3067</v>
          </cell>
          <cell r="H15">
            <v>3052</v>
          </cell>
          <cell r="I15">
            <v>3045</v>
          </cell>
          <cell r="J15">
            <v>3059</v>
          </cell>
          <cell r="K15">
            <v>3032</v>
          </cell>
        </row>
        <row r="16">
          <cell r="E16">
            <v>7800</v>
          </cell>
          <cell r="F16">
            <v>7877</v>
          </cell>
          <cell r="G16">
            <v>7906</v>
          </cell>
          <cell r="H16">
            <v>7883</v>
          </cell>
          <cell r="I16">
            <v>7895</v>
          </cell>
          <cell r="J16">
            <v>7945</v>
          </cell>
          <cell r="K16">
            <v>7981</v>
          </cell>
        </row>
        <row r="17">
          <cell r="E17">
            <v>10728</v>
          </cell>
          <cell r="F17">
            <v>10562</v>
          </cell>
          <cell r="G17">
            <v>10539</v>
          </cell>
          <cell r="H17">
            <v>10400</v>
          </cell>
          <cell r="I17">
            <v>10548</v>
          </cell>
          <cell r="J17">
            <v>10614</v>
          </cell>
          <cell r="K17">
            <v>10537</v>
          </cell>
        </row>
        <row r="18">
          <cell r="E18">
            <v>659</v>
          </cell>
          <cell r="F18">
            <v>661</v>
          </cell>
          <cell r="G18">
            <v>649</v>
          </cell>
          <cell r="H18">
            <v>642</v>
          </cell>
          <cell r="I18">
            <v>628</v>
          </cell>
          <cell r="J18">
            <v>629</v>
          </cell>
          <cell r="K18">
            <v>612</v>
          </cell>
        </row>
        <row r="19">
          <cell r="E19">
            <v>1320</v>
          </cell>
          <cell r="F19">
            <v>1285</v>
          </cell>
          <cell r="G19">
            <v>1287</v>
          </cell>
          <cell r="H19">
            <v>1284</v>
          </cell>
          <cell r="I19">
            <v>1303</v>
          </cell>
          <cell r="J19">
            <v>1249</v>
          </cell>
          <cell r="K19">
            <v>1190</v>
          </cell>
        </row>
        <row r="20">
          <cell r="E20">
            <v>1003</v>
          </cell>
          <cell r="F20">
            <v>1000</v>
          </cell>
          <cell r="G20">
            <v>1001</v>
          </cell>
          <cell r="H20">
            <v>1003</v>
          </cell>
          <cell r="I20">
            <v>1027</v>
          </cell>
          <cell r="J20">
            <v>1027</v>
          </cell>
          <cell r="K20">
            <v>1004</v>
          </cell>
        </row>
        <row r="21">
          <cell r="E21">
            <v>3093</v>
          </cell>
          <cell r="F21">
            <v>3071</v>
          </cell>
          <cell r="G21">
            <v>3096</v>
          </cell>
          <cell r="H21">
            <v>3111</v>
          </cell>
          <cell r="I21">
            <v>3149</v>
          </cell>
          <cell r="J21">
            <v>3175</v>
          </cell>
          <cell r="K21">
            <v>3122</v>
          </cell>
        </row>
        <row r="22">
          <cell r="E22">
            <v>149</v>
          </cell>
          <cell r="F22">
            <v>150</v>
          </cell>
          <cell r="G22">
            <v>146</v>
          </cell>
          <cell r="H22">
            <v>149</v>
          </cell>
          <cell r="I22">
            <v>147</v>
          </cell>
          <cell r="J22">
            <v>147</v>
          </cell>
          <cell r="K22">
            <v>142</v>
          </cell>
        </row>
        <row r="23">
          <cell r="E23">
            <v>922</v>
          </cell>
          <cell r="F23">
            <v>944</v>
          </cell>
          <cell r="G23">
            <v>963</v>
          </cell>
          <cell r="H23">
            <v>961</v>
          </cell>
          <cell r="I23">
            <v>943</v>
          </cell>
          <cell r="J23">
            <v>934</v>
          </cell>
          <cell r="K23">
            <v>942</v>
          </cell>
        </row>
        <row r="24">
          <cell r="E24">
            <v>3463</v>
          </cell>
          <cell r="F24">
            <v>3472</v>
          </cell>
          <cell r="G24">
            <v>3473</v>
          </cell>
          <cell r="H24">
            <v>3459</v>
          </cell>
          <cell r="I24">
            <v>3414</v>
          </cell>
          <cell r="J24">
            <v>3374</v>
          </cell>
          <cell r="K24">
            <v>3303</v>
          </cell>
        </row>
        <row r="25">
          <cell r="E25">
            <v>70</v>
          </cell>
          <cell r="F25">
            <v>166</v>
          </cell>
          <cell r="G25">
            <v>111</v>
          </cell>
          <cell r="H25">
            <v>88</v>
          </cell>
          <cell r="I25">
            <v>115</v>
          </cell>
          <cell r="J25">
            <v>85</v>
          </cell>
          <cell r="K25">
            <v>109</v>
          </cell>
        </row>
        <row r="26">
          <cell r="E26">
            <v>166163</v>
          </cell>
          <cell r="F26">
            <v>165908</v>
          </cell>
          <cell r="G26">
            <v>166616</v>
          </cell>
          <cell r="H26">
            <v>165866</v>
          </cell>
          <cell r="I26">
            <v>167390</v>
          </cell>
          <cell r="J26">
            <v>167383</v>
          </cell>
          <cell r="K26">
            <v>165913</v>
          </cell>
        </row>
        <row r="27">
          <cell r="E27">
            <v>365</v>
          </cell>
          <cell r="F27">
            <v>380</v>
          </cell>
          <cell r="G27">
            <v>381</v>
          </cell>
          <cell r="H27">
            <v>400</v>
          </cell>
          <cell r="I27">
            <v>404</v>
          </cell>
          <cell r="J27">
            <v>405</v>
          </cell>
          <cell r="K27">
            <v>394</v>
          </cell>
        </row>
        <row r="28">
          <cell r="E28">
            <v>1519</v>
          </cell>
          <cell r="F28">
            <v>1522</v>
          </cell>
          <cell r="G28">
            <v>1530</v>
          </cell>
          <cell r="H28">
            <v>1506</v>
          </cell>
          <cell r="I28">
            <v>1527</v>
          </cell>
          <cell r="J28">
            <v>1511</v>
          </cell>
          <cell r="K28">
            <v>1506</v>
          </cell>
        </row>
        <row r="29">
          <cell r="E29">
            <v>1104</v>
          </cell>
          <cell r="F29">
            <v>1087</v>
          </cell>
          <cell r="G29">
            <v>1095</v>
          </cell>
          <cell r="H29">
            <v>1077</v>
          </cell>
          <cell r="I29">
            <v>1093</v>
          </cell>
          <cell r="J29">
            <v>1099</v>
          </cell>
          <cell r="K29">
            <v>1105</v>
          </cell>
        </row>
        <row r="30">
          <cell r="E30">
            <v>3661</v>
          </cell>
          <cell r="F30">
            <v>3648</v>
          </cell>
          <cell r="G30">
            <v>3666</v>
          </cell>
          <cell r="H30">
            <v>3663</v>
          </cell>
          <cell r="I30">
            <v>3709</v>
          </cell>
          <cell r="J30">
            <v>3696</v>
          </cell>
          <cell r="K30">
            <v>3649</v>
          </cell>
        </row>
        <row r="31">
          <cell r="E31">
            <v>6620</v>
          </cell>
          <cell r="F31">
            <v>6729</v>
          </cell>
          <cell r="G31">
            <v>6746</v>
          </cell>
          <cell r="H31">
            <v>6707</v>
          </cell>
          <cell r="I31">
            <v>6802</v>
          </cell>
          <cell r="J31">
            <v>6843</v>
          </cell>
          <cell r="K31">
            <v>6779</v>
          </cell>
        </row>
        <row r="32">
          <cell r="E32">
            <v>791</v>
          </cell>
          <cell r="F32">
            <v>784</v>
          </cell>
          <cell r="G32">
            <v>794</v>
          </cell>
          <cell r="H32">
            <v>795</v>
          </cell>
          <cell r="I32">
            <v>801</v>
          </cell>
          <cell r="J32">
            <v>806</v>
          </cell>
          <cell r="K32">
            <v>803</v>
          </cell>
        </row>
        <row r="33">
          <cell r="E33">
            <v>589</v>
          </cell>
          <cell r="F33">
            <v>570</v>
          </cell>
          <cell r="G33">
            <v>568</v>
          </cell>
          <cell r="H33">
            <v>561</v>
          </cell>
          <cell r="I33">
            <v>573</v>
          </cell>
          <cell r="J33">
            <v>573</v>
          </cell>
          <cell r="K33">
            <v>569</v>
          </cell>
        </row>
        <row r="34">
          <cell r="E34">
            <v>926</v>
          </cell>
          <cell r="F34">
            <v>945</v>
          </cell>
          <cell r="G34">
            <v>933</v>
          </cell>
          <cell r="H34">
            <v>929</v>
          </cell>
          <cell r="I34">
            <v>948</v>
          </cell>
          <cell r="J34">
            <v>965</v>
          </cell>
          <cell r="K34">
            <v>960</v>
          </cell>
        </row>
        <row r="35">
          <cell r="E35">
            <v>57635</v>
          </cell>
          <cell r="F35">
            <v>57982</v>
          </cell>
          <cell r="G35">
            <v>58106</v>
          </cell>
          <cell r="H35">
            <v>57675</v>
          </cell>
          <cell r="I35">
            <v>58356</v>
          </cell>
          <cell r="J35">
            <v>58420</v>
          </cell>
          <cell r="K35">
            <v>58006</v>
          </cell>
        </row>
        <row r="36">
          <cell r="E36">
            <v>2236</v>
          </cell>
          <cell r="F36">
            <v>2254</v>
          </cell>
          <cell r="G36">
            <v>2253</v>
          </cell>
          <cell r="H36">
            <v>2230</v>
          </cell>
          <cell r="I36">
            <v>2210</v>
          </cell>
          <cell r="J36">
            <v>2225</v>
          </cell>
          <cell r="K36">
            <v>2197</v>
          </cell>
        </row>
        <row r="37">
          <cell r="E37">
            <v>8</v>
          </cell>
          <cell r="F37">
            <v>113</v>
          </cell>
          <cell r="G37">
            <v>32</v>
          </cell>
          <cell r="H37">
            <v>39</v>
          </cell>
          <cell r="I37">
            <v>42</v>
          </cell>
          <cell r="J37">
            <v>28</v>
          </cell>
          <cell r="K37">
            <v>35</v>
          </cell>
        </row>
        <row r="38">
          <cell r="E38">
            <v>75454</v>
          </cell>
          <cell r="F38">
            <v>76014</v>
          </cell>
          <cell r="G38">
            <v>76104</v>
          </cell>
          <cell r="H38">
            <v>75582</v>
          </cell>
          <cell r="I38">
            <v>76465</v>
          </cell>
          <cell r="J38">
            <v>76571</v>
          </cell>
          <cell r="K38">
            <v>76003</v>
          </cell>
        </row>
        <row r="39">
          <cell r="E39">
            <v>119519</v>
          </cell>
          <cell r="F39">
            <v>119852</v>
          </cell>
          <cell r="G39">
            <v>120579</v>
          </cell>
          <cell r="H39">
            <v>119267</v>
          </cell>
          <cell r="I39">
            <v>120451</v>
          </cell>
          <cell r="J39">
            <v>120790</v>
          </cell>
          <cell r="K39">
            <v>119982</v>
          </cell>
        </row>
        <row r="40">
          <cell r="E40">
            <v>111876</v>
          </cell>
          <cell r="F40">
            <v>112192</v>
          </cell>
          <cell r="G40">
            <v>112689</v>
          </cell>
          <cell r="H40">
            <v>111785</v>
          </cell>
          <cell r="I40">
            <v>112890</v>
          </cell>
          <cell r="J40">
            <v>112897</v>
          </cell>
          <cell r="K40">
            <v>112006</v>
          </cell>
        </row>
        <row r="41">
          <cell r="E41">
            <v>21012</v>
          </cell>
          <cell r="F41">
            <v>21135</v>
          </cell>
          <cell r="G41">
            <v>21291</v>
          </cell>
          <cell r="H41">
            <v>21189</v>
          </cell>
          <cell r="I41">
            <v>21444</v>
          </cell>
          <cell r="J41">
            <v>21498</v>
          </cell>
          <cell r="K41">
            <v>21315</v>
          </cell>
        </row>
        <row r="42">
          <cell r="E42">
            <v>165</v>
          </cell>
          <cell r="F42">
            <v>457</v>
          </cell>
          <cell r="G42">
            <v>246</v>
          </cell>
          <cell r="H42">
            <v>246</v>
          </cell>
          <cell r="I42">
            <v>298</v>
          </cell>
          <cell r="J42">
            <v>200</v>
          </cell>
          <cell r="K42">
            <v>276</v>
          </cell>
        </row>
        <row r="43">
          <cell r="E43">
            <v>252572</v>
          </cell>
          <cell r="F43">
            <v>253636</v>
          </cell>
          <cell r="G43">
            <v>254805</v>
          </cell>
          <cell r="H43">
            <v>252487</v>
          </cell>
          <cell r="I43">
            <v>255083</v>
          </cell>
          <cell r="J43">
            <v>255385</v>
          </cell>
          <cell r="K43">
            <v>253579</v>
          </cell>
        </row>
        <row r="44">
          <cell r="E44">
            <v>6101</v>
          </cell>
          <cell r="F44">
            <v>6110</v>
          </cell>
          <cell r="G44">
            <v>6147</v>
          </cell>
          <cell r="H44">
            <v>6144</v>
          </cell>
          <cell r="I44">
            <v>6205</v>
          </cell>
          <cell r="J44">
            <v>6232</v>
          </cell>
          <cell r="K44">
            <v>6196</v>
          </cell>
        </row>
        <row r="45">
          <cell r="E45">
            <v>1044</v>
          </cell>
          <cell r="F45">
            <v>1049</v>
          </cell>
          <cell r="G45">
            <v>1054</v>
          </cell>
          <cell r="H45">
            <v>1069</v>
          </cell>
          <cell r="I45">
            <v>1075</v>
          </cell>
          <cell r="J45">
            <v>1066</v>
          </cell>
          <cell r="K45">
            <v>1058</v>
          </cell>
        </row>
        <row r="46">
          <cell r="E46">
            <v>1553</v>
          </cell>
          <cell r="F46">
            <v>1539</v>
          </cell>
          <cell r="G46">
            <v>1547</v>
          </cell>
          <cell r="H46">
            <v>1534</v>
          </cell>
          <cell r="I46">
            <v>1545</v>
          </cell>
          <cell r="J46">
            <v>1544</v>
          </cell>
          <cell r="K46">
            <v>1531</v>
          </cell>
        </row>
        <row r="47">
          <cell r="E47">
            <v>3221</v>
          </cell>
          <cell r="F47">
            <v>3230</v>
          </cell>
          <cell r="G47">
            <v>3242</v>
          </cell>
          <cell r="H47">
            <v>3202</v>
          </cell>
          <cell r="I47">
            <v>3216</v>
          </cell>
          <cell r="J47">
            <v>3186</v>
          </cell>
          <cell r="K47">
            <v>3091</v>
          </cell>
        </row>
        <row r="48">
          <cell r="E48">
            <v>2931</v>
          </cell>
          <cell r="F48">
            <v>2944</v>
          </cell>
          <cell r="G48">
            <v>2947</v>
          </cell>
          <cell r="H48">
            <v>2907</v>
          </cell>
          <cell r="I48">
            <v>2908</v>
          </cell>
          <cell r="J48">
            <v>2885</v>
          </cell>
          <cell r="K48">
            <v>2865</v>
          </cell>
        </row>
        <row r="49">
          <cell r="E49">
            <v>1648</v>
          </cell>
          <cell r="F49">
            <v>1636</v>
          </cell>
          <cell r="G49">
            <v>1657</v>
          </cell>
          <cell r="H49">
            <v>1633</v>
          </cell>
          <cell r="I49">
            <v>1645</v>
          </cell>
          <cell r="J49">
            <v>1633</v>
          </cell>
          <cell r="K49">
            <v>1619</v>
          </cell>
        </row>
        <row r="50">
          <cell r="E50">
            <v>1188</v>
          </cell>
          <cell r="F50">
            <v>1206</v>
          </cell>
          <cell r="G50">
            <v>1190</v>
          </cell>
          <cell r="H50">
            <v>1180</v>
          </cell>
          <cell r="I50">
            <v>1197</v>
          </cell>
          <cell r="J50">
            <v>1194</v>
          </cell>
          <cell r="K50">
            <v>1186</v>
          </cell>
        </row>
        <row r="51">
          <cell r="E51">
            <v>711</v>
          </cell>
          <cell r="F51">
            <v>714</v>
          </cell>
          <cell r="G51">
            <v>723</v>
          </cell>
          <cell r="H51">
            <v>758</v>
          </cell>
          <cell r="I51">
            <v>768</v>
          </cell>
          <cell r="J51">
            <v>766</v>
          </cell>
          <cell r="K51">
            <v>763</v>
          </cell>
        </row>
        <row r="52">
          <cell r="E52">
            <v>10712</v>
          </cell>
          <cell r="F52">
            <v>10810</v>
          </cell>
          <cell r="G52">
            <v>10896</v>
          </cell>
          <cell r="H52">
            <v>10823</v>
          </cell>
          <cell r="I52">
            <v>10989</v>
          </cell>
          <cell r="J52">
            <v>11051</v>
          </cell>
          <cell r="K52">
            <v>11066</v>
          </cell>
        </row>
        <row r="53">
          <cell r="E53">
            <v>2377</v>
          </cell>
          <cell r="F53">
            <v>2389</v>
          </cell>
          <cell r="G53">
            <v>2387</v>
          </cell>
          <cell r="H53">
            <v>2387</v>
          </cell>
          <cell r="I53">
            <v>2409</v>
          </cell>
          <cell r="J53">
            <v>2395</v>
          </cell>
          <cell r="K53">
            <v>2394</v>
          </cell>
        </row>
        <row r="54">
          <cell r="E54">
            <v>298</v>
          </cell>
          <cell r="F54">
            <v>300</v>
          </cell>
          <cell r="G54">
            <v>299</v>
          </cell>
          <cell r="H54">
            <v>300</v>
          </cell>
          <cell r="I54">
            <v>306</v>
          </cell>
          <cell r="J54">
            <v>317</v>
          </cell>
          <cell r="K54">
            <v>308</v>
          </cell>
        </row>
        <row r="55">
          <cell r="E55">
            <v>1517</v>
          </cell>
          <cell r="F55">
            <v>1490</v>
          </cell>
          <cell r="G55">
            <v>1489</v>
          </cell>
          <cell r="H55">
            <v>1476</v>
          </cell>
          <cell r="I55">
            <v>1447</v>
          </cell>
          <cell r="J55">
            <v>1422</v>
          </cell>
          <cell r="K55">
            <v>1393</v>
          </cell>
        </row>
        <row r="56">
          <cell r="E56">
            <v>4605</v>
          </cell>
          <cell r="F56">
            <v>4654</v>
          </cell>
          <cell r="G56">
            <v>4649</v>
          </cell>
          <cell r="H56">
            <v>4654</v>
          </cell>
          <cell r="I56">
            <v>4693</v>
          </cell>
          <cell r="J56">
            <v>4762</v>
          </cell>
          <cell r="K56">
            <v>4758</v>
          </cell>
        </row>
        <row r="57">
          <cell r="E57">
            <v>129</v>
          </cell>
          <cell r="F57">
            <v>128</v>
          </cell>
          <cell r="G57">
            <v>132</v>
          </cell>
          <cell r="H57">
            <v>131</v>
          </cell>
          <cell r="I57">
            <v>136</v>
          </cell>
          <cell r="J57">
            <v>138</v>
          </cell>
          <cell r="K57">
            <v>140</v>
          </cell>
        </row>
        <row r="58">
          <cell r="E58">
            <v>6457</v>
          </cell>
          <cell r="F58">
            <v>6479</v>
          </cell>
          <cell r="G58">
            <v>6545</v>
          </cell>
          <cell r="H58">
            <v>6486</v>
          </cell>
          <cell r="I58">
            <v>6517</v>
          </cell>
          <cell r="J58">
            <v>6531</v>
          </cell>
          <cell r="K58">
            <v>6475</v>
          </cell>
        </row>
        <row r="59">
          <cell r="E59">
            <v>4400</v>
          </cell>
          <cell r="F59">
            <v>4441</v>
          </cell>
          <cell r="G59">
            <v>4463</v>
          </cell>
          <cell r="H59">
            <v>4352</v>
          </cell>
          <cell r="I59">
            <v>4350</v>
          </cell>
          <cell r="J59">
            <v>4342</v>
          </cell>
          <cell r="K59">
            <v>4349</v>
          </cell>
        </row>
        <row r="60">
          <cell r="E60">
            <v>57279</v>
          </cell>
          <cell r="F60">
            <v>57480</v>
          </cell>
          <cell r="G60">
            <v>57846</v>
          </cell>
          <cell r="H60">
            <v>57639</v>
          </cell>
          <cell r="I60">
            <v>58178</v>
          </cell>
          <cell r="J60">
            <v>58370</v>
          </cell>
          <cell r="K60">
            <v>58109</v>
          </cell>
        </row>
        <row r="61">
          <cell r="E61">
            <v>3908</v>
          </cell>
          <cell r="F61">
            <v>3886</v>
          </cell>
          <cell r="G61">
            <v>3899</v>
          </cell>
          <cell r="H61">
            <v>3851</v>
          </cell>
          <cell r="I61">
            <v>3852</v>
          </cell>
          <cell r="J61">
            <v>3871</v>
          </cell>
          <cell r="K61">
            <v>3845</v>
          </cell>
        </row>
        <row r="62">
          <cell r="E62">
            <v>2188</v>
          </cell>
          <cell r="F62">
            <v>2144</v>
          </cell>
          <cell r="G62">
            <v>2147</v>
          </cell>
          <cell r="H62">
            <v>2110</v>
          </cell>
          <cell r="I62">
            <v>2101</v>
          </cell>
          <cell r="J62">
            <v>2047</v>
          </cell>
          <cell r="K62">
            <v>1969</v>
          </cell>
        </row>
        <row r="63">
          <cell r="E63">
            <v>20</v>
          </cell>
          <cell r="F63">
            <v>105</v>
          </cell>
          <cell r="G63">
            <v>19</v>
          </cell>
          <cell r="H63">
            <v>23</v>
          </cell>
          <cell r="I63">
            <v>34</v>
          </cell>
          <cell r="J63">
            <v>23</v>
          </cell>
          <cell r="K63">
            <v>28</v>
          </cell>
        </row>
        <row r="64">
          <cell r="E64">
            <v>112287</v>
          </cell>
          <cell r="F64">
            <v>112734</v>
          </cell>
          <cell r="G64">
            <v>113278</v>
          </cell>
          <cell r="H64">
            <v>112659</v>
          </cell>
          <cell r="I64">
            <v>113571</v>
          </cell>
          <cell r="J64">
            <v>113775</v>
          </cell>
          <cell r="K64">
            <v>113143</v>
          </cell>
        </row>
        <row r="65">
          <cell r="E65">
            <v>104088</v>
          </cell>
          <cell r="F65">
            <v>103519</v>
          </cell>
          <cell r="G65">
            <v>104644</v>
          </cell>
          <cell r="H65">
            <v>103188</v>
          </cell>
          <cell r="I65">
            <v>103504</v>
          </cell>
          <cell r="J65">
            <v>103635</v>
          </cell>
          <cell r="K65">
            <v>102828</v>
          </cell>
        </row>
        <row r="66">
          <cell r="E66">
            <v>50</v>
          </cell>
          <cell r="F66">
            <v>244</v>
          </cell>
          <cell r="G66">
            <v>94</v>
          </cell>
          <cell r="H66">
            <v>68</v>
          </cell>
          <cell r="I66">
            <v>130</v>
          </cell>
          <cell r="J66">
            <v>78</v>
          </cell>
          <cell r="K66">
            <v>76</v>
          </cell>
        </row>
        <row r="67">
          <cell r="E67">
            <v>104138</v>
          </cell>
          <cell r="F67">
            <v>103763</v>
          </cell>
          <cell r="G67">
            <v>104738</v>
          </cell>
          <cell r="H67">
            <v>103256</v>
          </cell>
          <cell r="I67">
            <v>103634</v>
          </cell>
          <cell r="J67">
            <v>103713</v>
          </cell>
          <cell r="K67">
            <v>102904</v>
          </cell>
        </row>
        <row r="68">
          <cell r="E68">
            <v>42390</v>
          </cell>
          <cell r="F68">
            <v>42531</v>
          </cell>
          <cell r="G68">
            <v>42905</v>
          </cell>
          <cell r="H68">
            <v>42687</v>
          </cell>
          <cell r="I68">
            <v>43095</v>
          </cell>
          <cell r="J68">
            <v>43194</v>
          </cell>
          <cell r="K68">
            <v>42863</v>
          </cell>
        </row>
        <row r="69">
          <cell r="E69">
            <v>5327</v>
          </cell>
          <cell r="F69">
            <v>5377</v>
          </cell>
          <cell r="G69">
            <v>5403</v>
          </cell>
          <cell r="H69">
            <v>5412</v>
          </cell>
          <cell r="I69">
            <v>5418</v>
          </cell>
          <cell r="J69">
            <v>5390</v>
          </cell>
          <cell r="K69">
            <v>5304</v>
          </cell>
        </row>
        <row r="70">
          <cell r="E70">
            <v>1301</v>
          </cell>
          <cell r="F70">
            <v>1331</v>
          </cell>
          <cell r="G70">
            <v>1340</v>
          </cell>
          <cell r="H70">
            <v>1325</v>
          </cell>
          <cell r="I70">
            <v>1352</v>
          </cell>
          <cell r="J70">
            <v>1362</v>
          </cell>
          <cell r="K70">
            <v>1321</v>
          </cell>
        </row>
        <row r="71">
          <cell r="E71">
            <v>842</v>
          </cell>
          <cell r="F71">
            <v>829</v>
          </cell>
          <cell r="G71">
            <v>841</v>
          </cell>
          <cell r="H71">
            <v>832</v>
          </cell>
          <cell r="I71">
            <v>838</v>
          </cell>
          <cell r="J71">
            <v>846</v>
          </cell>
          <cell r="K71">
            <v>863</v>
          </cell>
        </row>
        <row r="72">
          <cell r="E72">
            <v>77297</v>
          </cell>
          <cell r="F72">
            <v>77543</v>
          </cell>
          <cell r="G72">
            <v>78204</v>
          </cell>
          <cell r="H72">
            <v>77618</v>
          </cell>
          <cell r="I72">
            <v>78258</v>
          </cell>
          <cell r="J72">
            <v>78403</v>
          </cell>
          <cell r="K72">
            <v>77819</v>
          </cell>
        </row>
        <row r="73">
          <cell r="E73">
            <v>43</v>
          </cell>
          <cell r="F73">
            <v>196</v>
          </cell>
          <cell r="G73">
            <v>72</v>
          </cell>
          <cell r="H73">
            <v>75</v>
          </cell>
          <cell r="I73">
            <v>112</v>
          </cell>
          <cell r="J73">
            <v>73</v>
          </cell>
          <cell r="K73">
            <v>68</v>
          </cell>
        </row>
        <row r="74">
          <cell r="E74">
            <v>127200</v>
          </cell>
          <cell r="F74">
            <v>127807</v>
          </cell>
          <cell r="G74">
            <v>128765</v>
          </cell>
          <cell r="H74">
            <v>127949</v>
          </cell>
          <cell r="I74">
            <v>129073</v>
          </cell>
          <cell r="J74">
            <v>129268</v>
          </cell>
          <cell r="K74">
            <v>128238</v>
          </cell>
        </row>
        <row r="75">
          <cell r="E75">
            <v>151406</v>
          </cell>
          <cell r="F75">
            <v>152581</v>
          </cell>
          <cell r="G75">
            <v>153822</v>
          </cell>
          <cell r="H75">
            <v>153445</v>
          </cell>
          <cell r="I75">
            <v>155385</v>
          </cell>
          <cell r="J75">
            <v>155876</v>
          </cell>
          <cell r="K75">
            <v>155210</v>
          </cell>
        </row>
        <row r="76">
          <cell r="E76">
            <v>2581</v>
          </cell>
          <cell r="F76">
            <v>2591</v>
          </cell>
          <cell r="G76">
            <v>2615</v>
          </cell>
          <cell r="H76">
            <v>2613</v>
          </cell>
          <cell r="I76">
            <v>2634</v>
          </cell>
          <cell r="J76">
            <v>2609</v>
          </cell>
          <cell r="K76">
            <v>2581</v>
          </cell>
        </row>
        <row r="77">
          <cell r="E77">
            <v>2701</v>
          </cell>
          <cell r="F77">
            <v>2706</v>
          </cell>
          <cell r="G77">
            <v>2709</v>
          </cell>
          <cell r="H77">
            <v>2694</v>
          </cell>
          <cell r="I77">
            <v>2713</v>
          </cell>
          <cell r="J77">
            <v>2726</v>
          </cell>
          <cell r="K77">
            <v>2697</v>
          </cell>
        </row>
        <row r="78">
          <cell r="E78">
            <v>4576</v>
          </cell>
          <cell r="F78">
            <v>4596</v>
          </cell>
          <cell r="G78">
            <v>4646</v>
          </cell>
          <cell r="H78">
            <v>4627</v>
          </cell>
          <cell r="I78">
            <v>4737</v>
          </cell>
          <cell r="J78">
            <v>4768</v>
          </cell>
          <cell r="K78">
            <v>4722</v>
          </cell>
        </row>
        <row r="79">
          <cell r="E79">
            <v>37</v>
          </cell>
          <cell r="F79">
            <v>106</v>
          </cell>
          <cell r="G79">
            <v>68</v>
          </cell>
          <cell r="H79">
            <v>37</v>
          </cell>
          <cell r="I79">
            <v>63</v>
          </cell>
          <cell r="J79">
            <v>33</v>
          </cell>
          <cell r="K79">
            <v>43</v>
          </cell>
        </row>
        <row r="80">
          <cell r="E80">
            <v>161301</v>
          </cell>
          <cell r="F80">
            <v>162580</v>
          </cell>
          <cell r="G80">
            <v>163860</v>
          </cell>
          <cell r="H80">
            <v>163416</v>
          </cell>
          <cell r="I80">
            <v>165532</v>
          </cell>
          <cell r="J80">
            <v>166012</v>
          </cell>
          <cell r="K80">
            <v>165253</v>
          </cell>
        </row>
      </sheetData>
      <sheetData sheetId="1"/>
      <sheetData sheetId="2"/>
      <sheetData sheetId="3"/>
      <sheetData sheetId="4"/>
      <sheetData sheetId="5"/>
      <sheetData sheetId="6"/>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ds"/>
      <sheetName val="Prenatal"/>
      <sheetName val="Sheet3"/>
      <sheetName val="Per capitas FY 2010-11"/>
      <sheetName val="Estimated Dental"/>
      <sheetName val="Advocate letter response"/>
      <sheetName val="Sheet2"/>
    </sheetNames>
    <sheetDataSet>
      <sheetData sheetId="0">
        <row r="145">
          <cell r="K145">
            <v>59909</v>
          </cell>
          <cell r="N145">
            <v>0</v>
          </cell>
        </row>
        <row r="146">
          <cell r="N146">
            <v>0</v>
          </cell>
        </row>
        <row r="147">
          <cell r="N147">
            <v>0</v>
          </cell>
        </row>
        <row r="148">
          <cell r="N148">
            <v>0</v>
          </cell>
        </row>
        <row r="149">
          <cell r="N149">
            <v>0</v>
          </cell>
        </row>
        <row r="150">
          <cell r="N150">
            <v>0</v>
          </cell>
        </row>
        <row r="151">
          <cell r="N151">
            <v>0</v>
          </cell>
        </row>
        <row r="152">
          <cell r="N152">
            <v>0</v>
          </cell>
        </row>
        <row r="153">
          <cell r="N153">
            <v>0</v>
          </cell>
        </row>
        <row r="154">
          <cell r="N154">
            <v>0</v>
          </cell>
        </row>
        <row r="155">
          <cell r="N155">
            <v>600</v>
          </cell>
        </row>
        <row r="156">
          <cell r="N156">
            <v>1029</v>
          </cell>
        </row>
        <row r="158">
          <cell r="N158">
            <v>1511</v>
          </cell>
        </row>
        <row r="159">
          <cell r="N159">
            <v>2018</v>
          </cell>
        </row>
        <row r="160">
          <cell r="N160">
            <v>2505</v>
          </cell>
        </row>
        <row r="161">
          <cell r="N161">
            <v>2935</v>
          </cell>
        </row>
        <row r="162">
          <cell r="N162">
            <v>3342</v>
          </cell>
        </row>
        <row r="163">
          <cell r="N163">
            <v>3759</v>
          </cell>
        </row>
        <row r="164">
          <cell r="N164">
            <v>4316</v>
          </cell>
        </row>
        <row r="165">
          <cell r="N165">
            <v>4888</v>
          </cell>
        </row>
        <row r="166">
          <cell r="N166">
            <v>5358</v>
          </cell>
        </row>
        <row r="167">
          <cell r="N167">
            <v>5674</v>
          </cell>
        </row>
        <row r="168">
          <cell r="N168">
            <v>5872</v>
          </cell>
        </row>
        <row r="169">
          <cell r="N169">
            <v>6098</v>
          </cell>
        </row>
        <row r="171">
          <cell r="N171">
            <v>6320</v>
          </cell>
        </row>
        <row r="172">
          <cell r="N172">
            <v>6444</v>
          </cell>
        </row>
        <row r="173">
          <cell r="N173">
            <v>7275</v>
          </cell>
        </row>
        <row r="174">
          <cell r="N174">
            <v>8075</v>
          </cell>
        </row>
        <row r="175">
          <cell r="N175">
            <v>10493</v>
          </cell>
        </row>
        <row r="176">
          <cell r="N176">
            <v>12338</v>
          </cell>
        </row>
        <row r="177">
          <cell r="N177">
            <v>12985</v>
          </cell>
        </row>
        <row r="178">
          <cell r="N178">
            <v>13250</v>
          </cell>
        </row>
        <row r="179">
          <cell r="N179">
            <v>13774</v>
          </cell>
        </row>
        <row r="180">
          <cell r="N180">
            <v>13492</v>
          </cell>
        </row>
        <row r="181">
          <cell r="N181">
            <v>14169</v>
          </cell>
        </row>
        <row r="182">
          <cell r="N182">
            <v>13975</v>
          </cell>
        </row>
        <row r="184">
          <cell r="N184">
            <v>13731</v>
          </cell>
        </row>
        <row r="185">
          <cell r="N185">
            <v>14509</v>
          </cell>
        </row>
        <row r="186">
          <cell r="N186">
            <v>15267</v>
          </cell>
        </row>
        <row r="187">
          <cell r="N187">
            <v>14955</v>
          </cell>
        </row>
        <row r="188">
          <cell r="N188">
            <v>15289</v>
          </cell>
        </row>
        <row r="189">
          <cell r="N189">
            <v>16575</v>
          </cell>
        </row>
        <row r="190">
          <cell r="N190">
            <v>16159</v>
          </cell>
        </row>
        <row r="191">
          <cell r="N191">
            <v>16028</v>
          </cell>
        </row>
        <row r="192">
          <cell r="N192">
            <v>16337</v>
          </cell>
        </row>
        <row r="193">
          <cell r="N193">
            <v>16091</v>
          </cell>
        </row>
        <row r="194">
          <cell r="N194">
            <v>15914</v>
          </cell>
        </row>
        <row r="195">
          <cell r="N195">
            <v>16047</v>
          </cell>
        </row>
      </sheetData>
      <sheetData sheetId="1">
        <row r="90">
          <cell r="B90">
            <v>1389</v>
          </cell>
          <cell r="E90">
            <v>0</v>
          </cell>
        </row>
        <row r="91">
          <cell r="E91">
            <v>0</v>
          </cell>
        </row>
        <row r="92">
          <cell r="E92">
            <v>0</v>
          </cell>
        </row>
        <row r="93">
          <cell r="E93">
            <v>0</v>
          </cell>
        </row>
        <row r="94">
          <cell r="E94">
            <v>0</v>
          </cell>
        </row>
        <row r="95">
          <cell r="E95">
            <v>0</v>
          </cell>
        </row>
        <row r="96">
          <cell r="E96">
            <v>0</v>
          </cell>
        </row>
        <row r="97">
          <cell r="E97">
            <v>0</v>
          </cell>
        </row>
        <row r="98">
          <cell r="E98">
            <v>0</v>
          </cell>
        </row>
        <row r="99">
          <cell r="E99">
            <v>0</v>
          </cell>
        </row>
        <row r="100">
          <cell r="E100">
            <v>46</v>
          </cell>
        </row>
        <row r="101">
          <cell r="E101">
            <v>83</v>
          </cell>
        </row>
        <row r="103">
          <cell r="E103">
            <v>124</v>
          </cell>
        </row>
        <row r="104">
          <cell r="E104">
            <v>162</v>
          </cell>
        </row>
        <row r="105">
          <cell r="E105">
            <v>187</v>
          </cell>
        </row>
        <row r="106">
          <cell r="E106">
            <v>206</v>
          </cell>
        </row>
        <row r="107">
          <cell r="E107">
            <v>228</v>
          </cell>
        </row>
        <row r="108">
          <cell r="E108">
            <v>270</v>
          </cell>
        </row>
        <row r="109">
          <cell r="E109">
            <v>325</v>
          </cell>
        </row>
        <row r="110">
          <cell r="E110">
            <v>357</v>
          </cell>
        </row>
        <row r="111">
          <cell r="E111">
            <v>361</v>
          </cell>
        </row>
        <row r="112">
          <cell r="E112">
            <v>355</v>
          </cell>
        </row>
        <row r="113">
          <cell r="E113">
            <v>342</v>
          </cell>
        </row>
        <row r="114">
          <cell r="E114">
            <v>349</v>
          </cell>
        </row>
        <row r="116">
          <cell r="E116">
            <v>357</v>
          </cell>
        </row>
        <row r="117">
          <cell r="E117">
            <v>355</v>
          </cell>
        </row>
        <row r="118">
          <cell r="E118">
            <v>377</v>
          </cell>
        </row>
        <row r="119">
          <cell r="E119">
            <v>375</v>
          </cell>
        </row>
        <row r="120">
          <cell r="E120">
            <v>451</v>
          </cell>
        </row>
        <row r="121">
          <cell r="E121">
            <v>487</v>
          </cell>
        </row>
        <row r="122">
          <cell r="E122">
            <v>498</v>
          </cell>
        </row>
        <row r="123">
          <cell r="E123">
            <v>494</v>
          </cell>
        </row>
        <row r="124">
          <cell r="E124">
            <v>525</v>
          </cell>
        </row>
        <row r="125">
          <cell r="E125">
            <v>494</v>
          </cell>
        </row>
        <row r="126">
          <cell r="E126">
            <v>494</v>
          </cell>
        </row>
        <row r="127">
          <cell r="E127">
            <v>466</v>
          </cell>
        </row>
        <row r="129">
          <cell r="E129">
            <v>452</v>
          </cell>
        </row>
        <row r="130">
          <cell r="E130">
            <v>459</v>
          </cell>
        </row>
        <row r="131">
          <cell r="E131">
            <v>482</v>
          </cell>
        </row>
        <row r="132">
          <cell r="E132">
            <v>470</v>
          </cell>
        </row>
        <row r="133">
          <cell r="E133">
            <v>498</v>
          </cell>
        </row>
        <row r="134">
          <cell r="E134">
            <v>550</v>
          </cell>
        </row>
        <row r="135">
          <cell r="E135">
            <v>504</v>
          </cell>
        </row>
        <row r="136">
          <cell r="E136">
            <v>451</v>
          </cell>
        </row>
        <row r="137">
          <cell r="E137">
            <v>442</v>
          </cell>
        </row>
        <row r="138">
          <cell r="E138">
            <v>435</v>
          </cell>
        </row>
        <row r="139">
          <cell r="E139">
            <v>417</v>
          </cell>
        </row>
        <row r="140">
          <cell r="E140">
            <v>399</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60"/>
  <sheetViews>
    <sheetView view="pageBreakPreview" zoomScale="70" zoomScaleNormal="100" zoomScaleSheetLayoutView="70" workbookViewId="0">
      <selection activeCell="C4" sqref="C4"/>
    </sheetView>
  </sheetViews>
  <sheetFormatPr defaultColWidth="9.140625" defaultRowHeight="15.75" x14ac:dyDescent="0.2"/>
  <cols>
    <col min="1" max="1" width="5.5703125" style="88" customWidth="1"/>
    <col min="2" max="2" width="33.5703125" style="88" customWidth="1"/>
    <col min="3" max="4" width="17.7109375" style="88" customWidth="1"/>
    <col min="5" max="5" width="18.7109375" style="88" bestFit="1" customWidth="1"/>
    <col min="6" max="6" width="17.7109375" style="88" customWidth="1"/>
    <col min="7" max="7" width="18.7109375" style="88" bestFit="1" customWidth="1"/>
    <col min="8" max="15" width="17.7109375" style="88" customWidth="1"/>
    <col min="16" max="16384" width="9.140625" style="88"/>
  </cols>
  <sheetData>
    <row r="1" spans="1:15" s="89" customFormat="1" ht="16.5" customHeight="1" thickBot="1" x14ac:dyDescent="0.25">
      <c r="A1" s="400" t="s">
        <v>290</v>
      </c>
      <c r="B1" s="400"/>
      <c r="C1" s="400"/>
      <c r="D1" s="400"/>
      <c r="E1" s="400"/>
      <c r="F1" s="400"/>
      <c r="G1" s="400"/>
      <c r="H1" s="400"/>
      <c r="I1" s="400"/>
      <c r="J1" s="400"/>
      <c r="K1" s="400"/>
      <c r="L1" s="400"/>
      <c r="M1" s="400"/>
      <c r="N1" s="400"/>
      <c r="O1" s="400"/>
    </row>
    <row r="2" spans="1:15" ht="32.25" thickBot="1" x14ac:dyDescent="0.25">
      <c r="A2" s="62"/>
      <c r="B2" s="63" t="s">
        <v>49</v>
      </c>
      <c r="C2" s="64">
        <v>42552</v>
      </c>
      <c r="D2" s="64">
        <v>42583</v>
      </c>
      <c r="E2" s="64">
        <v>42614</v>
      </c>
      <c r="F2" s="64">
        <v>42644</v>
      </c>
      <c r="G2" s="64">
        <v>42675</v>
      </c>
      <c r="H2" s="64">
        <v>42705</v>
      </c>
      <c r="I2" s="64">
        <v>42736</v>
      </c>
      <c r="J2" s="64">
        <v>42767</v>
      </c>
      <c r="K2" s="64">
        <v>42795</v>
      </c>
      <c r="L2" s="64">
        <v>42826</v>
      </c>
      <c r="M2" s="64">
        <v>42856</v>
      </c>
      <c r="N2" s="64">
        <v>42887</v>
      </c>
      <c r="O2" s="65" t="s">
        <v>291</v>
      </c>
    </row>
    <row r="3" spans="1:15" x14ac:dyDescent="0.2">
      <c r="A3" s="401" t="s">
        <v>50</v>
      </c>
      <c r="B3" s="90" t="s">
        <v>51</v>
      </c>
      <c r="C3" s="357">
        <f>ROUNDUP('[3]Cash-Based Monthly Totals'!GK3,0)</f>
        <v>51180194</v>
      </c>
      <c r="D3" s="357">
        <f>ROUND('[3]Cash-Based Monthly Totals'!GL3,0)</f>
        <v>63940070</v>
      </c>
      <c r="E3" s="357">
        <f>ROUND('[3]Cash-Based Monthly Totals'!GM3,0)</f>
        <v>50530485</v>
      </c>
      <c r="F3" s="357">
        <f>ROUND('[3]Cash-Based Monthly Totals'!GN3,0)</f>
        <v>68635471</v>
      </c>
      <c r="G3" s="357">
        <f>ROUND('[3]Cash-Based Monthly Totals'!GO3,0)</f>
        <v>51211880</v>
      </c>
      <c r="H3" s="357">
        <f>ROUND('[3]Cash-Based Monthly Totals'!GP3,0)</f>
        <v>56694400</v>
      </c>
      <c r="I3" s="357">
        <f>ROUND('[3]Cash-Based Monthly Totals'!GQ3,0)</f>
        <v>64139352</v>
      </c>
      <c r="J3" s="357"/>
      <c r="K3" s="357"/>
      <c r="L3" s="357"/>
      <c r="M3" s="357"/>
      <c r="N3" s="357"/>
      <c r="O3" s="91">
        <f t="shared" ref="O3:O37" si="0">ROUND(SUM(C3:N3),0)</f>
        <v>406331852</v>
      </c>
    </row>
    <row r="4" spans="1:15" x14ac:dyDescent="0.2">
      <c r="A4" s="402"/>
      <c r="B4" s="90" t="s">
        <v>52</v>
      </c>
      <c r="C4" s="357">
        <f>ROUND('[3]Cash-Based Monthly Totals'!GK4,0)</f>
        <v>2231186</v>
      </c>
      <c r="D4" s="357">
        <f>ROUND('[3]Cash-Based Monthly Totals'!GL4,0)</f>
        <v>3425724</v>
      </c>
      <c r="E4" s="357">
        <f>ROUND('[3]Cash-Based Monthly Totals'!GM4,0)</f>
        <v>2497610</v>
      </c>
      <c r="F4" s="357">
        <f>ROUND('[3]Cash-Based Monthly Totals'!GN4,0)</f>
        <v>2793181</v>
      </c>
      <c r="G4" s="357">
        <f>ROUND('[3]Cash-Based Monthly Totals'!GO4,0)</f>
        <v>2048018</v>
      </c>
      <c r="H4" s="357">
        <f>ROUND('[3]Cash-Based Monthly Totals'!GP4,0)</f>
        <v>2007853</v>
      </c>
      <c r="I4" s="357">
        <f>ROUND('[3]Cash-Based Monthly Totals'!GQ4,0)</f>
        <v>2353493</v>
      </c>
      <c r="J4" s="357"/>
      <c r="K4" s="357"/>
      <c r="L4" s="357"/>
      <c r="M4" s="357"/>
      <c r="N4" s="357"/>
      <c r="O4" s="91">
        <f t="shared" si="0"/>
        <v>17357065</v>
      </c>
    </row>
    <row r="5" spans="1:15" x14ac:dyDescent="0.2">
      <c r="A5" s="402"/>
      <c r="B5" s="90" t="s">
        <v>53</v>
      </c>
      <c r="C5" s="357">
        <f>ROUND('[3]Cash-Based Monthly Totals'!GK5,0)</f>
        <v>1989094</v>
      </c>
      <c r="D5" s="357">
        <f>ROUND('[3]Cash-Based Monthly Totals'!GL5,0)</f>
        <v>2393038</v>
      </c>
      <c r="E5" s="357">
        <f>ROUND('[3]Cash-Based Monthly Totals'!GM5,0)</f>
        <v>2127248</v>
      </c>
      <c r="F5" s="357">
        <f>ROUND('[3]Cash-Based Monthly Totals'!GN5,0)</f>
        <v>2623738</v>
      </c>
      <c r="G5" s="357">
        <f>ROUND('[3]Cash-Based Monthly Totals'!GO5,0)</f>
        <v>2531653</v>
      </c>
      <c r="H5" s="357">
        <f>ROUND('[3]Cash-Based Monthly Totals'!GP5,0)</f>
        <v>2096685</v>
      </c>
      <c r="I5" s="357">
        <f>ROUND('[3]Cash-Based Monthly Totals'!GQ5,0)</f>
        <v>2811554</v>
      </c>
      <c r="J5" s="357"/>
      <c r="K5" s="357"/>
      <c r="L5" s="357"/>
      <c r="M5" s="357"/>
      <c r="N5" s="357"/>
      <c r="O5" s="91">
        <f t="shared" si="0"/>
        <v>16573010</v>
      </c>
    </row>
    <row r="6" spans="1:15" ht="31.5" x14ac:dyDescent="0.2">
      <c r="A6" s="402"/>
      <c r="B6" s="90" t="s">
        <v>54</v>
      </c>
      <c r="C6" s="357">
        <f>ROUND('[3]Cash-Based Monthly Totals'!GK6,0)</f>
        <v>1588109</v>
      </c>
      <c r="D6" s="357">
        <f>ROUND('[3]Cash-Based Monthly Totals'!GL6,0)</f>
        <v>1821243</v>
      </c>
      <c r="E6" s="357">
        <f>ROUND('[3]Cash-Based Monthly Totals'!GM6,0)</f>
        <v>1525628</v>
      </c>
      <c r="F6" s="357">
        <f>ROUND('[3]Cash-Based Monthly Totals'!GN6,0)</f>
        <v>2271226</v>
      </c>
      <c r="G6" s="357">
        <f>ROUND('[3]Cash-Based Monthly Totals'!GO6,0)</f>
        <v>1792520</v>
      </c>
      <c r="H6" s="357">
        <f>ROUND('[3]Cash-Based Monthly Totals'!GP6,0)</f>
        <v>1635014</v>
      </c>
      <c r="I6" s="357">
        <f>ROUND('[3]Cash-Based Monthly Totals'!GQ6,0)</f>
        <v>2170060</v>
      </c>
      <c r="J6" s="357"/>
      <c r="K6" s="357"/>
      <c r="L6" s="357"/>
      <c r="M6" s="357"/>
      <c r="N6" s="357"/>
      <c r="O6" s="91">
        <f t="shared" si="0"/>
        <v>12803800</v>
      </c>
    </row>
    <row r="7" spans="1:15" x14ac:dyDescent="0.2">
      <c r="A7" s="402"/>
      <c r="B7" s="90" t="s">
        <v>55</v>
      </c>
      <c r="C7" s="357">
        <f>ROUND('[3]Cash-Based Monthly Totals'!GK7,0)</f>
        <v>20146151</v>
      </c>
      <c r="D7" s="357">
        <f>ROUNDDOWN('[3]Cash-Based Monthly Totals'!GL7,0)</f>
        <v>40599515</v>
      </c>
      <c r="E7" s="357">
        <f>ROUNDDOWN('[3]Cash-Based Monthly Totals'!GM7,0)</f>
        <v>28948833</v>
      </c>
      <c r="F7" s="357">
        <f>ROUNDDOWN('[3]Cash-Based Monthly Totals'!GN7,0)</f>
        <v>33521673</v>
      </c>
      <c r="G7" s="357">
        <f>ROUNDDOWN('[3]Cash-Based Monthly Totals'!GO7,0)</f>
        <v>27070032</v>
      </c>
      <c r="H7" s="357">
        <f>ROUNDDOWN('[3]Cash-Based Monthly Totals'!GP7,0)</f>
        <v>25012795</v>
      </c>
      <c r="I7" s="357">
        <f>ROUND('[3]Cash-Based Monthly Totals'!GQ7,0)</f>
        <v>27864071</v>
      </c>
      <c r="J7" s="357"/>
      <c r="K7" s="357"/>
      <c r="L7" s="357"/>
      <c r="M7" s="357"/>
      <c r="N7" s="357"/>
      <c r="O7" s="91">
        <f t="shared" si="0"/>
        <v>203163070</v>
      </c>
    </row>
    <row r="8" spans="1:15" x14ac:dyDescent="0.2">
      <c r="A8" s="402"/>
      <c r="B8" s="90" t="s">
        <v>56</v>
      </c>
      <c r="C8" s="357">
        <f>ROUND('[3]Cash-Based Monthly Totals'!GK8,0)</f>
        <v>414107</v>
      </c>
      <c r="D8" s="357">
        <f>ROUND('[3]Cash-Based Monthly Totals'!GL8,0)</f>
        <v>568314</v>
      </c>
      <c r="E8" s="357">
        <f>ROUND('[3]Cash-Based Monthly Totals'!GM8,0)</f>
        <v>419642</v>
      </c>
      <c r="F8" s="357">
        <f>ROUND('[3]Cash-Based Monthly Totals'!GN8,0)</f>
        <v>823850</v>
      </c>
      <c r="G8" s="357">
        <f>ROUND('[3]Cash-Based Monthly Totals'!GO8,0)</f>
        <v>485030</v>
      </c>
      <c r="H8" s="357">
        <f>ROUND('[3]Cash-Based Monthly Totals'!GP8,0)</f>
        <v>508657</v>
      </c>
      <c r="I8" s="357">
        <f>ROUND('[3]Cash-Based Monthly Totals'!GQ8,0)</f>
        <v>599656</v>
      </c>
      <c r="J8" s="357"/>
      <c r="K8" s="357"/>
      <c r="L8" s="357"/>
      <c r="M8" s="357"/>
      <c r="N8" s="357"/>
      <c r="O8" s="91">
        <f t="shared" si="0"/>
        <v>3819256</v>
      </c>
    </row>
    <row r="9" spans="1:15" x14ac:dyDescent="0.2">
      <c r="A9" s="402"/>
      <c r="B9" s="90" t="s">
        <v>57</v>
      </c>
      <c r="C9" s="357">
        <f>ROUND('[3]Cash-Based Monthly Totals'!GK9,0)</f>
        <v>33122182</v>
      </c>
      <c r="D9" s="357">
        <f>ROUNDDOWN('[3]Cash-Based Monthly Totals'!GL9,0)</f>
        <v>32703618</v>
      </c>
      <c r="E9" s="357">
        <f>ROUND('[3]Cash-Based Monthly Totals'!GM9,0)</f>
        <v>33465252</v>
      </c>
      <c r="F9" s="357">
        <f>ROUND('[3]Cash-Based Monthly Totals'!GN9,0)</f>
        <v>34237891</v>
      </c>
      <c r="G9" s="357">
        <f>ROUND('[3]Cash-Based Monthly Totals'!GO9,0)</f>
        <v>33536834</v>
      </c>
      <c r="H9" s="357">
        <f>ROUND('[3]Cash-Based Monthly Totals'!GP9,0)</f>
        <v>26948886</v>
      </c>
      <c r="I9" s="357">
        <f>ROUND('[3]Cash-Based Monthly Totals'!GQ9,0)</f>
        <v>34262716</v>
      </c>
      <c r="J9" s="357"/>
      <c r="K9" s="357"/>
      <c r="L9" s="357"/>
      <c r="M9" s="357"/>
      <c r="N9" s="357"/>
      <c r="O9" s="91">
        <f t="shared" si="0"/>
        <v>228277379</v>
      </c>
    </row>
    <row r="10" spans="1:15" x14ac:dyDescent="0.2">
      <c r="A10" s="402"/>
      <c r="B10" s="90" t="s">
        <v>16</v>
      </c>
      <c r="C10" s="357">
        <f>ROUND('[3]Cash-Based Monthly Totals'!GK10,0)</f>
        <v>51219322</v>
      </c>
      <c r="D10" s="357">
        <f>ROUND('[3]Cash-Based Monthly Totals'!GL10,0)</f>
        <v>57681227</v>
      </c>
      <c r="E10" s="357">
        <f>ROUND('[3]Cash-Based Monthly Totals'!GM10,0)</f>
        <v>60591899</v>
      </c>
      <c r="F10" s="357">
        <f>ROUND('[3]Cash-Based Monthly Totals'!GN10,0)</f>
        <v>75352277</v>
      </c>
      <c r="G10" s="357">
        <f>ROUND('[3]Cash-Based Monthly Totals'!GO10,0)</f>
        <v>54432354</v>
      </c>
      <c r="H10" s="357">
        <f>ROUND('[3]Cash-Based Monthly Totals'!GP10,0)</f>
        <v>61936906</v>
      </c>
      <c r="I10" s="357">
        <f>ROUNDDOWN('[3]Cash-Based Monthly Totals'!GQ10,0)</f>
        <v>81018140</v>
      </c>
      <c r="J10" s="357"/>
      <c r="K10" s="357"/>
      <c r="L10" s="357"/>
      <c r="M10" s="357"/>
      <c r="N10" s="357"/>
      <c r="O10" s="91">
        <f t="shared" si="0"/>
        <v>442232125</v>
      </c>
    </row>
    <row r="11" spans="1:15" x14ac:dyDescent="0.2">
      <c r="A11" s="402"/>
      <c r="B11" s="90" t="s">
        <v>17</v>
      </c>
      <c r="C11" s="357">
        <f>ROUND('[3]Cash-Based Monthly Totals'!GK11,0)</f>
        <v>51455926</v>
      </c>
      <c r="D11" s="357">
        <f>ROUND('[3]Cash-Based Monthly Totals'!GL11,0)</f>
        <v>48325880</v>
      </c>
      <c r="E11" s="357">
        <f>ROUND('[3]Cash-Based Monthly Totals'!GM11,0)</f>
        <v>50136333</v>
      </c>
      <c r="F11" s="357">
        <f>ROUND('[3]Cash-Based Monthly Totals'!GN11,0)</f>
        <v>66402863</v>
      </c>
      <c r="G11" s="357">
        <f>ROUND('[3]Cash-Based Monthly Totals'!GO11,0)</f>
        <v>46015784</v>
      </c>
      <c r="H11" s="357">
        <f>ROUND('[3]Cash-Based Monthly Totals'!GP11,0)</f>
        <v>42052677</v>
      </c>
      <c r="I11" s="357">
        <f>ROUND('[3]Cash-Based Monthly Totals'!GQ11,0)</f>
        <v>47093230</v>
      </c>
      <c r="J11" s="357"/>
      <c r="K11" s="357"/>
      <c r="L11" s="357"/>
      <c r="M11" s="357"/>
      <c r="N11" s="357"/>
      <c r="O11" s="91">
        <f t="shared" si="0"/>
        <v>351482693</v>
      </c>
    </row>
    <row r="12" spans="1:15" x14ac:dyDescent="0.2">
      <c r="A12" s="402"/>
      <c r="B12" s="90" t="s">
        <v>58</v>
      </c>
      <c r="C12" s="357">
        <f>ROUND('[3]Cash-Based Monthly Totals'!GK12,0)</f>
        <v>8910847</v>
      </c>
      <c r="D12" s="357">
        <f>ROUND('[3]Cash-Based Monthly Totals'!GL12,0)</f>
        <v>11600298</v>
      </c>
      <c r="E12" s="357">
        <f>ROUND('[3]Cash-Based Monthly Totals'!GM12,0)</f>
        <v>9542222</v>
      </c>
      <c r="F12" s="357">
        <f>ROUND('[3]Cash-Based Monthly Totals'!GN12,0)</f>
        <v>12821369</v>
      </c>
      <c r="G12" s="357">
        <f>ROUND('[3]Cash-Based Monthly Totals'!GO12,0)</f>
        <v>9525766</v>
      </c>
      <c r="H12" s="357">
        <f>ROUND('[3]Cash-Based Monthly Totals'!GP12,0)</f>
        <v>10178402</v>
      </c>
      <c r="I12" s="357">
        <f>ROUND('[3]Cash-Based Monthly Totals'!GQ12,0)</f>
        <v>12064248</v>
      </c>
      <c r="J12" s="357"/>
      <c r="K12" s="357"/>
      <c r="L12" s="357"/>
      <c r="M12" s="357"/>
      <c r="N12" s="357"/>
      <c r="O12" s="91">
        <f t="shared" si="0"/>
        <v>74643152</v>
      </c>
    </row>
    <row r="13" spans="1:15" x14ac:dyDescent="0.2">
      <c r="A13" s="402"/>
      <c r="B13" s="90" t="s">
        <v>59</v>
      </c>
      <c r="C13" s="357">
        <f>ROUND('[3]Cash-Based Monthly Totals'!GK13,0)</f>
        <v>13839505</v>
      </c>
      <c r="D13" s="357">
        <f>ROUND('[3]Cash-Based Monthly Totals'!GL13,0)</f>
        <v>17114435</v>
      </c>
      <c r="E13" s="357">
        <f>ROUND('[3]Cash-Based Monthly Totals'!GM13,0)</f>
        <v>13608632</v>
      </c>
      <c r="F13" s="357">
        <f>ROUND('[3]Cash-Based Monthly Totals'!GN13,0)</f>
        <v>19052581</v>
      </c>
      <c r="G13" s="357">
        <f>ROUND('[3]Cash-Based Monthly Totals'!GO13,0)</f>
        <v>14098534</v>
      </c>
      <c r="H13" s="357">
        <f>ROUND('[3]Cash-Based Monthly Totals'!GP13,0)</f>
        <v>15240715</v>
      </c>
      <c r="I13" s="357">
        <f>ROUND('[3]Cash-Based Monthly Totals'!GQ13,0)</f>
        <v>17097987</v>
      </c>
      <c r="J13" s="357"/>
      <c r="K13" s="357"/>
      <c r="L13" s="357"/>
      <c r="M13" s="357"/>
      <c r="N13" s="357"/>
      <c r="O13" s="91">
        <f t="shared" si="0"/>
        <v>110052389</v>
      </c>
    </row>
    <row r="14" spans="1:15" x14ac:dyDescent="0.2">
      <c r="A14" s="402"/>
      <c r="B14" s="90" t="s">
        <v>15</v>
      </c>
      <c r="C14" s="357">
        <f>ROUNDUP('[3]Cash-Based Monthly Totals'!GK14,0)</f>
        <v>66239821</v>
      </c>
      <c r="D14" s="357">
        <f>ROUND('[3]Cash-Based Monthly Totals'!GL14,0)</f>
        <v>87220032</v>
      </c>
      <c r="E14" s="357">
        <f>ROUND('[3]Cash-Based Monthly Totals'!GM14,0)</f>
        <v>69975082</v>
      </c>
      <c r="F14" s="357">
        <f>ROUND('[3]Cash-Based Monthly Totals'!GN14,0)</f>
        <v>90019350</v>
      </c>
      <c r="G14" s="357">
        <f>ROUND('[3]Cash-Based Monthly Totals'!GO14,0)</f>
        <v>70279174</v>
      </c>
      <c r="H14" s="357">
        <f>ROUND('[3]Cash-Based Monthly Totals'!GP14,0)</f>
        <v>77730002</v>
      </c>
      <c r="I14" s="357">
        <f>ROUNDDOWN('[3]Cash-Based Monthly Totals'!GQ14,0)</f>
        <v>93253864</v>
      </c>
      <c r="J14" s="357"/>
      <c r="K14" s="357"/>
      <c r="L14" s="357"/>
      <c r="M14" s="357"/>
      <c r="N14" s="357"/>
      <c r="O14" s="91">
        <f t="shared" si="0"/>
        <v>554717325</v>
      </c>
    </row>
    <row r="15" spans="1:15" x14ac:dyDescent="0.2">
      <c r="A15" s="402"/>
      <c r="B15" s="90" t="s">
        <v>60</v>
      </c>
      <c r="C15" s="357">
        <f>ROUND('[3]Cash-Based Monthly Totals'!GK15,0)</f>
        <v>0</v>
      </c>
      <c r="D15" s="357">
        <f>ROUND('[3]Cash-Based Monthly Totals'!GL15,0)</f>
        <v>0</v>
      </c>
      <c r="E15" s="357">
        <f>ROUNDDOWN('[3]Cash-Based Monthly Totals'!GM15,0)</f>
        <v>-128245815</v>
      </c>
      <c r="F15" s="357">
        <f>ROUNDDOWN('[3]Cash-Based Monthly Totals'!GN15,0)</f>
        <v>-2743065</v>
      </c>
      <c r="G15" s="357">
        <f>ROUNDDOWN('[3]Cash-Based Monthly Totals'!GO15,0)</f>
        <v>0</v>
      </c>
      <c r="H15" s="357">
        <f>ROUNDDOWN('[3]Cash-Based Monthly Totals'!GP15,0)</f>
        <v>-154735457</v>
      </c>
      <c r="I15" s="357">
        <f>ROUND('[3]Cash-Based Monthly Totals'!GQ15,0)</f>
        <v>0</v>
      </c>
      <c r="J15" s="357"/>
      <c r="K15" s="357"/>
      <c r="L15" s="357"/>
      <c r="M15" s="357"/>
      <c r="N15" s="357"/>
      <c r="O15" s="91">
        <f t="shared" si="0"/>
        <v>-285724337</v>
      </c>
    </row>
    <row r="16" spans="1:15" x14ac:dyDescent="0.2">
      <c r="A16" s="402"/>
      <c r="B16" s="90" t="s">
        <v>82</v>
      </c>
      <c r="C16" s="357">
        <f>ROUND('[3]Cash-Based Monthly Totals'!GK17,0)</f>
        <v>1275745</v>
      </c>
      <c r="D16" s="357">
        <f>ROUND('[3]Cash-Based Monthly Totals'!GL17,0)</f>
        <v>1758207</v>
      </c>
      <c r="E16" s="357">
        <f>ROUND('[3]Cash-Based Monthly Totals'!GM17,0)</f>
        <v>1366726</v>
      </c>
      <c r="F16" s="357">
        <f>ROUND('[3]Cash-Based Monthly Totals'!GN17,0)</f>
        <v>2405453</v>
      </c>
      <c r="G16" s="357">
        <f>ROUND('[3]Cash-Based Monthly Totals'!GO17,0)</f>
        <v>1623965</v>
      </c>
      <c r="H16" s="357">
        <f>ROUND('[3]Cash-Based Monthly Totals'!GP17,0)</f>
        <v>1613099</v>
      </c>
      <c r="I16" s="357">
        <f>ROUND('[3]Cash-Based Monthly Totals'!GQ17,0)</f>
        <v>2339821</v>
      </c>
      <c r="J16" s="357"/>
      <c r="K16" s="357"/>
      <c r="L16" s="357"/>
      <c r="M16" s="357"/>
      <c r="N16" s="357"/>
      <c r="O16" s="91">
        <f t="shared" si="0"/>
        <v>12383016</v>
      </c>
    </row>
    <row r="17" spans="1:15" x14ac:dyDescent="0.2">
      <c r="A17" s="402"/>
      <c r="B17" s="90" t="s">
        <v>83</v>
      </c>
      <c r="C17" s="357">
        <f>ROUND('[3]Cash-Based Monthly Totals'!GK18,0)</f>
        <v>10637575</v>
      </c>
      <c r="D17" s="357">
        <f>ROUND('[3]Cash-Based Monthly Totals'!GL18,0)</f>
        <v>15070819</v>
      </c>
      <c r="E17" s="357">
        <f>ROUND('[3]Cash-Based Monthly Totals'!GM18,0)</f>
        <v>10238089</v>
      </c>
      <c r="F17" s="357">
        <f>ROUND('[3]Cash-Based Monthly Totals'!GN18,0)</f>
        <v>15864410</v>
      </c>
      <c r="G17" s="357">
        <f>ROUND('[3]Cash-Based Monthly Totals'!GO18,0)</f>
        <v>11057789</v>
      </c>
      <c r="H17" s="357">
        <f>ROUND('[3]Cash-Based Monthly Totals'!GP18,0)</f>
        <v>13205105</v>
      </c>
      <c r="I17" s="357">
        <f>ROUNDDOWN('[3]Cash-Based Monthly Totals'!GQ18,0)</f>
        <v>15540914</v>
      </c>
      <c r="J17" s="357"/>
      <c r="K17" s="357"/>
      <c r="L17" s="357"/>
      <c r="M17" s="357"/>
      <c r="N17" s="357"/>
      <c r="O17" s="91">
        <f t="shared" si="0"/>
        <v>91614701</v>
      </c>
    </row>
    <row r="18" spans="1:15" ht="31.5" x14ac:dyDescent="0.2">
      <c r="A18" s="402"/>
      <c r="B18" s="90" t="s">
        <v>84</v>
      </c>
      <c r="C18" s="357">
        <f>ROUND('[3]Cash-Based Monthly Totals'!GK19,0)</f>
        <v>5782235</v>
      </c>
      <c r="D18" s="357">
        <f>ROUND('[3]Cash-Based Monthly Totals'!GL19,0)</f>
        <v>4415367</v>
      </c>
      <c r="E18" s="357">
        <f>ROUND('[3]Cash-Based Monthly Totals'!GM19,0)</f>
        <v>1842196</v>
      </c>
      <c r="F18" s="357">
        <f>ROUND('[3]Cash-Based Monthly Totals'!GN19,0)</f>
        <v>3314080</v>
      </c>
      <c r="G18" s="357">
        <f>ROUND('[3]Cash-Based Monthly Totals'!GO19,0)</f>
        <v>10579722</v>
      </c>
      <c r="H18" s="357">
        <f>ROUND('[3]Cash-Based Monthly Totals'!GP19,0)</f>
        <v>5789647</v>
      </c>
      <c r="I18" s="357">
        <f>ROUND('[3]Cash-Based Monthly Totals'!GQ19,0)</f>
        <v>2472131</v>
      </c>
      <c r="J18" s="357"/>
      <c r="K18" s="357"/>
      <c r="L18" s="357"/>
      <c r="M18" s="357"/>
      <c r="N18" s="357"/>
      <c r="O18" s="91">
        <f t="shared" si="0"/>
        <v>34195378</v>
      </c>
    </row>
    <row r="19" spans="1:15" ht="31.5" x14ac:dyDescent="0.2">
      <c r="A19" s="402"/>
      <c r="B19" s="90" t="s">
        <v>85</v>
      </c>
      <c r="C19" s="357">
        <f>ROUND('[3]Cash-Based Monthly Totals'!GK20,0)</f>
        <v>327774</v>
      </c>
      <c r="D19" s="357">
        <f>ROUND('[3]Cash-Based Monthly Totals'!GL20,0)</f>
        <v>249521</v>
      </c>
      <c r="E19" s="357">
        <f>ROUND('[3]Cash-Based Monthly Totals'!GM20,0)</f>
        <v>237626</v>
      </c>
      <c r="F19" s="357">
        <f>ROUND('[3]Cash-Based Monthly Totals'!GN20,0)</f>
        <v>285635</v>
      </c>
      <c r="G19" s="357">
        <f>ROUND('[3]Cash-Based Monthly Totals'!GO20,0)</f>
        <v>155107</v>
      </c>
      <c r="H19" s="357">
        <f>ROUND('[3]Cash-Based Monthly Totals'!GP20,0)</f>
        <v>204678</v>
      </c>
      <c r="I19" s="357">
        <f>ROUND('[3]Cash-Based Monthly Totals'!GQ20,0)</f>
        <v>319112</v>
      </c>
      <c r="J19" s="357"/>
      <c r="K19" s="357"/>
      <c r="L19" s="357"/>
      <c r="M19" s="357"/>
      <c r="N19" s="357"/>
      <c r="O19" s="91">
        <f t="shared" si="0"/>
        <v>1779453</v>
      </c>
    </row>
    <row r="20" spans="1:15" ht="31.5" x14ac:dyDescent="0.2">
      <c r="A20" s="402"/>
      <c r="B20" s="90" t="s">
        <v>86</v>
      </c>
      <c r="C20" s="357">
        <f>ROUND('[3]Cash-Based Monthly Totals'!GK21,0)</f>
        <v>0</v>
      </c>
      <c r="D20" s="357">
        <f>ROUND('[3]Cash-Based Monthly Totals'!GL21,0)</f>
        <v>0</v>
      </c>
      <c r="E20" s="357">
        <f>ROUND('[3]Cash-Based Monthly Totals'!GM21,0)</f>
        <v>0</v>
      </c>
      <c r="F20" s="357">
        <f>ROUND('[3]Cash-Based Monthly Totals'!GN21,0)</f>
        <v>0</v>
      </c>
      <c r="G20" s="357">
        <f>ROUND('[3]Cash-Based Monthly Totals'!GO21,0)</f>
        <v>0</v>
      </c>
      <c r="H20" s="357">
        <f>ROUND('[3]Cash-Based Monthly Totals'!GP21,0)</f>
        <v>0</v>
      </c>
      <c r="I20" s="357">
        <f>ROUND('[3]Cash-Based Monthly Totals'!GQ21,0)</f>
        <v>0</v>
      </c>
      <c r="J20" s="357"/>
      <c r="K20" s="357"/>
      <c r="L20" s="357"/>
      <c r="M20" s="357"/>
      <c r="N20" s="357"/>
      <c r="O20" s="91">
        <f t="shared" si="0"/>
        <v>0</v>
      </c>
    </row>
    <row r="21" spans="1:15" x14ac:dyDescent="0.2">
      <c r="A21" s="402"/>
      <c r="B21" s="90" t="s">
        <v>87</v>
      </c>
      <c r="C21" s="357">
        <f>ROUND('[3]Cash-Based Monthly Totals'!GK22,0)</f>
        <v>0</v>
      </c>
      <c r="D21" s="357">
        <f>ROUND('[3]Cash-Based Monthly Totals'!GL22,0)</f>
        <v>1203</v>
      </c>
      <c r="E21" s="357">
        <f>ROUND('[3]Cash-Based Monthly Totals'!GM22,0)</f>
        <v>0</v>
      </c>
      <c r="F21" s="357">
        <f>ROUND('[3]Cash-Based Monthly Totals'!GN22,0)</f>
        <v>0</v>
      </c>
      <c r="G21" s="357">
        <f>ROUND('[3]Cash-Based Monthly Totals'!GO22,0)</f>
        <v>0</v>
      </c>
      <c r="H21" s="357">
        <f>ROUND('[3]Cash-Based Monthly Totals'!GP22,0)</f>
        <v>0</v>
      </c>
      <c r="I21" s="357">
        <f>ROUND('[3]Cash-Based Monthly Totals'!GQ22,0)</f>
        <v>0</v>
      </c>
      <c r="J21" s="357"/>
      <c r="K21" s="357"/>
      <c r="L21" s="357"/>
      <c r="M21" s="357"/>
      <c r="N21" s="357"/>
      <c r="O21" s="91">
        <f t="shared" si="0"/>
        <v>1203</v>
      </c>
    </row>
    <row r="22" spans="1:15" ht="16.5" thickBot="1" x14ac:dyDescent="0.25">
      <c r="A22" s="402"/>
      <c r="B22" s="90" t="s">
        <v>265</v>
      </c>
      <c r="C22" s="357">
        <f>ROUND('[3]Cash-Based Monthly Totals'!GK23,0)-C35</f>
        <v>2649694</v>
      </c>
      <c r="D22" s="357">
        <f>ROUND('[3]Cash-Based Monthly Totals'!GL23,0)-D35</f>
        <v>2607966</v>
      </c>
      <c r="E22" s="357">
        <f>ROUND('[3]Cash-Based Monthly Totals'!GM23,0)-E35</f>
        <v>2421751</v>
      </c>
      <c r="F22" s="357">
        <f>ROUND('[3]Cash-Based Monthly Totals'!GN23,0)-F35</f>
        <v>3107158</v>
      </c>
      <c r="G22" s="357">
        <f>ROUND('[3]Cash-Based Monthly Totals'!GO23,0)-G35</f>
        <v>2332759</v>
      </c>
      <c r="H22" s="357">
        <f>ROUND('[3]Cash-Based Monthly Totals'!GP23,0)-H35</f>
        <v>2209207</v>
      </c>
      <c r="I22" s="357">
        <f>ROUND('[3]Cash-Based Monthly Totals'!GQ23,0)-I35</f>
        <v>2628177</v>
      </c>
      <c r="J22" s="357"/>
      <c r="K22" s="357"/>
      <c r="L22" s="357"/>
      <c r="M22" s="357"/>
      <c r="N22" s="357"/>
      <c r="O22" s="91">
        <f t="shared" si="0"/>
        <v>17956712</v>
      </c>
    </row>
    <row r="23" spans="1:15" ht="16.5" thickBot="1" x14ac:dyDescent="0.25">
      <c r="A23" s="403"/>
      <c r="B23" s="92" t="s">
        <v>61</v>
      </c>
      <c r="C23" s="93">
        <f t="shared" ref="C23:H23" si="1">SUM(C3:C22)</f>
        <v>323009467</v>
      </c>
      <c r="D23" s="93">
        <f t="shared" si="1"/>
        <v>391496477</v>
      </c>
      <c r="E23" s="93">
        <f t="shared" si="1"/>
        <v>211229439</v>
      </c>
      <c r="F23" s="93">
        <f t="shared" si="1"/>
        <v>430789141</v>
      </c>
      <c r="G23" s="93">
        <f t="shared" si="1"/>
        <v>338776921</v>
      </c>
      <c r="H23" s="93">
        <f t="shared" si="1"/>
        <v>190329271</v>
      </c>
      <c r="I23" s="93">
        <f t="shared" ref="I23" si="2">SUM(I3:I22)</f>
        <v>408028526</v>
      </c>
      <c r="J23" s="93"/>
      <c r="K23" s="93"/>
      <c r="L23" s="93"/>
      <c r="M23" s="93"/>
      <c r="N23" s="93"/>
      <c r="O23" s="94">
        <f t="shared" si="0"/>
        <v>2293659242</v>
      </c>
    </row>
    <row r="24" spans="1:15" ht="31.5" x14ac:dyDescent="0.2">
      <c r="A24" s="401" t="s">
        <v>62</v>
      </c>
      <c r="B24" s="90" t="s">
        <v>88</v>
      </c>
      <c r="C24" s="358">
        <f>ROUND('[3]Cash-Based Monthly Totals'!GK26,0)</f>
        <v>27382102</v>
      </c>
      <c r="D24" s="358">
        <f>ROUND('[3]Cash-Based Monthly Totals'!GL26,0)</f>
        <v>31474398</v>
      </c>
      <c r="E24" s="358">
        <f>ROUND('[3]Cash-Based Monthly Totals'!GM26,0)</f>
        <v>27271358</v>
      </c>
      <c r="F24" s="358">
        <f>ROUND('[3]Cash-Based Monthly Totals'!GN26,0)</f>
        <v>32402491</v>
      </c>
      <c r="G24" s="358">
        <f>ROUND('[3]Cash-Based Monthly Totals'!GO26,0)</f>
        <v>27075014</v>
      </c>
      <c r="H24" s="357">
        <f>ROUND('[3]Cash-Based Monthly Totals'!GP26,0)</f>
        <v>30280981</v>
      </c>
      <c r="I24" s="357">
        <f>ROUND('[3]Cash-Based Monthly Totals'!GQ26,0)</f>
        <v>33894039</v>
      </c>
      <c r="J24" s="358"/>
      <c r="K24" s="358"/>
      <c r="L24" s="358"/>
      <c r="M24" s="358"/>
      <c r="N24" s="358"/>
      <c r="O24" s="91">
        <f>ROUND(SUM(C24:N24),0)</f>
        <v>209780383</v>
      </c>
    </row>
    <row r="25" spans="1:15" x14ac:dyDescent="0.2">
      <c r="A25" s="402"/>
      <c r="B25" s="90" t="s">
        <v>89</v>
      </c>
      <c r="C25" s="358">
        <f>ROUND('[3]Cash-Based Monthly Totals'!GK27,0)</f>
        <v>3026569</v>
      </c>
      <c r="D25" s="358">
        <f>ROUND('[3]Cash-Based Monthly Totals'!GL27,0)</f>
        <v>3405918</v>
      </c>
      <c r="E25" s="358">
        <f>ROUND('[3]Cash-Based Monthly Totals'!GM27,0)</f>
        <v>3031112</v>
      </c>
      <c r="F25" s="358">
        <f>ROUND('[3]Cash-Based Monthly Totals'!GN27,0)</f>
        <v>3459378</v>
      </c>
      <c r="G25" s="358">
        <f>ROUND('[3]Cash-Based Monthly Totals'!GO27,0)</f>
        <v>3089498</v>
      </c>
      <c r="H25" s="357">
        <f>ROUNDUP('[3]Cash-Based Monthly Totals'!GP27,0)</f>
        <v>3220630</v>
      </c>
      <c r="I25" s="357">
        <f>ROUND('[3]Cash-Based Monthly Totals'!GQ27,0)</f>
        <v>3577618</v>
      </c>
      <c r="J25" s="358"/>
      <c r="K25" s="358"/>
      <c r="L25" s="358"/>
      <c r="M25" s="358"/>
      <c r="N25" s="358"/>
      <c r="O25" s="91">
        <f t="shared" si="0"/>
        <v>22810723</v>
      </c>
    </row>
    <row r="26" spans="1:15" x14ac:dyDescent="0.2">
      <c r="A26" s="402"/>
      <c r="B26" s="90" t="s">
        <v>63</v>
      </c>
      <c r="C26" s="358">
        <f>ROUND('[3]Cash-Based Monthly Totals'!GK28,0)</f>
        <v>1204309</v>
      </c>
      <c r="D26" s="358">
        <f>ROUND('[3]Cash-Based Monthly Totals'!GL28,0)</f>
        <v>1322927</v>
      </c>
      <c r="E26" s="358">
        <f>ROUND('[3]Cash-Based Monthly Totals'!GM28,0)</f>
        <v>1201948</v>
      </c>
      <c r="F26" s="358">
        <f>ROUND('[3]Cash-Based Monthly Totals'!GN28,0)</f>
        <v>1377153</v>
      </c>
      <c r="G26" s="358">
        <f>ROUND('[3]Cash-Based Monthly Totals'!GO28,0)</f>
        <v>1182536</v>
      </c>
      <c r="H26" s="357">
        <f>ROUNDUP('[3]Cash-Based Monthly Totals'!GP28,0)</f>
        <v>1448631</v>
      </c>
      <c r="I26" s="357">
        <f>ROUND('[3]Cash-Based Monthly Totals'!GQ28,0)</f>
        <v>1634423</v>
      </c>
      <c r="J26" s="358"/>
      <c r="K26" s="358"/>
      <c r="L26" s="358"/>
      <c r="M26" s="358"/>
      <c r="N26" s="358"/>
      <c r="O26" s="91">
        <f t="shared" si="0"/>
        <v>9371927</v>
      </c>
    </row>
    <row r="27" spans="1:15" hidden="1" x14ac:dyDescent="0.2">
      <c r="A27" s="402"/>
      <c r="B27" s="90" t="s">
        <v>163</v>
      </c>
      <c r="C27" s="358">
        <f>ROUND('[3]Cash-Based Monthly Totals'!GK29,0)</f>
        <v>0</v>
      </c>
      <c r="D27" s="358">
        <f>ROUND('[3]Cash-Based Monthly Totals'!GL29,0)</f>
        <v>0</v>
      </c>
      <c r="E27" s="358">
        <f>ROUND('[3]Cash-Based Monthly Totals'!GM29,0)</f>
        <v>0</v>
      </c>
      <c r="F27" s="358">
        <f>ROUND('[3]Cash-Based Monthly Totals'!GN29,0)</f>
        <v>0</v>
      </c>
      <c r="G27" s="358">
        <f>ROUND('[3]Cash-Based Monthly Totals'!GO29,0)</f>
        <v>0</v>
      </c>
      <c r="H27" s="357">
        <f>ROUND('[3]Cash-Based Monthly Totals'!GP29,0)</f>
        <v>0</v>
      </c>
      <c r="I27" s="357">
        <f>ROUND('[3]Cash-Based Monthly Totals'!GQ29,0)</f>
        <v>0</v>
      </c>
      <c r="J27" s="358"/>
      <c r="K27" s="358"/>
      <c r="L27" s="358"/>
      <c r="M27" s="358"/>
      <c r="N27" s="358"/>
      <c r="O27" s="91">
        <f t="shared" si="0"/>
        <v>0</v>
      </c>
    </row>
    <row r="28" spans="1:15" ht="31.5" x14ac:dyDescent="0.2">
      <c r="A28" s="402"/>
      <c r="B28" s="90" t="s">
        <v>64</v>
      </c>
      <c r="C28" s="358">
        <f>ROUND('[3]Cash-Based Monthly Totals'!GK30,0)</f>
        <v>0</v>
      </c>
      <c r="D28" s="358">
        <f>ROUND('[3]Cash-Based Monthly Totals'!GL30,0)</f>
        <v>9908</v>
      </c>
      <c r="E28" s="358">
        <f>ROUND('[3]Cash-Based Monthly Totals'!GM30,0)</f>
        <v>317708</v>
      </c>
      <c r="F28" s="358">
        <f>ROUND('[3]Cash-Based Monthly Totals'!GN30,0)</f>
        <v>163907</v>
      </c>
      <c r="G28" s="358">
        <f>ROUND('[3]Cash-Based Monthly Totals'!GO30,0)</f>
        <v>11340</v>
      </c>
      <c r="H28" s="357">
        <f>ROUND('[3]Cash-Based Monthly Totals'!GP30,0)</f>
        <v>108647</v>
      </c>
      <c r="I28" s="357">
        <f>ROUND('[3]Cash-Based Monthly Totals'!GQ30,0)</f>
        <v>231598</v>
      </c>
      <c r="J28" s="358"/>
      <c r="K28" s="358"/>
      <c r="L28" s="358"/>
      <c r="M28" s="358"/>
      <c r="N28" s="358"/>
      <c r="O28" s="91">
        <f t="shared" si="0"/>
        <v>843108</v>
      </c>
    </row>
    <row r="29" spans="1:15" x14ac:dyDescent="0.2">
      <c r="A29" s="402"/>
      <c r="B29" s="90" t="s">
        <v>65</v>
      </c>
      <c r="C29" s="358">
        <f>ROUND('[3]Cash-Based Monthly Totals'!GK31,0)</f>
        <v>1584957</v>
      </c>
      <c r="D29" s="358">
        <f>ROUND('[3]Cash-Based Monthly Totals'!GL31,0)</f>
        <v>1438661</v>
      </c>
      <c r="E29" s="358">
        <f>ROUNDDOWN('[3]Cash-Based Monthly Totals'!GM31,0)</f>
        <v>1501668</v>
      </c>
      <c r="F29" s="358">
        <f>ROUNDDOWN('[3]Cash-Based Monthly Totals'!GN31,0)</f>
        <v>2332059</v>
      </c>
      <c r="G29" s="358">
        <f>ROUNDDOWN('[3]Cash-Based Monthly Totals'!GO31,0)</f>
        <v>1416481</v>
      </c>
      <c r="H29" s="357">
        <f>ROUNDDOWN('[3]Cash-Based Monthly Totals'!GP31,0)</f>
        <v>1405398</v>
      </c>
      <c r="I29" s="357">
        <f>ROUND('[3]Cash-Based Monthly Totals'!GQ31,0)</f>
        <v>2342207</v>
      </c>
      <c r="J29" s="358"/>
      <c r="K29" s="358"/>
      <c r="L29" s="358"/>
      <c r="M29" s="358"/>
      <c r="N29" s="358"/>
      <c r="O29" s="91">
        <f t="shared" si="0"/>
        <v>12021431</v>
      </c>
    </row>
    <row r="30" spans="1:15" x14ac:dyDescent="0.2">
      <c r="A30" s="402"/>
      <c r="B30" s="95" t="s">
        <v>66</v>
      </c>
      <c r="C30" s="358">
        <f>ROUND('[3]Cash-Based Monthly Totals'!GK32,0)</f>
        <v>32706</v>
      </c>
      <c r="D30" s="358">
        <f>ROUND('[3]Cash-Based Monthly Totals'!GL32,0)</f>
        <v>42163</v>
      </c>
      <c r="E30" s="358">
        <f>ROUND('[3]Cash-Based Monthly Totals'!GM32,0)</f>
        <v>36113</v>
      </c>
      <c r="F30" s="358">
        <f>ROUND('[3]Cash-Based Monthly Totals'!GN32,0)</f>
        <v>66021</v>
      </c>
      <c r="G30" s="358">
        <f>ROUND('[3]Cash-Based Monthly Totals'!GO32,0)</f>
        <v>51646</v>
      </c>
      <c r="H30" s="357">
        <f>ROUND('[3]Cash-Based Monthly Totals'!GP32,0)</f>
        <v>43500</v>
      </c>
      <c r="I30" s="357">
        <f>ROUND('[3]Cash-Based Monthly Totals'!GQ32,0)</f>
        <v>33030</v>
      </c>
      <c r="J30" s="358"/>
      <c r="K30" s="358"/>
      <c r="L30" s="358"/>
      <c r="M30" s="358"/>
      <c r="N30" s="358"/>
      <c r="O30" s="91">
        <f t="shared" si="0"/>
        <v>305179</v>
      </c>
    </row>
    <row r="31" spans="1:15" x14ac:dyDescent="0.2">
      <c r="A31" s="402"/>
      <c r="B31" s="95" t="s">
        <v>67</v>
      </c>
      <c r="C31" s="358">
        <f>ROUND('[3]Cash-Based Monthly Totals'!GK33,0)</f>
        <v>50577</v>
      </c>
      <c r="D31" s="358">
        <f>ROUND('[3]Cash-Based Monthly Totals'!GL33,0)</f>
        <v>72479</v>
      </c>
      <c r="E31" s="358">
        <f>ROUND('[3]Cash-Based Monthly Totals'!GM33,0)</f>
        <v>65694</v>
      </c>
      <c r="F31" s="358">
        <f>ROUND('[3]Cash-Based Monthly Totals'!GN33,0)</f>
        <v>56030</v>
      </c>
      <c r="G31" s="358">
        <f>ROUND('[3]Cash-Based Monthly Totals'!GO33,0)</f>
        <v>54746</v>
      </c>
      <c r="H31" s="357">
        <f>ROUND('[3]Cash-Based Monthly Totals'!GP33,0)</f>
        <v>57288</v>
      </c>
      <c r="I31" s="357">
        <f>ROUND('[3]Cash-Based Monthly Totals'!GQ33,0)</f>
        <v>77007</v>
      </c>
      <c r="J31" s="358"/>
      <c r="K31" s="358"/>
      <c r="L31" s="358"/>
      <c r="M31" s="358"/>
      <c r="N31" s="358"/>
      <c r="O31" s="91">
        <f t="shared" si="0"/>
        <v>433821</v>
      </c>
    </row>
    <row r="32" spans="1:15" x14ac:dyDescent="0.2">
      <c r="A32" s="402"/>
      <c r="B32" s="95" t="s">
        <v>114</v>
      </c>
      <c r="C32" s="358">
        <f>ROUND('[3]Cash-Based Monthly Totals'!GK34,0)</f>
        <v>188063</v>
      </c>
      <c r="D32" s="358">
        <f>ROUND('[3]Cash-Based Monthly Totals'!GL34,0)</f>
        <v>217878</v>
      </c>
      <c r="E32" s="358">
        <f>ROUND('[3]Cash-Based Monthly Totals'!GM34,0)</f>
        <v>213643</v>
      </c>
      <c r="F32" s="358">
        <f>ROUND('[3]Cash-Based Monthly Totals'!GN34,0)</f>
        <v>271346</v>
      </c>
      <c r="G32" s="358">
        <f>ROUND('[3]Cash-Based Monthly Totals'!GO34,0)</f>
        <v>251821</v>
      </c>
      <c r="H32" s="357">
        <f>ROUND('[3]Cash-Based Monthly Totals'!GP34,0)</f>
        <v>299064</v>
      </c>
      <c r="I32" s="357">
        <f>ROUND('[3]Cash-Based Monthly Totals'!GQ34,0)</f>
        <v>305916</v>
      </c>
      <c r="J32" s="358"/>
      <c r="K32" s="358"/>
      <c r="L32" s="358"/>
      <c r="M32" s="358"/>
      <c r="N32" s="358"/>
      <c r="O32" s="91">
        <f t="shared" si="0"/>
        <v>1747731</v>
      </c>
    </row>
    <row r="33" spans="1:15" x14ac:dyDescent="0.2">
      <c r="A33" s="402"/>
      <c r="B33" s="95" t="s">
        <v>289</v>
      </c>
      <c r="C33" s="358">
        <f>ROUND('[3]Cash-Based Monthly Totals'!GK37,0)</f>
        <v>202696</v>
      </c>
      <c r="D33" s="358">
        <f>ROUND('[3]Cash-Based Monthly Totals'!GL37,0)</f>
        <v>243156</v>
      </c>
      <c r="E33" s="358">
        <f>ROUND('[3]Cash-Based Monthly Totals'!GM37,0)</f>
        <v>237156</v>
      </c>
      <c r="F33" s="358">
        <f>ROUND('[3]Cash-Based Monthly Totals'!GN37,0)</f>
        <v>368864</v>
      </c>
      <c r="G33" s="358">
        <f>ROUND('[3]Cash-Based Monthly Totals'!GO37,0)</f>
        <v>247914</v>
      </c>
      <c r="H33" s="357">
        <f>ROUND('[3]Cash-Based Monthly Totals'!GP37,0)</f>
        <v>275044</v>
      </c>
      <c r="I33" s="357">
        <f>ROUND('[3]Cash-Based Monthly Totals'!GQ37,0)</f>
        <v>365257</v>
      </c>
      <c r="J33" s="358"/>
      <c r="K33" s="358"/>
      <c r="L33" s="358"/>
      <c r="M33" s="358"/>
      <c r="N33" s="358"/>
      <c r="O33" s="91">
        <f t="shared" si="0"/>
        <v>1940087</v>
      </c>
    </row>
    <row r="34" spans="1:15" x14ac:dyDescent="0.2">
      <c r="A34" s="402"/>
      <c r="B34" s="90" t="s">
        <v>14</v>
      </c>
      <c r="C34" s="358">
        <f>ROUND('[3]Cash-Based Monthly Totals'!GK35,0)</f>
        <v>5643463</v>
      </c>
      <c r="D34" s="358">
        <f>ROUND('[3]Cash-Based Monthly Totals'!GL35,0)</f>
        <v>8650868</v>
      </c>
      <c r="E34" s="358">
        <f>ROUNDDOWN('[3]Cash-Based Monthly Totals'!GM35,0)</f>
        <v>7257148</v>
      </c>
      <c r="F34" s="358">
        <f>ROUNDDOWN('[3]Cash-Based Monthly Totals'!GN35,0)</f>
        <v>8605654</v>
      </c>
      <c r="G34" s="358">
        <f>ROUNDDOWN('[3]Cash-Based Monthly Totals'!GO35,0)</f>
        <v>6863178</v>
      </c>
      <c r="H34" s="357">
        <f>ROUNDDOWN('[3]Cash-Based Monthly Totals'!GP35,0)</f>
        <v>6715100</v>
      </c>
      <c r="I34" s="357">
        <f>ROUND('[3]Cash-Based Monthly Totals'!GQ35,0)</f>
        <v>8008069</v>
      </c>
      <c r="J34" s="358"/>
      <c r="K34" s="358"/>
      <c r="L34" s="358"/>
      <c r="M34" s="358"/>
      <c r="N34" s="358"/>
      <c r="O34" s="91">
        <f t="shared" si="0"/>
        <v>51743480</v>
      </c>
    </row>
    <row r="35" spans="1:15" x14ac:dyDescent="0.2">
      <c r="A35" s="402"/>
      <c r="B35" s="90" t="s">
        <v>266</v>
      </c>
      <c r="C35" s="358">
        <f>ROUND([4]Summary!B3,0)</f>
        <v>19676046</v>
      </c>
      <c r="D35" s="358">
        <f>ROUND([4]Summary!C3,0)</f>
        <v>25069901</v>
      </c>
      <c r="E35" s="358">
        <f>ROUND([4]Summary!D3,0)</f>
        <v>21290249</v>
      </c>
      <c r="F35" s="358">
        <f>ROUND([4]Summary!E3,0)</f>
        <v>26349152</v>
      </c>
      <c r="G35" s="358">
        <f>ROUND([4]Summary!F3,0)</f>
        <v>20867334</v>
      </c>
      <c r="H35" s="357">
        <f>ROUND([4]Summary!G3,0)</f>
        <v>21486977</v>
      </c>
      <c r="I35" s="357">
        <f>ROUND([4]Summary!H3,0)</f>
        <v>26568527</v>
      </c>
      <c r="J35" s="358"/>
      <c r="K35" s="358"/>
      <c r="L35" s="358"/>
      <c r="M35" s="358"/>
      <c r="N35" s="358"/>
      <c r="O35" s="91">
        <f t="shared" si="0"/>
        <v>161308186</v>
      </c>
    </row>
    <row r="36" spans="1:15" ht="16.5" thickBot="1" x14ac:dyDescent="0.25">
      <c r="A36" s="402"/>
      <c r="B36" s="90" t="s">
        <v>68</v>
      </c>
      <c r="C36" s="358">
        <f>ROUND('[3]Cash-Based Monthly Totals'!GK36,0)</f>
        <v>3998808</v>
      </c>
      <c r="D36" s="358">
        <f>ROUND('[3]Cash-Based Monthly Totals'!GL36,0)</f>
        <v>5164620</v>
      </c>
      <c r="E36" s="358">
        <f>ROUND('[3]Cash-Based Monthly Totals'!GM36,0)</f>
        <v>4731266</v>
      </c>
      <c r="F36" s="358">
        <f>ROUND('[3]Cash-Based Monthly Totals'!GN36,0)</f>
        <v>5149545</v>
      </c>
      <c r="G36" s="358">
        <f>ROUND('[3]Cash-Based Monthly Totals'!GO36,0)</f>
        <v>4753947</v>
      </c>
      <c r="H36" s="357">
        <f>ROUND('[3]Cash-Based Monthly Totals'!GP36,0)</f>
        <v>4557535</v>
      </c>
      <c r="I36" s="357">
        <f>ROUND('[3]Cash-Based Monthly Totals'!GQ36,0)</f>
        <v>4511380</v>
      </c>
      <c r="J36" s="358"/>
      <c r="K36" s="358"/>
      <c r="L36" s="358"/>
      <c r="M36" s="358"/>
      <c r="N36" s="358"/>
      <c r="O36" s="91">
        <f t="shared" si="0"/>
        <v>32867101</v>
      </c>
    </row>
    <row r="37" spans="1:15" ht="16.5" thickBot="1" x14ac:dyDescent="0.25">
      <c r="A37" s="403"/>
      <c r="B37" s="92" t="s">
        <v>69</v>
      </c>
      <c r="C37" s="93">
        <f t="shared" ref="C37:H37" si="3">SUM(C24:C36)</f>
        <v>62990296</v>
      </c>
      <c r="D37" s="93">
        <f t="shared" si="3"/>
        <v>77112877</v>
      </c>
      <c r="E37" s="93">
        <f t="shared" si="3"/>
        <v>67155063</v>
      </c>
      <c r="F37" s="93">
        <f t="shared" si="3"/>
        <v>80601600</v>
      </c>
      <c r="G37" s="93">
        <f t="shared" si="3"/>
        <v>65865455</v>
      </c>
      <c r="H37" s="93">
        <f t="shared" si="3"/>
        <v>69898795</v>
      </c>
      <c r="I37" s="93">
        <f t="shared" ref="I37" si="4">SUM(I24:I36)</f>
        <v>81549071</v>
      </c>
      <c r="J37" s="93"/>
      <c r="K37" s="93"/>
      <c r="L37" s="93"/>
      <c r="M37" s="93"/>
      <c r="N37" s="93"/>
      <c r="O37" s="94">
        <f t="shared" si="0"/>
        <v>505173157</v>
      </c>
    </row>
    <row r="38" spans="1:15" x14ac:dyDescent="0.2">
      <c r="A38" s="401" t="s">
        <v>70</v>
      </c>
      <c r="B38" s="90" t="s">
        <v>90</v>
      </c>
      <c r="C38" s="357">
        <f>ROUND('[3]Cash-Based Monthly Totals'!GK39,0)</f>
        <v>49788416</v>
      </c>
      <c r="D38" s="357">
        <f>ROUND('[3]Cash-Based Monthly Totals'!GL39,0)</f>
        <v>59931491</v>
      </c>
      <c r="E38" s="357">
        <f>ROUND('[3]Cash-Based Monthly Totals'!GM39,0)</f>
        <v>55422233</v>
      </c>
      <c r="F38" s="357">
        <f>ROUND('[3]Cash-Based Monthly Totals'!GN39,0)</f>
        <v>57806133</v>
      </c>
      <c r="G38" s="357">
        <f>ROUND('[3]Cash-Based Monthly Totals'!GO39,0)</f>
        <v>53490236</v>
      </c>
      <c r="H38" s="357">
        <f>ROUND('[3]Cash-Based Monthly Totals'!GP39,0)</f>
        <v>53627362</v>
      </c>
      <c r="I38" s="357">
        <f>ROUND('[3]Cash-Based Monthly Totals'!GQ39,0)</f>
        <v>56097803</v>
      </c>
      <c r="J38" s="357"/>
      <c r="K38" s="357"/>
      <c r="L38" s="357"/>
      <c r="M38" s="357"/>
      <c r="N38" s="357"/>
      <c r="O38" s="91">
        <f t="shared" ref="O38:O56" si="5">ROUND(SUM(C38:N38),0)</f>
        <v>386163674</v>
      </c>
    </row>
    <row r="39" spans="1:15" x14ac:dyDescent="0.2">
      <c r="A39" s="402"/>
      <c r="B39" s="90" t="s">
        <v>91</v>
      </c>
      <c r="C39" s="357">
        <f>ROUND('[3]Cash-Based Monthly Totals'!GK40,0)</f>
        <v>271225</v>
      </c>
      <c r="D39" s="357">
        <f>ROUND('[3]Cash-Based Monthly Totals'!GL40,0)</f>
        <v>186550</v>
      </c>
      <c r="E39" s="357">
        <f>ROUND('[3]Cash-Based Monthly Totals'!GM40,0)</f>
        <v>343049</v>
      </c>
      <c r="F39" s="357">
        <f>ROUND('[3]Cash-Based Monthly Totals'!GN40,0)</f>
        <v>165172</v>
      </c>
      <c r="G39" s="357">
        <f>ROUND('[3]Cash-Based Monthly Totals'!GO40,0)</f>
        <v>420552</v>
      </c>
      <c r="H39" s="357">
        <f>ROUND('[3]Cash-Based Monthly Totals'!GP40,0)</f>
        <v>313318</v>
      </c>
      <c r="I39" s="357">
        <f>ROUND('[3]Cash-Based Monthly Totals'!GQ40,0)</f>
        <v>441053</v>
      </c>
      <c r="J39" s="357"/>
      <c r="K39" s="357"/>
      <c r="L39" s="357"/>
      <c r="M39" s="357"/>
      <c r="N39" s="357"/>
      <c r="O39" s="91">
        <f t="shared" si="5"/>
        <v>2140919</v>
      </c>
    </row>
    <row r="40" spans="1:15" ht="31.5" x14ac:dyDescent="0.2">
      <c r="A40" s="402"/>
      <c r="B40" s="90" t="s">
        <v>92</v>
      </c>
      <c r="C40" s="357">
        <f>ROUND('[3]Cash-Based Monthly Totals'!GK41,0)</f>
        <v>12011470</v>
      </c>
      <c r="D40" s="357">
        <f>ROUND('[3]Cash-Based Monthly Totals'!GL41,0)</f>
        <v>12464803</v>
      </c>
      <c r="E40" s="357">
        <f>ROUND('[3]Cash-Based Monthly Totals'!GM41,0)</f>
        <v>12925601</v>
      </c>
      <c r="F40" s="357">
        <f>ROUND('[3]Cash-Based Monthly Totals'!GN41,0)</f>
        <v>12629604</v>
      </c>
      <c r="G40" s="357">
        <f>ROUND('[3]Cash-Based Monthly Totals'!GO41,0)</f>
        <v>20527665</v>
      </c>
      <c r="H40" s="357">
        <f>ROUND('[3]Cash-Based Monthly Totals'!GP41,0)</f>
        <v>13835215</v>
      </c>
      <c r="I40" s="357">
        <f>ROUND('[3]Cash-Based Monthly Totals'!GQ41,0)</f>
        <v>-1251154</v>
      </c>
      <c r="J40" s="357"/>
      <c r="K40" s="357"/>
      <c r="L40" s="357"/>
      <c r="M40" s="357"/>
      <c r="N40" s="357"/>
      <c r="O40" s="91">
        <f t="shared" si="5"/>
        <v>83143204</v>
      </c>
    </row>
    <row r="41" spans="1:15" ht="31.5" x14ac:dyDescent="0.2">
      <c r="A41" s="402"/>
      <c r="B41" s="90" t="s">
        <v>71</v>
      </c>
      <c r="C41" s="357">
        <f>ROUND('[3]Cash-Based Monthly Totals'!GK42,0)</f>
        <v>14211874</v>
      </c>
      <c r="D41" s="357">
        <f>ROUND('[3]Cash-Based Monthly Totals'!GL42,0)</f>
        <v>14012388</v>
      </c>
      <c r="E41" s="357">
        <f>ROUND('[3]Cash-Based Monthly Totals'!GM42,0)</f>
        <v>13970667</v>
      </c>
      <c r="F41" s="357">
        <f>ROUND('[3]Cash-Based Monthly Totals'!GN42,0)</f>
        <v>14410578</v>
      </c>
      <c r="G41" s="357">
        <f>ROUND('[3]Cash-Based Monthly Totals'!GO42,0)</f>
        <v>14087929</v>
      </c>
      <c r="H41" s="357">
        <f>ROUND('[3]Cash-Based Monthly Totals'!GP42,0)</f>
        <v>14202963</v>
      </c>
      <c r="I41" s="357">
        <f>ROUND('[3]Cash-Based Monthly Totals'!GQ42,0)</f>
        <v>15421772</v>
      </c>
      <c r="J41" s="357"/>
      <c r="K41" s="357"/>
      <c r="L41" s="357"/>
      <c r="M41" s="357"/>
      <c r="N41" s="357"/>
      <c r="O41" s="91">
        <f t="shared" si="5"/>
        <v>100318171</v>
      </c>
    </row>
    <row r="42" spans="1:15" ht="16.5" thickBot="1" x14ac:dyDescent="0.25">
      <c r="A42" s="402"/>
      <c r="B42" s="90" t="s">
        <v>72</v>
      </c>
      <c r="C42" s="357">
        <f>ROUND('[3]Cash-Based Monthly Totals'!GK43,0)</f>
        <v>150214</v>
      </c>
      <c r="D42" s="357">
        <f>ROUND('[3]Cash-Based Monthly Totals'!GL43,0)</f>
        <v>170777</v>
      </c>
      <c r="E42" s="357">
        <f>ROUND('[3]Cash-Based Monthly Totals'!GM43,0)</f>
        <v>165627</v>
      </c>
      <c r="F42" s="357">
        <f>ROUND('[3]Cash-Based Monthly Totals'!GN43,0)</f>
        <v>164716</v>
      </c>
      <c r="G42" s="357">
        <f>ROUND('[3]Cash-Based Monthly Totals'!GO43,0)</f>
        <v>173838</v>
      </c>
      <c r="H42" s="357">
        <f>ROUND('[3]Cash-Based Monthly Totals'!GP43,0)</f>
        <v>176622</v>
      </c>
      <c r="I42" s="357">
        <f>ROUND('[3]Cash-Based Monthly Totals'!GQ43,0)</f>
        <v>176555</v>
      </c>
      <c r="J42" s="357"/>
      <c r="K42" s="357"/>
      <c r="L42" s="357"/>
      <c r="M42" s="357"/>
      <c r="N42" s="357"/>
      <c r="O42" s="91">
        <f t="shared" si="5"/>
        <v>1178349</v>
      </c>
    </row>
    <row r="43" spans="1:15" ht="16.5" thickBot="1" x14ac:dyDescent="0.25">
      <c r="A43" s="403"/>
      <c r="B43" s="92" t="s">
        <v>73</v>
      </c>
      <c r="C43" s="93">
        <f t="shared" ref="C43:D43" si="6">SUM(C38:C42)</f>
        <v>76433199</v>
      </c>
      <c r="D43" s="93">
        <f t="shared" si="6"/>
        <v>86766009</v>
      </c>
      <c r="E43" s="93">
        <f t="shared" ref="E43:F43" si="7">SUM(E38:E42)</f>
        <v>82827177</v>
      </c>
      <c r="F43" s="93">
        <f t="shared" si="7"/>
        <v>85176203</v>
      </c>
      <c r="G43" s="93">
        <f t="shared" ref="G43:H43" si="8">SUM(G38:G42)</f>
        <v>88700220</v>
      </c>
      <c r="H43" s="93">
        <f t="shared" si="8"/>
        <v>82155480</v>
      </c>
      <c r="I43" s="93">
        <f t="shared" ref="I43" si="9">SUM(I38:I42)</f>
        <v>70886029</v>
      </c>
      <c r="J43" s="93"/>
      <c r="K43" s="93"/>
      <c r="L43" s="93"/>
      <c r="M43" s="93"/>
      <c r="N43" s="93"/>
      <c r="O43" s="94">
        <f t="shared" si="5"/>
        <v>572944317</v>
      </c>
    </row>
    <row r="44" spans="1:15" x14ac:dyDescent="0.2">
      <c r="A44" s="401" t="s">
        <v>154</v>
      </c>
      <c r="B44" s="90" t="s">
        <v>93</v>
      </c>
      <c r="C44" s="357">
        <f>ROUND('[3]Cash-Based Monthly Totals'!GK45,0)</f>
        <v>0</v>
      </c>
      <c r="D44" s="357">
        <f>ROUND('[3]Cash-Based Monthly Totals'!GL45,0)</f>
        <v>-76907</v>
      </c>
      <c r="E44" s="357">
        <f>ROUND('[3]Cash-Based Monthly Totals'!GM45,0)</f>
        <v>2773332</v>
      </c>
      <c r="F44" s="357">
        <f>ROUND('[3]Cash-Based Monthly Totals'!GN45,0)</f>
        <v>2800438</v>
      </c>
      <c r="G44" s="357">
        <f>ROUND('[3]Cash-Based Monthly Totals'!GO45,0)</f>
        <v>5569156</v>
      </c>
      <c r="H44" s="357">
        <f>ROUND('[3]Cash-Based Monthly Totals'!GP45,0)</f>
        <v>2823340</v>
      </c>
      <c r="I44" s="357">
        <f>ROUND('[3]Cash-Based Monthly Totals'!GQ45,0)</f>
        <v>2779151</v>
      </c>
      <c r="J44" s="357"/>
      <c r="K44" s="357"/>
      <c r="L44" s="357"/>
      <c r="M44" s="357"/>
      <c r="N44" s="357"/>
      <c r="O44" s="91">
        <f t="shared" si="5"/>
        <v>16668510</v>
      </c>
    </row>
    <row r="45" spans="1:15" x14ac:dyDescent="0.2">
      <c r="A45" s="402"/>
      <c r="B45" s="90" t="s">
        <v>94</v>
      </c>
      <c r="C45" s="357">
        <f>ROUND('[3]Cash-Based Monthly Totals'!GK46,0)</f>
        <v>0</v>
      </c>
      <c r="D45" s="357">
        <f>ROUND('[3]Cash-Based Monthly Totals'!GL46,0)</f>
        <v>0</v>
      </c>
      <c r="E45" s="357">
        <f>ROUND('[3]Cash-Based Monthly Totals'!GM46,0)</f>
        <v>0</v>
      </c>
      <c r="F45" s="357">
        <f>ROUND('[3]Cash-Based Monthly Totals'!GN46,0)</f>
        <v>0</v>
      </c>
      <c r="G45" s="357">
        <f>ROUND('[3]Cash-Based Monthly Totals'!GO46,0)</f>
        <v>0</v>
      </c>
      <c r="H45" s="357">
        <f>ROUND('[3]Cash-Based Monthly Totals'!GP46,0)</f>
        <v>0</v>
      </c>
      <c r="I45" s="357">
        <f>ROUND('[3]Cash-Based Monthly Totals'!GQ46,0)</f>
        <v>0</v>
      </c>
      <c r="J45" s="357"/>
      <c r="K45" s="357"/>
      <c r="L45" s="357"/>
      <c r="M45" s="357"/>
      <c r="N45" s="357"/>
      <c r="O45" s="91">
        <f t="shared" si="5"/>
        <v>0</v>
      </c>
    </row>
    <row r="46" spans="1:15" ht="32.25" thickBot="1" x14ac:dyDescent="0.25">
      <c r="A46" s="402"/>
      <c r="B46" s="90" t="s">
        <v>95</v>
      </c>
      <c r="C46" s="357">
        <f>ROUND('[3]Cash-Based Monthly Totals'!GK47,0)</f>
        <v>10119409</v>
      </c>
      <c r="D46" s="357">
        <f>ROUND('[3]Cash-Based Monthly Totals'!GL47,0)</f>
        <v>10379746</v>
      </c>
      <c r="E46" s="357">
        <f>ROUND('[3]Cash-Based Monthly Totals'!GM47,0)</f>
        <v>12421652</v>
      </c>
      <c r="F46" s="357">
        <f>ROUND('[3]Cash-Based Monthly Totals'!GN47,0)</f>
        <v>14504414</v>
      </c>
      <c r="G46" s="357">
        <f>ROUND('[3]Cash-Based Monthly Totals'!GO47,0)</f>
        <v>10541077</v>
      </c>
      <c r="H46" s="357">
        <f>ROUND('[3]Cash-Based Monthly Totals'!GP47,0)</f>
        <v>17115225</v>
      </c>
      <c r="I46" s="357">
        <f>ROUND('[3]Cash-Based Monthly Totals'!GQ47,0)</f>
        <v>13057935</v>
      </c>
      <c r="J46" s="357"/>
      <c r="K46" s="357"/>
      <c r="L46" s="357"/>
      <c r="M46" s="357"/>
      <c r="N46" s="357"/>
      <c r="O46" s="91">
        <f t="shared" si="5"/>
        <v>88139458</v>
      </c>
    </row>
    <row r="47" spans="1:15" ht="16.5" thickBot="1" x14ac:dyDescent="0.25">
      <c r="A47" s="403"/>
      <c r="B47" s="92" t="s">
        <v>74</v>
      </c>
      <c r="C47" s="93">
        <f t="shared" ref="C47:D47" si="10">SUM(C44:C46)</f>
        <v>10119409</v>
      </c>
      <c r="D47" s="93">
        <f t="shared" si="10"/>
        <v>10302839</v>
      </c>
      <c r="E47" s="93">
        <f t="shared" ref="E47:F47" si="11">SUM(E44:E46)</f>
        <v>15194984</v>
      </c>
      <c r="F47" s="93">
        <f t="shared" si="11"/>
        <v>17304852</v>
      </c>
      <c r="G47" s="93">
        <f t="shared" ref="G47:H47" si="12">SUM(G44:G46)</f>
        <v>16110233</v>
      </c>
      <c r="H47" s="93">
        <f t="shared" si="12"/>
        <v>19938565</v>
      </c>
      <c r="I47" s="93">
        <f t="shared" ref="I47" si="13">SUM(I44:I46)</f>
        <v>15837086</v>
      </c>
      <c r="J47" s="93"/>
      <c r="K47" s="93"/>
      <c r="L47" s="93"/>
      <c r="M47" s="93"/>
      <c r="N47" s="93"/>
      <c r="O47" s="94">
        <f t="shared" si="5"/>
        <v>104807968</v>
      </c>
    </row>
    <row r="48" spans="1:15" ht="31.5" x14ac:dyDescent="0.2">
      <c r="A48" s="401" t="s">
        <v>75</v>
      </c>
      <c r="B48" s="90" t="s">
        <v>103</v>
      </c>
      <c r="C48" s="357">
        <f>ROUND('[3]Cash-Based Monthly Totals'!GK49,0)</f>
        <v>0</v>
      </c>
      <c r="D48" s="357">
        <f>ROUND('[3]Cash-Based Monthly Totals'!GL49,0)</f>
        <v>0</v>
      </c>
      <c r="E48" s="357">
        <f>ROUND('[3]Cash-Based Monthly Totals'!GM49,0)</f>
        <v>0</v>
      </c>
      <c r="F48" s="357">
        <f>ROUND('[3]Cash-Based Monthly Totals'!GN49,0)</f>
        <v>0</v>
      </c>
      <c r="G48" s="357">
        <f>ROUND('[3]Cash-Based Monthly Totals'!GO49,0)</f>
        <v>0</v>
      </c>
      <c r="H48" s="357">
        <f>ROUND('[3]Cash-Based Monthly Totals'!GP49,0)</f>
        <v>3174958</v>
      </c>
      <c r="I48" s="357">
        <f>ROUND('[3]Cash-Based Monthly Totals'!GQ49,0)</f>
        <v>0</v>
      </c>
      <c r="J48" s="357"/>
      <c r="K48" s="357"/>
      <c r="L48" s="357"/>
      <c r="M48" s="357"/>
      <c r="N48" s="357"/>
      <c r="O48" s="91">
        <f t="shared" si="5"/>
        <v>3174958</v>
      </c>
    </row>
    <row r="49" spans="1:15" ht="31.5" x14ac:dyDescent="0.2">
      <c r="A49" s="402"/>
      <c r="B49" s="90" t="s">
        <v>76</v>
      </c>
      <c r="C49" s="357">
        <f>ROUND('[3]Cash-Based Monthly Totals'!GK50,0)</f>
        <v>0</v>
      </c>
      <c r="D49" s="357">
        <f>ROUND('[3]Cash-Based Monthly Totals'!GL50,0)</f>
        <v>0</v>
      </c>
      <c r="E49" s="357">
        <f>ROUND('[3]Cash-Based Monthly Totals'!GM50,0)</f>
        <v>0</v>
      </c>
      <c r="F49" s="357">
        <f>ROUND('[3]Cash-Based Monthly Totals'!GN50,0)</f>
        <v>0</v>
      </c>
      <c r="G49" s="357">
        <f>ROUND('[3]Cash-Based Monthly Totals'!GO50,0)</f>
        <v>0</v>
      </c>
      <c r="H49" s="357">
        <f>ROUND('[3]Cash-Based Monthly Totals'!GP50,0)</f>
        <v>0</v>
      </c>
      <c r="I49" s="357">
        <f>ROUND('[3]Cash-Based Monthly Totals'!GQ50,0)</f>
        <v>0</v>
      </c>
      <c r="J49" s="357"/>
      <c r="K49" s="357"/>
      <c r="L49" s="357"/>
      <c r="M49" s="357"/>
      <c r="N49" s="357"/>
      <c r="O49" s="91">
        <f t="shared" si="5"/>
        <v>0</v>
      </c>
    </row>
    <row r="50" spans="1:15" ht="31.5" x14ac:dyDescent="0.2">
      <c r="A50" s="402"/>
      <c r="B50" s="90" t="s">
        <v>77</v>
      </c>
      <c r="C50" s="357">
        <f>ROUND('[3]Cash-Based Monthly Totals'!GK51,0)</f>
        <v>0</v>
      </c>
      <c r="D50" s="357">
        <f>ROUND('[3]Cash-Based Monthly Totals'!GL51,0)</f>
        <v>0</v>
      </c>
      <c r="E50" s="357">
        <f>ROUND('[3]Cash-Based Monthly Totals'!GM51,0)</f>
        <v>0</v>
      </c>
      <c r="F50" s="357">
        <f>ROUND('[3]Cash-Based Monthly Totals'!GN51,0)</f>
        <v>0</v>
      </c>
      <c r="G50" s="357">
        <f>ROUND('[3]Cash-Based Monthly Totals'!GO51,0)</f>
        <v>0</v>
      </c>
      <c r="H50" s="357">
        <f>ROUND('[3]Cash-Based Monthly Totals'!GP51,0)</f>
        <v>0</v>
      </c>
      <c r="I50" s="357">
        <f>ROUND('[3]Cash-Based Monthly Totals'!GQ51,0)</f>
        <v>0</v>
      </c>
      <c r="J50" s="357"/>
      <c r="K50" s="357"/>
      <c r="L50" s="357"/>
      <c r="M50" s="357"/>
      <c r="N50" s="357"/>
      <c r="O50" s="91">
        <f t="shared" si="5"/>
        <v>0</v>
      </c>
    </row>
    <row r="51" spans="1:15" ht="31.5" x14ac:dyDescent="0.2">
      <c r="A51" s="402"/>
      <c r="B51" s="90" t="s">
        <v>96</v>
      </c>
      <c r="C51" s="357">
        <f>ROUND('[3]Cash-Based Monthly Totals'!GK52,0)</f>
        <v>62067717</v>
      </c>
      <c r="D51" s="357">
        <f>ROUND('[3]Cash-Based Monthly Totals'!GL52,0)</f>
        <v>59690531</v>
      </c>
      <c r="E51" s="357">
        <f>ROUND('[3]Cash-Based Monthly Totals'!GM52,0)</f>
        <v>37886747</v>
      </c>
      <c r="F51" s="357">
        <f>ROUND('[3]Cash-Based Monthly Totals'!GN52,0)</f>
        <v>47502321</v>
      </c>
      <c r="G51" s="357">
        <f>ROUND('[3]Cash-Based Monthly Totals'!GO52,0)</f>
        <v>57067957</v>
      </c>
      <c r="H51" s="357">
        <f>ROUND('[3]Cash-Based Monthly Totals'!GP52,0)</f>
        <v>60389399</v>
      </c>
      <c r="I51" s="357">
        <f>ROUND('[3]Cash-Based Monthly Totals'!GQ52,0)</f>
        <v>55653878</v>
      </c>
      <c r="J51" s="357"/>
      <c r="K51" s="357"/>
      <c r="L51" s="357"/>
      <c r="M51" s="357"/>
      <c r="N51" s="357"/>
      <c r="O51" s="91">
        <f t="shared" si="5"/>
        <v>380258550</v>
      </c>
    </row>
    <row r="52" spans="1:15" ht="31.5" x14ac:dyDescent="0.2">
      <c r="A52" s="402"/>
      <c r="B52" s="90" t="s">
        <v>98</v>
      </c>
      <c r="C52" s="357">
        <f>ROUND('[3]Cash-Based Monthly Totals'!GK53,0)</f>
        <v>6882342</v>
      </c>
      <c r="D52" s="357">
        <f>ROUND('[3]Cash-Based Monthly Totals'!GL53,0)</f>
        <v>10182930</v>
      </c>
      <c r="E52" s="357">
        <f>ROUND('[3]Cash-Based Monthly Totals'!GM53,0)</f>
        <v>8691020</v>
      </c>
      <c r="F52" s="357">
        <f>ROUND('[3]Cash-Based Monthly Totals'!GN53,0)</f>
        <v>8563105</v>
      </c>
      <c r="G52" s="357">
        <f>ROUND('[3]Cash-Based Monthly Totals'!GO53,0)</f>
        <v>8529369</v>
      </c>
      <c r="H52" s="357">
        <f>ROUND('[3]Cash-Based Monthly Totals'!GP53,0)</f>
        <v>8715599</v>
      </c>
      <c r="I52" s="357">
        <f>ROUND('[3]Cash-Based Monthly Totals'!GQ53,0)</f>
        <v>8537215</v>
      </c>
      <c r="J52" s="357"/>
      <c r="K52" s="357"/>
      <c r="L52" s="357"/>
      <c r="M52" s="357"/>
      <c r="N52" s="357"/>
      <c r="O52" s="91">
        <f t="shared" si="5"/>
        <v>60101580</v>
      </c>
    </row>
    <row r="53" spans="1:15" x14ac:dyDescent="0.2">
      <c r="A53" s="402"/>
      <c r="B53" s="90" t="s">
        <v>99</v>
      </c>
      <c r="C53" s="357">
        <f>ROUND('[3]Cash-Based Monthly Totals'!GK54,0)</f>
        <v>0</v>
      </c>
      <c r="D53" s="357">
        <f>ROUND('[3]Cash-Based Monthly Totals'!GL54,0)</f>
        <v>0</v>
      </c>
      <c r="E53" s="357">
        <f>ROUND('[3]Cash-Based Monthly Totals'!GM54,0)</f>
        <v>0</v>
      </c>
      <c r="F53" s="357">
        <f>ROUND('[3]Cash-Based Monthly Totals'!GN54,0)</f>
        <v>0</v>
      </c>
      <c r="G53" s="357">
        <f>ROUND('[3]Cash-Based Monthly Totals'!GO54,0)</f>
        <v>0</v>
      </c>
      <c r="H53" s="357">
        <f>ROUND('[3]Cash-Based Monthly Totals'!GP54,0)</f>
        <v>27081</v>
      </c>
      <c r="I53" s="357">
        <f>ROUND('[3]Cash-Based Monthly Totals'!GQ54,0)</f>
        <v>0</v>
      </c>
      <c r="J53" s="357"/>
      <c r="K53" s="357"/>
      <c r="L53" s="357"/>
      <c r="M53" s="357"/>
      <c r="N53" s="357"/>
      <c r="O53" s="91">
        <f t="shared" si="5"/>
        <v>27081</v>
      </c>
    </row>
    <row r="54" spans="1:15" x14ac:dyDescent="0.2">
      <c r="A54" s="402"/>
      <c r="B54" s="90" t="s">
        <v>97</v>
      </c>
      <c r="C54" s="357">
        <f>ROUND('[3]Cash-Based Monthly Totals'!GK55,0)</f>
        <v>0</v>
      </c>
      <c r="D54" s="357">
        <f>ROUND('[3]Cash-Based Monthly Totals'!GL55,0)</f>
        <v>0</v>
      </c>
      <c r="E54" s="357">
        <f>ROUND('[3]Cash-Based Monthly Totals'!GM55,0)</f>
        <v>0</v>
      </c>
      <c r="F54" s="357">
        <f>ROUND('[3]Cash-Based Monthly Totals'!GN55,0)</f>
        <v>0</v>
      </c>
      <c r="G54" s="357">
        <f>ROUND('[3]Cash-Based Monthly Totals'!GO55,0)</f>
        <v>0</v>
      </c>
      <c r="H54" s="357">
        <f>ROUND('[3]Cash-Based Monthly Totals'!GP55,0)</f>
        <v>5396841</v>
      </c>
      <c r="I54" s="357">
        <f>ROUND('[3]Cash-Based Monthly Totals'!GQ55,0)</f>
        <v>0</v>
      </c>
      <c r="J54" s="357"/>
      <c r="K54" s="357"/>
      <c r="L54" s="357"/>
      <c r="M54" s="357"/>
      <c r="N54" s="357"/>
      <c r="O54" s="91">
        <f t="shared" si="5"/>
        <v>5396841</v>
      </c>
    </row>
    <row r="55" spans="1:15" ht="16.5" thickBot="1" x14ac:dyDescent="0.25">
      <c r="A55" s="402"/>
      <c r="B55" s="95" t="s">
        <v>137</v>
      </c>
      <c r="C55" s="357">
        <f>ROUND('[3]Cash-Based Monthly Totals'!GK56,0)</f>
        <v>-352373</v>
      </c>
      <c r="D55" s="357">
        <f>ROUND('[3]Cash-Based Monthly Totals'!GL56,0)</f>
        <v>-1076354</v>
      </c>
      <c r="E55" s="357">
        <f>ROUND('[3]Cash-Based Monthly Totals'!GM56,0)</f>
        <v>745848</v>
      </c>
      <c r="F55" s="357">
        <f>ROUND('[3]Cash-Based Monthly Totals'!GN56,0)</f>
        <v>-26241</v>
      </c>
      <c r="G55" s="357">
        <f>ROUND('[3]Cash-Based Monthly Totals'!GO56,0)</f>
        <v>127082</v>
      </c>
      <c r="H55" s="357">
        <f>ROUND('[3]Cash-Based Monthly Totals'!GP56,0)</f>
        <v>370066</v>
      </c>
      <c r="I55" s="357">
        <f>ROUND('[3]Cash-Based Monthly Totals'!GQ56,0)</f>
        <v>-132500</v>
      </c>
      <c r="J55" s="357"/>
      <c r="K55" s="357"/>
      <c r="L55" s="357"/>
      <c r="M55" s="357"/>
      <c r="N55" s="357"/>
      <c r="O55" s="91">
        <f t="shared" si="5"/>
        <v>-344472</v>
      </c>
    </row>
    <row r="56" spans="1:15" ht="16.5" thickBot="1" x14ac:dyDescent="0.25">
      <c r="A56" s="403"/>
      <c r="B56" s="92" t="s">
        <v>78</v>
      </c>
      <c r="C56" s="93">
        <f t="shared" ref="C56:H56" si="14">SUM(C48:C55)</f>
        <v>68597686</v>
      </c>
      <c r="D56" s="93">
        <f t="shared" si="14"/>
        <v>68797107</v>
      </c>
      <c r="E56" s="93">
        <f t="shared" si="14"/>
        <v>47323615</v>
      </c>
      <c r="F56" s="93">
        <f t="shared" si="14"/>
        <v>56039185</v>
      </c>
      <c r="G56" s="93">
        <f t="shared" si="14"/>
        <v>65724408</v>
      </c>
      <c r="H56" s="93">
        <f t="shared" si="14"/>
        <v>78073944</v>
      </c>
      <c r="I56" s="93">
        <f t="shared" ref="I56" si="15">SUM(I48:I55)</f>
        <v>64058593</v>
      </c>
      <c r="J56" s="93"/>
      <c r="K56" s="93"/>
      <c r="L56" s="93"/>
      <c r="M56" s="93"/>
      <c r="N56" s="93"/>
      <c r="O56" s="94">
        <f t="shared" si="5"/>
        <v>448614538</v>
      </c>
    </row>
    <row r="57" spans="1:15" s="98" customFormat="1" ht="16.5" thickBot="1" x14ac:dyDescent="0.25">
      <c r="A57" s="404"/>
      <c r="B57" s="96" t="s">
        <v>100</v>
      </c>
      <c r="C57" s="75">
        <v>4</v>
      </c>
      <c r="D57" s="75">
        <v>5</v>
      </c>
      <c r="E57" s="75">
        <v>4</v>
      </c>
      <c r="F57" s="75">
        <v>5</v>
      </c>
      <c r="G57" s="75">
        <v>4</v>
      </c>
      <c r="H57" s="75">
        <v>4</v>
      </c>
      <c r="I57" s="75">
        <v>5</v>
      </c>
      <c r="J57" s="75">
        <v>4</v>
      </c>
      <c r="K57" s="75">
        <v>4</v>
      </c>
      <c r="L57" s="75">
        <v>4</v>
      </c>
      <c r="M57" s="75">
        <v>5</v>
      </c>
      <c r="N57" s="75">
        <v>4</v>
      </c>
      <c r="O57" s="97">
        <f>SUM(C57:N57)</f>
        <v>52</v>
      </c>
    </row>
    <row r="58" spans="1:15" ht="16.5" thickBot="1" x14ac:dyDescent="0.25">
      <c r="A58" s="405"/>
      <c r="B58" s="92" t="s">
        <v>79</v>
      </c>
      <c r="C58" s="99">
        <f>ROUND(C56+C47+C43+C37+C23,0)</f>
        <v>541150057</v>
      </c>
      <c r="D58" s="99">
        <f>ROUND(D56+D47+D43+D37+D23,0)</f>
        <v>634475309</v>
      </c>
      <c r="E58" s="99">
        <f t="shared" ref="E58:G58" si="16">ROUND(E56+E47+E43+E37+E23,0)</f>
        <v>423730278</v>
      </c>
      <c r="F58" s="99">
        <f t="shared" si="16"/>
        <v>669910981</v>
      </c>
      <c r="G58" s="99">
        <f t="shared" si="16"/>
        <v>575177237</v>
      </c>
      <c r="H58" s="99">
        <f>ROUNDUP(H56+H47+H43+H37+H23,0)</f>
        <v>440396055</v>
      </c>
      <c r="I58" s="99">
        <f t="shared" ref="I58:N58" si="17">I56+I47+I43+I37+I23</f>
        <v>640359305</v>
      </c>
      <c r="J58" s="99">
        <f>J56+J47+J43+J37+J23</f>
        <v>0</v>
      </c>
      <c r="K58" s="99">
        <f t="shared" si="17"/>
        <v>0</v>
      </c>
      <c r="L58" s="99">
        <f t="shared" ref="L58" si="18">L56+L47+L43+L37+L23</f>
        <v>0</v>
      </c>
      <c r="M58" s="99">
        <f t="shared" si="17"/>
        <v>0</v>
      </c>
      <c r="N58" s="99">
        <f t="shared" si="17"/>
        <v>0</v>
      </c>
      <c r="O58" s="100">
        <f>ROUND(SUM(C58:N58),0)</f>
        <v>3925199222</v>
      </c>
    </row>
    <row r="59" spans="1:15" x14ac:dyDescent="0.2">
      <c r="A59" s="406" t="s">
        <v>24</v>
      </c>
      <c r="B59" s="407"/>
      <c r="C59" s="407"/>
      <c r="D59" s="407"/>
      <c r="E59" s="407"/>
      <c r="F59" s="407"/>
      <c r="G59" s="407"/>
      <c r="H59" s="407"/>
      <c r="I59" s="407"/>
      <c r="J59" s="407"/>
      <c r="K59" s="407"/>
      <c r="L59" s="407"/>
      <c r="M59" s="407"/>
      <c r="N59" s="407"/>
      <c r="O59" s="408"/>
    </row>
    <row r="60" spans="1:15" ht="16.5" thickBot="1" x14ac:dyDescent="0.25">
      <c r="A60" s="409" t="s">
        <v>333</v>
      </c>
      <c r="B60" s="410"/>
      <c r="C60" s="410"/>
      <c r="D60" s="410"/>
      <c r="E60" s="410"/>
      <c r="F60" s="410"/>
      <c r="G60" s="410"/>
      <c r="H60" s="410"/>
      <c r="I60" s="410"/>
      <c r="J60" s="410"/>
      <c r="K60" s="410"/>
      <c r="L60" s="410"/>
      <c r="M60" s="410"/>
      <c r="N60" s="410"/>
      <c r="O60" s="411"/>
    </row>
  </sheetData>
  <mergeCells count="9">
    <mergeCell ref="A1:O1"/>
    <mergeCell ref="A3:A23"/>
    <mergeCell ref="A24:A37"/>
    <mergeCell ref="A57:A58"/>
    <mergeCell ref="A48:A56"/>
    <mergeCell ref="A38:A43"/>
    <mergeCell ref="A44:A47"/>
    <mergeCell ref="A59:O59"/>
    <mergeCell ref="A60:O60"/>
  </mergeCells>
  <phoneticPr fontId="14" type="noConversion"/>
  <printOptions horizontalCentered="1" gridLines="1"/>
  <pageMargins left="0.28999999999999998" right="0.28999999999999998" top="0.7" bottom="0.43" header="0.3" footer="0.27"/>
  <pageSetup scale="45"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19"/>
  <sheetViews>
    <sheetView view="pageBreakPreview" zoomScale="110" zoomScaleNormal="100" zoomScaleSheetLayoutView="110" workbookViewId="0">
      <selection activeCell="C4" sqref="C4"/>
    </sheetView>
  </sheetViews>
  <sheetFormatPr defaultColWidth="9.140625" defaultRowHeight="15.75" x14ac:dyDescent="0.25"/>
  <cols>
    <col min="1" max="1" width="33.85546875" style="81" customWidth="1"/>
    <col min="2" max="2" width="38.140625" style="81" customWidth="1"/>
    <col min="3" max="3" width="18.5703125" style="81" customWidth="1"/>
    <col min="4" max="4" width="20.42578125" style="81" customWidth="1"/>
    <col min="5" max="5" width="19.5703125" style="81" customWidth="1"/>
    <col min="6" max="16384" width="9.140625" style="81"/>
  </cols>
  <sheetData>
    <row r="1" spans="1:5" ht="24.75" customHeight="1" x14ac:dyDescent="0.25">
      <c r="A1" s="532" t="s">
        <v>310</v>
      </c>
      <c r="B1" s="533"/>
      <c r="C1" s="533"/>
      <c r="D1" s="533"/>
      <c r="E1" s="534"/>
    </row>
    <row r="2" spans="1:5" ht="32.25" customHeight="1" x14ac:dyDescent="0.25">
      <c r="A2" s="132"/>
      <c r="B2" s="390" t="s">
        <v>79</v>
      </c>
      <c r="C2" s="391" t="s">
        <v>104</v>
      </c>
      <c r="D2" s="392" t="s">
        <v>22</v>
      </c>
      <c r="E2" s="393" t="s">
        <v>105</v>
      </c>
    </row>
    <row r="3" spans="1:5" x14ac:dyDescent="0.25">
      <c r="A3" s="128" t="s">
        <v>3</v>
      </c>
      <c r="B3" s="13">
        <f t="shared" ref="B3:B9" si="0">SUM(C3:E3)</f>
        <v>11626336.130000001</v>
      </c>
      <c r="C3" s="13">
        <v>9762999.8400000017</v>
      </c>
      <c r="D3" s="13">
        <v>1093770.3599999999</v>
      </c>
      <c r="E3" s="123">
        <v>769565.93</v>
      </c>
    </row>
    <row r="4" spans="1:5" x14ac:dyDescent="0.25">
      <c r="A4" s="128" t="s">
        <v>4</v>
      </c>
      <c r="B4" s="13">
        <f t="shared" si="0"/>
        <v>12324460.65</v>
      </c>
      <c r="C4" s="13">
        <v>10448654.609999999</v>
      </c>
      <c r="D4" s="13">
        <v>1115003.0699999998</v>
      </c>
      <c r="E4" s="123">
        <v>760802.97</v>
      </c>
    </row>
    <row r="5" spans="1:5" x14ac:dyDescent="0.25">
      <c r="A5" s="128" t="s">
        <v>5</v>
      </c>
      <c r="B5" s="13">
        <f t="shared" si="0"/>
        <v>13125882.91</v>
      </c>
      <c r="C5" s="13">
        <v>11201190.779999999</v>
      </c>
      <c r="D5" s="13">
        <v>1235957.22</v>
      </c>
      <c r="E5" s="123">
        <v>688734.90999999992</v>
      </c>
    </row>
    <row r="6" spans="1:5" x14ac:dyDescent="0.25">
      <c r="A6" s="128" t="s">
        <v>6</v>
      </c>
      <c r="B6" s="13">
        <f t="shared" si="0"/>
        <v>12521123.569999998</v>
      </c>
      <c r="C6" s="13">
        <v>10549219.219999999</v>
      </c>
      <c r="D6" s="13">
        <v>1272220.6000000001</v>
      </c>
      <c r="E6" s="123">
        <v>699683.75</v>
      </c>
    </row>
    <row r="7" spans="1:5" x14ac:dyDescent="0.25">
      <c r="A7" s="128" t="s">
        <v>7</v>
      </c>
      <c r="B7" s="13">
        <f t="shared" si="0"/>
        <v>12646667.520000001</v>
      </c>
      <c r="C7" s="13">
        <v>10797842.65</v>
      </c>
      <c r="D7" s="13">
        <v>1152212.6499999999</v>
      </c>
      <c r="E7" s="123">
        <v>696612.22</v>
      </c>
    </row>
    <row r="8" spans="1:5" x14ac:dyDescent="0.25">
      <c r="A8" s="128" t="s">
        <v>8</v>
      </c>
      <c r="B8" s="13">
        <f t="shared" si="0"/>
        <v>13132090.790000001</v>
      </c>
      <c r="C8" s="13">
        <v>10792118.26</v>
      </c>
      <c r="D8" s="13">
        <v>1600979.79</v>
      </c>
      <c r="E8" s="123">
        <v>738992.74</v>
      </c>
    </row>
    <row r="9" spans="1:5" x14ac:dyDescent="0.25">
      <c r="A9" s="128" t="s">
        <v>9</v>
      </c>
      <c r="B9" s="13">
        <f t="shared" si="0"/>
        <v>13452162.26</v>
      </c>
      <c r="C9" s="13">
        <v>11101155.16</v>
      </c>
      <c r="D9" s="13">
        <v>1562278.0000000002</v>
      </c>
      <c r="E9" s="123">
        <v>788729.1</v>
      </c>
    </row>
    <row r="10" spans="1:5" x14ac:dyDescent="0.25">
      <c r="A10" s="128" t="s">
        <v>10</v>
      </c>
      <c r="B10" s="13"/>
      <c r="C10" s="13"/>
      <c r="D10" s="13"/>
      <c r="E10" s="123"/>
    </row>
    <row r="11" spans="1:5" x14ac:dyDescent="0.25">
      <c r="A11" s="128" t="s">
        <v>11</v>
      </c>
      <c r="B11" s="13"/>
      <c r="C11" s="13"/>
      <c r="D11" s="13"/>
      <c r="E11" s="123"/>
    </row>
    <row r="12" spans="1:5" x14ac:dyDescent="0.25">
      <c r="A12" s="128" t="s">
        <v>12</v>
      </c>
      <c r="B12" s="13"/>
      <c r="C12" s="13"/>
      <c r="D12" s="13"/>
      <c r="E12" s="123"/>
    </row>
    <row r="13" spans="1:5" x14ac:dyDescent="0.25">
      <c r="A13" s="128" t="s">
        <v>13</v>
      </c>
      <c r="B13" s="13"/>
      <c r="C13" s="13"/>
      <c r="D13" s="13"/>
      <c r="E13" s="123"/>
    </row>
    <row r="14" spans="1:5" x14ac:dyDescent="0.25">
      <c r="A14" s="130" t="s">
        <v>25</v>
      </c>
      <c r="B14" s="218"/>
      <c r="C14" s="50"/>
      <c r="D14" s="50"/>
      <c r="E14" s="134"/>
    </row>
    <row r="15" spans="1:5" x14ac:dyDescent="0.25">
      <c r="A15" s="135" t="s">
        <v>34</v>
      </c>
      <c r="B15" s="18">
        <f>SUM(B3:B14)</f>
        <v>88828723.830000013</v>
      </c>
      <c r="C15" s="18">
        <f>SUM(C3:C14)</f>
        <v>74653180.519999996</v>
      </c>
      <c r="D15" s="18">
        <f>SUM(D3:D14)</f>
        <v>9032421.6900000013</v>
      </c>
      <c r="E15" s="136">
        <f>SUM(E3:E14)</f>
        <v>5143121.6199999992</v>
      </c>
    </row>
    <row r="16" spans="1:5" x14ac:dyDescent="0.25">
      <c r="A16" s="118" t="s">
        <v>35</v>
      </c>
      <c r="B16" s="13">
        <v>141455044</v>
      </c>
      <c r="C16" s="13"/>
      <c r="D16" s="13"/>
      <c r="E16" s="123"/>
    </row>
    <row r="17" spans="1:5" ht="16.5" thickBot="1" x14ac:dyDescent="0.3">
      <c r="A17" s="137" t="s">
        <v>23</v>
      </c>
      <c r="B17" s="126">
        <f>B16-B15</f>
        <v>52626320.169999987</v>
      </c>
      <c r="C17" s="138"/>
      <c r="D17" s="138"/>
      <c r="E17" s="139"/>
    </row>
    <row r="18" spans="1:5" ht="12.75" customHeight="1" x14ac:dyDescent="0.25">
      <c r="A18" s="529" t="s">
        <v>24</v>
      </c>
      <c r="B18" s="530"/>
      <c r="C18" s="530"/>
      <c r="D18" s="530"/>
      <c r="E18" s="531"/>
    </row>
    <row r="19" spans="1:5" s="83" customFormat="1" ht="16.5" thickBot="1" x14ac:dyDescent="0.3">
      <c r="A19" s="454" t="s">
        <v>332</v>
      </c>
      <c r="B19" s="455"/>
      <c r="C19" s="455"/>
      <c r="D19" s="455"/>
      <c r="E19" s="456"/>
    </row>
  </sheetData>
  <mergeCells count="3">
    <mergeCell ref="A1:E1"/>
    <mergeCell ref="A19:E19"/>
    <mergeCell ref="A18:E18"/>
  </mergeCells>
  <phoneticPr fontId="14" type="noConversion"/>
  <printOptions horizontalCentered="1" gridLines="1"/>
  <pageMargins left="0.28999999999999998" right="0.28999999999999998" top="0.7" bottom="0.43" header="0.3" footer="0.27"/>
  <pageSetup scale="89" firstPageNumber="6"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14"/>
  <sheetViews>
    <sheetView view="pageBreakPreview" topLeftCell="A110" zoomScaleNormal="100" zoomScaleSheetLayoutView="100" workbookViewId="0">
      <selection activeCell="C4" sqref="C4"/>
    </sheetView>
  </sheetViews>
  <sheetFormatPr defaultColWidth="9.140625" defaultRowHeight="15.75" x14ac:dyDescent="0.25"/>
  <cols>
    <col min="1" max="1" width="9.140625" style="190"/>
    <col min="2" max="2" width="44.7109375" style="10" bestFit="1" customWidth="1"/>
    <col min="3" max="3" width="14" style="10" customWidth="1"/>
    <col min="4" max="4" width="21.28515625" style="10" hidden="1" customWidth="1"/>
    <col min="5" max="5" width="22.7109375" style="10" customWidth="1"/>
    <col min="6" max="6" width="14.42578125" style="10" bestFit="1" customWidth="1"/>
    <col min="7" max="7" width="14.28515625" style="10" customWidth="1"/>
    <col min="8" max="8" width="21.5703125" style="10" hidden="1" customWidth="1"/>
    <col min="9" max="9" width="21.140625" style="10" customWidth="1"/>
    <col min="10" max="10" width="10.5703125" style="10" customWidth="1"/>
    <col min="11" max="16384" width="9.140625" style="10"/>
  </cols>
  <sheetData>
    <row r="1" spans="2:10" x14ac:dyDescent="0.25">
      <c r="B1" s="535" t="s">
        <v>108</v>
      </c>
      <c r="C1" s="536"/>
      <c r="D1" s="536"/>
      <c r="E1" s="536"/>
      <c r="F1" s="536"/>
      <c r="G1" s="536"/>
      <c r="H1" s="536"/>
      <c r="I1" s="536"/>
      <c r="J1" s="537"/>
    </row>
    <row r="2" spans="2:10" ht="31.5" x14ac:dyDescent="0.25">
      <c r="B2" s="335"/>
      <c r="C2" s="59" t="s">
        <v>257</v>
      </c>
      <c r="D2" s="60" t="s">
        <v>109</v>
      </c>
      <c r="E2" s="60" t="s">
        <v>258</v>
      </c>
      <c r="F2" s="61" t="s">
        <v>28</v>
      </c>
      <c r="G2" s="59" t="s">
        <v>259</v>
      </c>
      <c r="H2" s="60" t="s">
        <v>110</v>
      </c>
      <c r="I2" s="60" t="s">
        <v>260</v>
      </c>
      <c r="J2" s="336" t="s">
        <v>29</v>
      </c>
    </row>
    <row r="3" spans="2:10" s="9" customFormat="1" hidden="1" x14ac:dyDescent="0.25">
      <c r="B3" s="106">
        <v>39995</v>
      </c>
      <c r="C3" s="23">
        <v>65349</v>
      </c>
      <c r="D3" s="24"/>
      <c r="E3" s="24">
        <f>[9]Kids!N145</f>
        <v>0</v>
      </c>
      <c r="F3" s="24"/>
      <c r="G3" s="23">
        <v>1621</v>
      </c>
      <c r="H3" s="24"/>
      <c r="I3" s="24">
        <f>[9]Prenatal!E90</f>
        <v>0</v>
      </c>
      <c r="J3" s="337">
        <f t="shared" ref="J3:J15" si="0">SUM(G3:I3)</f>
        <v>1621</v>
      </c>
    </row>
    <row r="4" spans="2:10" s="9" customFormat="1" hidden="1" x14ac:dyDescent="0.25">
      <c r="B4" s="106">
        <v>40026</v>
      </c>
      <c r="C4" s="25">
        <v>66531</v>
      </c>
      <c r="D4" s="26"/>
      <c r="E4" s="26">
        <f>[9]Kids!N146</f>
        <v>0</v>
      </c>
      <c r="F4" s="26"/>
      <c r="G4" s="25">
        <v>1568</v>
      </c>
      <c r="H4" s="26"/>
      <c r="I4" s="26">
        <f>[9]Prenatal!E91</f>
        <v>0</v>
      </c>
      <c r="J4" s="199">
        <f t="shared" si="0"/>
        <v>1568</v>
      </c>
    </row>
    <row r="5" spans="2:10" s="9" customFormat="1" hidden="1" x14ac:dyDescent="0.25">
      <c r="B5" s="106">
        <v>40057</v>
      </c>
      <c r="C5" s="25">
        <v>67239</v>
      </c>
      <c r="D5" s="26"/>
      <c r="E5" s="26">
        <f>[9]Kids!N147</f>
        <v>0</v>
      </c>
      <c r="F5" s="2">
        <f t="shared" ref="F5:F15" si="1">SUM(C5:E5)</f>
        <v>67239</v>
      </c>
      <c r="G5" s="25">
        <v>1571</v>
      </c>
      <c r="H5" s="26"/>
      <c r="I5" s="26">
        <f>[9]Prenatal!E92</f>
        <v>0</v>
      </c>
      <c r="J5" s="199">
        <f t="shared" si="0"/>
        <v>1571</v>
      </c>
    </row>
    <row r="6" spans="2:10" s="9" customFormat="1" hidden="1" x14ac:dyDescent="0.25">
      <c r="B6" s="106">
        <v>40087</v>
      </c>
      <c r="C6" s="25">
        <v>68234</v>
      </c>
      <c r="D6" s="26"/>
      <c r="E6" s="26">
        <f>[9]Kids!N148</f>
        <v>0</v>
      </c>
      <c r="F6" s="2">
        <f t="shared" si="1"/>
        <v>68234</v>
      </c>
      <c r="G6" s="25">
        <v>1561</v>
      </c>
      <c r="H6" s="26"/>
      <c r="I6" s="26">
        <f>[9]Prenatal!E93</f>
        <v>0</v>
      </c>
      <c r="J6" s="199">
        <f t="shared" si="0"/>
        <v>1561</v>
      </c>
    </row>
    <row r="7" spans="2:10" s="9" customFormat="1" hidden="1" x14ac:dyDescent="0.25">
      <c r="B7" s="106">
        <v>40118</v>
      </c>
      <c r="C7" s="25">
        <v>69011</v>
      </c>
      <c r="D7" s="26"/>
      <c r="E7" s="26">
        <f>[9]Kids!N149</f>
        <v>0</v>
      </c>
      <c r="F7" s="2">
        <f t="shared" si="1"/>
        <v>69011</v>
      </c>
      <c r="G7" s="25">
        <v>1563</v>
      </c>
      <c r="H7" s="26"/>
      <c r="I7" s="26">
        <f>[9]Prenatal!E94</f>
        <v>0</v>
      </c>
      <c r="J7" s="199">
        <f t="shared" si="0"/>
        <v>1563</v>
      </c>
    </row>
    <row r="8" spans="2:10" s="9" customFormat="1" hidden="1" x14ac:dyDescent="0.25">
      <c r="B8" s="106">
        <v>40148</v>
      </c>
      <c r="C8" s="25">
        <v>69640</v>
      </c>
      <c r="D8" s="26"/>
      <c r="E8" s="26">
        <f>[9]Kids!N150</f>
        <v>0</v>
      </c>
      <c r="F8" s="2">
        <f t="shared" si="1"/>
        <v>69640</v>
      </c>
      <c r="G8" s="25">
        <v>1528</v>
      </c>
      <c r="H8" s="26"/>
      <c r="I8" s="26">
        <f>[9]Prenatal!E95</f>
        <v>0</v>
      </c>
      <c r="J8" s="199">
        <f t="shared" si="0"/>
        <v>1528</v>
      </c>
    </row>
    <row r="9" spans="2:10" s="9" customFormat="1" hidden="1" x14ac:dyDescent="0.25">
      <c r="B9" s="106">
        <v>40179</v>
      </c>
      <c r="C9" s="25">
        <v>70186</v>
      </c>
      <c r="D9" s="26"/>
      <c r="E9" s="26">
        <f>[9]Kids!N151</f>
        <v>0</v>
      </c>
      <c r="F9" s="2">
        <f t="shared" si="1"/>
        <v>70186</v>
      </c>
      <c r="G9" s="25">
        <v>1532</v>
      </c>
      <c r="H9" s="26"/>
      <c r="I9" s="26">
        <f>[9]Prenatal!E96</f>
        <v>0</v>
      </c>
      <c r="J9" s="199">
        <f t="shared" si="0"/>
        <v>1532</v>
      </c>
    </row>
    <row r="10" spans="2:10" s="9" customFormat="1" hidden="1" x14ac:dyDescent="0.25">
      <c r="B10" s="106">
        <v>40210</v>
      </c>
      <c r="C10" s="25">
        <v>69887</v>
      </c>
      <c r="D10" s="26"/>
      <c r="E10" s="26">
        <f>[9]Kids!N152</f>
        <v>0</v>
      </c>
      <c r="F10" s="2">
        <f t="shared" si="1"/>
        <v>69887</v>
      </c>
      <c r="G10" s="25">
        <v>1523</v>
      </c>
      <c r="H10" s="26"/>
      <c r="I10" s="26">
        <f>[9]Prenatal!E97</f>
        <v>0</v>
      </c>
      <c r="J10" s="199">
        <f t="shared" si="0"/>
        <v>1523</v>
      </c>
    </row>
    <row r="11" spans="2:10" s="9" customFormat="1" hidden="1" x14ac:dyDescent="0.25">
      <c r="B11" s="106">
        <v>40238</v>
      </c>
      <c r="C11" s="25">
        <v>70212</v>
      </c>
      <c r="D11" s="26"/>
      <c r="E11" s="26">
        <f>[9]Kids!N153</f>
        <v>0</v>
      </c>
      <c r="F11" s="2">
        <f t="shared" si="1"/>
        <v>70212</v>
      </c>
      <c r="G11" s="25">
        <v>1550</v>
      </c>
      <c r="H11" s="26"/>
      <c r="I11" s="26">
        <f>[9]Prenatal!E98</f>
        <v>0</v>
      </c>
      <c r="J11" s="199">
        <f t="shared" si="0"/>
        <v>1550</v>
      </c>
    </row>
    <row r="12" spans="2:10" s="9" customFormat="1" hidden="1" x14ac:dyDescent="0.25">
      <c r="B12" s="106">
        <v>40269</v>
      </c>
      <c r="C12" s="25">
        <v>69663</v>
      </c>
      <c r="D12" s="26"/>
      <c r="E12" s="26">
        <f>[9]Kids!N154</f>
        <v>0</v>
      </c>
      <c r="F12" s="2">
        <f t="shared" si="1"/>
        <v>69663</v>
      </c>
      <c r="G12" s="25">
        <v>1517</v>
      </c>
      <c r="H12" s="26"/>
      <c r="I12" s="26">
        <f>[9]Prenatal!E99</f>
        <v>0</v>
      </c>
      <c r="J12" s="199">
        <f t="shared" si="0"/>
        <v>1517</v>
      </c>
    </row>
    <row r="13" spans="2:10" s="9" customFormat="1" hidden="1" x14ac:dyDescent="0.25">
      <c r="B13" s="106">
        <v>40299</v>
      </c>
      <c r="C13" s="25">
        <v>68771</v>
      </c>
      <c r="D13" s="26"/>
      <c r="E13" s="26">
        <f>[9]Kids!N155</f>
        <v>600</v>
      </c>
      <c r="F13" s="2">
        <f t="shared" si="1"/>
        <v>69371</v>
      </c>
      <c r="G13" s="25">
        <v>1529</v>
      </c>
      <c r="H13" s="26"/>
      <c r="I13" s="26">
        <f>[9]Prenatal!E100</f>
        <v>46</v>
      </c>
      <c r="J13" s="199">
        <f t="shared" si="0"/>
        <v>1575</v>
      </c>
    </row>
    <row r="14" spans="2:10" s="9" customFormat="1" hidden="1" x14ac:dyDescent="0.25">
      <c r="B14" s="106">
        <v>40330</v>
      </c>
      <c r="C14" s="25">
        <v>68340</v>
      </c>
      <c r="D14" s="26"/>
      <c r="E14" s="26">
        <f>[9]Kids!N156</f>
        <v>1029</v>
      </c>
      <c r="F14" s="2">
        <f t="shared" si="1"/>
        <v>69369</v>
      </c>
      <c r="G14" s="25">
        <v>1524</v>
      </c>
      <c r="H14" s="26"/>
      <c r="I14" s="26">
        <f>[9]Prenatal!E101</f>
        <v>83</v>
      </c>
      <c r="J14" s="199">
        <f t="shared" si="0"/>
        <v>1607</v>
      </c>
    </row>
    <row r="15" spans="2:10" s="79" customFormat="1" hidden="1" x14ac:dyDescent="0.25">
      <c r="B15" s="108" t="s">
        <v>101</v>
      </c>
      <c r="C15" s="27">
        <f>ROUND(AVERAGE(C3:C14),0)</f>
        <v>68589</v>
      </c>
      <c r="D15" s="28"/>
      <c r="E15" s="28">
        <f>ROUND(AVERAGE(E3:E14),0)</f>
        <v>136</v>
      </c>
      <c r="F15" s="19">
        <f t="shared" si="1"/>
        <v>68725</v>
      </c>
      <c r="G15" s="27">
        <f>ROUND(AVERAGE(G3:G14),0)</f>
        <v>1549</v>
      </c>
      <c r="H15" s="28"/>
      <c r="I15" s="28">
        <f>ROUND(AVERAGE(I3:I14),0)</f>
        <v>11</v>
      </c>
      <c r="J15" s="338">
        <f t="shared" si="0"/>
        <v>1560</v>
      </c>
    </row>
    <row r="16" spans="2:10" hidden="1" x14ac:dyDescent="0.25">
      <c r="B16" s="106">
        <v>40360</v>
      </c>
      <c r="C16" s="25">
        <v>1338</v>
      </c>
      <c r="D16" s="26"/>
      <c r="E16" s="26">
        <f>[9]Kids!N158</f>
        <v>1511</v>
      </c>
      <c r="F16" s="2">
        <f t="shared" ref="F16:F21" si="2">SUM(C16:E16)</f>
        <v>2849</v>
      </c>
      <c r="G16" s="25">
        <v>1485</v>
      </c>
      <c r="H16" s="26"/>
      <c r="I16" s="26">
        <f>[9]Prenatal!E103</f>
        <v>124</v>
      </c>
      <c r="J16" s="199">
        <f t="shared" ref="J16:J21" si="3">SUM(G16:I16)</f>
        <v>1609</v>
      </c>
    </row>
    <row r="17" spans="2:10" hidden="1" x14ac:dyDescent="0.25">
      <c r="B17" s="106">
        <v>40391</v>
      </c>
      <c r="C17" s="25">
        <v>67389</v>
      </c>
      <c r="D17" s="26"/>
      <c r="E17" s="26">
        <f>[9]Kids!N159</f>
        <v>2018</v>
      </c>
      <c r="F17" s="2">
        <f t="shared" si="2"/>
        <v>69407</v>
      </c>
      <c r="G17" s="25">
        <v>1488</v>
      </c>
      <c r="H17" s="26"/>
      <c r="I17" s="26">
        <f>[9]Prenatal!E104</f>
        <v>162</v>
      </c>
      <c r="J17" s="199">
        <f t="shared" si="3"/>
        <v>1650</v>
      </c>
    </row>
    <row r="18" spans="2:10" hidden="1" x14ac:dyDescent="0.25">
      <c r="B18" s="106">
        <v>40422</v>
      </c>
      <c r="C18" s="25">
        <v>65824</v>
      </c>
      <c r="D18" s="26"/>
      <c r="E18" s="26">
        <f>[9]Kids!N160</f>
        <v>2505</v>
      </c>
      <c r="F18" s="2">
        <f t="shared" si="2"/>
        <v>68329</v>
      </c>
      <c r="G18" s="25">
        <v>1457</v>
      </c>
      <c r="H18" s="26"/>
      <c r="I18" s="26">
        <f>[9]Prenatal!E105</f>
        <v>187</v>
      </c>
      <c r="J18" s="199">
        <f t="shared" si="3"/>
        <v>1644</v>
      </c>
    </row>
    <row r="19" spans="2:10" hidden="1" x14ac:dyDescent="0.25">
      <c r="B19" s="106">
        <v>40452</v>
      </c>
      <c r="C19" s="25">
        <v>63930</v>
      </c>
      <c r="D19" s="26"/>
      <c r="E19" s="26">
        <f>[9]Kids!N161</f>
        <v>2935</v>
      </c>
      <c r="F19" s="2">
        <f t="shared" si="2"/>
        <v>66865</v>
      </c>
      <c r="G19" s="25">
        <v>1417</v>
      </c>
      <c r="H19" s="26"/>
      <c r="I19" s="26">
        <f>[9]Prenatal!E106</f>
        <v>206</v>
      </c>
      <c r="J19" s="199">
        <f t="shared" si="3"/>
        <v>1623</v>
      </c>
    </row>
    <row r="20" spans="2:10" hidden="1" x14ac:dyDescent="0.25">
      <c r="B20" s="106">
        <v>40483</v>
      </c>
      <c r="C20" s="25">
        <v>63053</v>
      </c>
      <c r="D20" s="26"/>
      <c r="E20" s="26">
        <f>[9]Kids!N162</f>
        <v>3342</v>
      </c>
      <c r="F20" s="2">
        <f t="shared" si="2"/>
        <v>66395</v>
      </c>
      <c r="G20" s="25">
        <v>1424</v>
      </c>
      <c r="H20" s="26"/>
      <c r="I20" s="26">
        <f>[9]Prenatal!E107</f>
        <v>228</v>
      </c>
      <c r="J20" s="199">
        <f t="shared" si="3"/>
        <v>1652</v>
      </c>
    </row>
    <row r="21" spans="2:10" hidden="1" x14ac:dyDescent="0.25">
      <c r="B21" s="106">
        <v>40513</v>
      </c>
      <c r="C21" s="25">
        <v>62818</v>
      </c>
      <c r="D21" s="26"/>
      <c r="E21" s="26">
        <f>[9]Kids!N163</f>
        <v>3759</v>
      </c>
      <c r="F21" s="2">
        <f t="shared" si="2"/>
        <v>66577</v>
      </c>
      <c r="G21" s="25">
        <v>1431</v>
      </c>
      <c r="H21" s="26"/>
      <c r="I21" s="26">
        <f>[9]Prenatal!E108</f>
        <v>270</v>
      </c>
      <c r="J21" s="199">
        <f t="shared" si="3"/>
        <v>1701</v>
      </c>
    </row>
    <row r="22" spans="2:10" hidden="1" x14ac:dyDescent="0.25">
      <c r="B22" s="106">
        <v>40544</v>
      </c>
      <c r="C22" s="25">
        <v>63103</v>
      </c>
      <c r="D22" s="26"/>
      <c r="E22" s="26">
        <f>[9]Kids!N164</f>
        <v>4316</v>
      </c>
      <c r="F22" s="2">
        <f t="shared" ref="F22:F29" si="4">SUM(C22:E22)</f>
        <v>67419</v>
      </c>
      <c r="G22" s="25">
        <v>1477</v>
      </c>
      <c r="H22" s="26"/>
      <c r="I22" s="26">
        <f>[9]Prenatal!E109</f>
        <v>325</v>
      </c>
      <c r="J22" s="199">
        <f t="shared" ref="J22:J29" si="5">SUM(G22:I22)</f>
        <v>1802</v>
      </c>
    </row>
    <row r="23" spans="2:10" hidden="1" x14ac:dyDescent="0.25">
      <c r="B23" s="106">
        <v>40575</v>
      </c>
      <c r="C23" s="25">
        <v>62932</v>
      </c>
      <c r="D23" s="26"/>
      <c r="E23" s="26">
        <f>[9]Kids!N165</f>
        <v>4888</v>
      </c>
      <c r="F23" s="2">
        <f t="shared" si="4"/>
        <v>67820</v>
      </c>
      <c r="G23" s="25">
        <v>1478</v>
      </c>
      <c r="H23" s="26"/>
      <c r="I23" s="26">
        <f>[9]Prenatal!E110</f>
        <v>357</v>
      </c>
      <c r="J23" s="199">
        <f t="shared" si="5"/>
        <v>1835</v>
      </c>
    </row>
    <row r="24" spans="2:10" hidden="1" x14ac:dyDescent="0.25">
      <c r="B24" s="106">
        <v>40603</v>
      </c>
      <c r="C24" s="25">
        <v>63205</v>
      </c>
      <c r="D24" s="26"/>
      <c r="E24" s="26">
        <f>[9]Kids!N166</f>
        <v>5358</v>
      </c>
      <c r="F24" s="2">
        <f t="shared" si="4"/>
        <v>68563</v>
      </c>
      <c r="G24" s="25">
        <v>1514</v>
      </c>
      <c r="H24" s="26"/>
      <c r="I24" s="26">
        <f>[9]Prenatal!E111</f>
        <v>361</v>
      </c>
      <c r="J24" s="199">
        <f t="shared" si="5"/>
        <v>1875</v>
      </c>
    </row>
    <row r="25" spans="2:10" hidden="1" x14ac:dyDescent="0.25">
      <c r="B25" s="106">
        <v>40634</v>
      </c>
      <c r="C25" s="25">
        <v>61947</v>
      </c>
      <c r="D25" s="26"/>
      <c r="E25" s="26">
        <f>[9]Kids!N167</f>
        <v>5674</v>
      </c>
      <c r="F25" s="2">
        <f t="shared" si="4"/>
        <v>67621</v>
      </c>
      <c r="G25" s="25">
        <v>1512</v>
      </c>
      <c r="H25" s="26"/>
      <c r="I25" s="26">
        <f>[9]Prenatal!E112</f>
        <v>355</v>
      </c>
      <c r="J25" s="199">
        <f t="shared" si="5"/>
        <v>1867</v>
      </c>
    </row>
    <row r="26" spans="2:10" hidden="1" x14ac:dyDescent="0.25">
      <c r="B26" s="106">
        <v>40664</v>
      </c>
      <c r="C26" s="25">
        <v>59210</v>
      </c>
      <c r="D26" s="26"/>
      <c r="E26" s="26">
        <f>[9]Kids!N168</f>
        <v>5872</v>
      </c>
      <c r="F26" s="2">
        <f t="shared" si="4"/>
        <v>65082</v>
      </c>
      <c r="G26" s="25">
        <v>1498</v>
      </c>
      <c r="H26" s="26"/>
      <c r="I26" s="26">
        <f>[9]Prenatal!E113</f>
        <v>342</v>
      </c>
      <c r="J26" s="199">
        <f t="shared" si="5"/>
        <v>1840</v>
      </c>
    </row>
    <row r="27" spans="2:10" hidden="1" x14ac:dyDescent="0.25">
      <c r="B27" s="106">
        <v>40695</v>
      </c>
      <c r="C27" s="25">
        <v>57858</v>
      </c>
      <c r="D27" s="26"/>
      <c r="E27" s="26">
        <f>[9]Kids!N169</f>
        <v>6098</v>
      </c>
      <c r="F27" s="2">
        <f t="shared" si="4"/>
        <v>63956</v>
      </c>
      <c r="G27" s="25">
        <v>1455</v>
      </c>
      <c r="H27" s="26"/>
      <c r="I27" s="26">
        <f>[9]Prenatal!E114</f>
        <v>349</v>
      </c>
      <c r="J27" s="199">
        <f t="shared" si="5"/>
        <v>1804</v>
      </c>
    </row>
    <row r="28" spans="2:10" hidden="1" x14ac:dyDescent="0.25">
      <c r="B28" s="108" t="s">
        <v>106</v>
      </c>
      <c r="C28" s="27">
        <f>ROUND(AVERAGE(C16:C27),0)</f>
        <v>57717</v>
      </c>
      <c r="D28" s="28"/>
      <c r="E28" s="28">
        <f>ROUND(AVERAGE(E16:E27),0)</f>
        <v>4023</v>
      </c>
      <c r="F28" s="19">
        <f t="shared" si="4"/>
        <v>61740</v>
      </c>
      <c r="G28" s="27">
        <f>ROUND(AVERAGE(G16:G27),0)</f>
        <v>1470</v>
      </c>
      <c r="H28" s="28"/>
      <c r="I28" s="28">
        <f>ROUND(AVERAGE(I16:I27),0)</f>
        <v>272</v>
      </c>
      <c r="J28" s="338">
        <f t="shared" si="5"/>
        <v>1742</v>
      </c>
    </row>
    <row r="29" spans="2:10" hidden="1" x14ac:dyDescent="0.25">
      <c r="B29" s="106">
        <v>40725</v>
      </c>
      <c r="C29" s="25">
        <v>57349</v>
      </c>
      <c r="D29" s="26"/>
      <c r="E29" s="26">
        <f>[9]Kids!N171</f>
        <v>6320</v>
      </c>
      <c r="F29" s="2">
        <f t="shared" si="4"/>
        <v>63669</v>
      </c>
      <c r="G29" s="25">
        <v>1511</v>
      </c>
      <c r="H29" s="26"/>
      <c r="I29" s="26">
        <f>[9]Prenatal!E116</f>
        <v>357</v>
      </c>
      <c r="J29" s="199">
        <f t="shared" si="5"/>
        <v>1868</v>
      </c>
    </row>
    <row r="30" spans="2:10" hidden="1" x14ac:dyDescent="0.25">
      <c r="B30" s="106">
        <v>40756</v>
      </c>
      <c r="C30" s="25">
        <v>57625</v>
      </c>
      <c r="D30" s="26"/>
      <c r="E30" s="26">
        <f>[9]Kids!N172</f>
        <v>6444</v>
      </c>
      <c r="F30" s="2">
        <f t="shared" ref="F30:F36" si="6">SUM(C30:E30)</f>
        <v>64069</v>
      </c>
      <c r="G30" s="25">
        <v>1567</v>
      </c>
      <c r="H30" s="26"/>
      <c r="I30" s="26">
        <f>[9]Prenatal!E117</f>
        <v>355</v>
      </c>
      <c r="J30" s="199">
        <f t="shared" ref="J30:J36" si="7">SUM(G30:I30)</f>
        <v>1922</v>
      </c>
    </row>
    <row r="31" spans="2:10" hidden="1" x14ac:dyDescent="0.25">
      <c r="B31" s="106">
        <v>40787</v>
      </c>
      <c r="C31" s="25">
        <v>57506</v>
      </c>
      <c r="D31" s="26"/>
      <c r="E31" s="26">
        <f>[9]Kids!N173</f>
        <v>7275</v>
      </c>
      <c r="F31" s="2">
        <f t="shared" si="6"/>
        <v>64781</v>
      </c>
      <c r="G31" s="25">
        <v>1533</v>
      </c>
      <c r="H31" s="26"/>
      <c r="I31" s="26">
        <f>[9]Prenatal!E118</f>
        <v>377</v>
      </c>
      <c r="J31" s="199">
        <f t="shared" si="7"/>
        <v>1910</v>
      </c>
    </row>
    <row r="32" spans="2:10" hidden="1" x14ac:dyDescent="0.25">
      <c r="B32" s="106">
        <v>40817</v>
      </c>
      <c r="C32" s="25">
        <v>58766</v>
      </c>
      <c r="D32" s="26"/>
      <c r="E32" s="26">
        <f>[9]Kids!N174</f>
        <v>8075</v>
      </c>
      <c r="F32" s="2">
        <f t="shared" si="6"/>
        <v>66841</v>
      </c>
      <c r="G32" s="25">
        <v>1550</v>
      </c>
      <c r="H32" s="26"/>
      <c r="I32" s="26">
        <f>[9]Prenatal!E119</f>
        <v>375</v>
      </c>
      <c r="J32" s="199">
        <f t="shared" si="7"/>
        <v>1925</v>
      </c>
    </row>
    <row r="33" spans="1:10" hidden="1" x14ac:dyDescent="0.25">
      <c r="B33" s="106">
        <v>40848</v>
      </c>
      <c r="C33" s="25">
        <v>59551</v>
      </c>
      <c r="D33" s="26"/>
      <c r="E33" s="26">
        <f>[9]Kids!N175</f>
        <v>10493</v>
      </c>
      <c r="F33" s="2">
        <f t="shared" si="6"/>
        <v>70044</v>
      </c>
      <c r="G33" s="25">
        <v>1493</v>
      </c>
      <c r="H33" s="26"/>
      <c r="I33" s="26">
        <f>[9]Prenatal!E120</f>
        <v>451</v>
      </c>
      <c r="J33" s="199">
        <f t="shared" si="7"/>
        <v>1944</v>
      </c>
    </row>
    <row r="34" spans="1:10" hidden="1" x14ac:dyDescent="0.25">
      <c r="B34" s="106">
        <v>40878</v>
      </c>
      <c r="C34" s="25">
        <v>59699</v>
      </c>
      <c r="D34" s="26"/>
      <c r="E34" s="26">
        <f>[9]Kids!N176</f>
        <v>12338</v>
      </c>
      <c r="F34" s="2">
        <f t="shared" si="6"/>
        <v>72037</v>
      </c>
      <c r="G34" s="25">
        <v>1506</v>
      </c>
      <c r="H34" s="26"/>
      <c r="I34" s="26">
        <f>[9]Prenatal!E121</f>
        <v>487</v>
      </c>
      <c r="J34" s="199">
        <f t="shared" si="7"/>
        <v>1993</v>
      </c>
    </row>
    <row r="35" spans="1:10" hidden="1" x14ac:dyDescent="0.25">
      <c r="B35" s="106">
        <v>40909</v>
      </c>
      <c r="C35" s="25">
        <v>64289</v>
      </c>
      <c r="D35" s="26"/>
      <c r="E35" s="26">
        <f>[9]Kids!N177</f>
        <v>12985</v>
      </c>
      <c r="F35" s="2">
        <f t="shared" si="6"/>
        <v>77274</v>
      </c>
      <c r="G35" s="25">
        <v>1590</v>
      </c>
      <c r="H35" s="26"/>
      <c r="I35" s="26">
        <f>[9]Prenatal!E122</f>
        <v>498</v>
      </c>
      <c r="J35" s="199">
        <f t="shared" si="7"/>
        <v>2088</v>
      </c>
    </row>
    <row r="36" spans="1:10" hidden="1" x14ac:dyDescent="0.25">
      <c r="B36" s="339">
        <v>40940</v>
      </c>
      <c r="C36" s="25">
        <v>66199</v>
      </c>
      <c r="D36" s="26"/>
      <c r="E36" s="26">
        <f>[9]Kids!N178</f>
        <v>13250</v>
      </c>
      <c r="F36" s="2">
        <f t="shared" si="6"/>
        <v>79449</v>
      </c>
      <c r="G36" s="25">
        <v>1722</v>
      </c>
      <c r="H36" s="26"/>
      <c r="I36" s="26">
        <f>[9]Prenatal!E123</f>
        <v>494</v>
      </c>
      <c r="J36" s="199">
        <f t="shared" si="7"/>
        <v>2216</v>
      </c>
    </row>
    <row r="37" spans="1:10" hidden="1" x14ac:dyDescent="0.25">
      <c r="B37" s="106">
        <v>40969</v>
      </c>
      <c r="C37" s="25">
        <v>68051</v>
      </c>
      <c r="D37" s="26"/>
      <c r="E37" s="26">
        <f>[9]Kids!N179</f>
        <v>13774</v>
      </c>
      <c r="F37" s="2">
        <f>SUM(C37:E37)</f>
        <v>81825</v>
      </c>
      <c r="G37" s="25">
        <v>1738</v>
      </c>
      <c r="H37" s="26"/>
      <c r="I37" s="26">
        <f>[9]Prenatal!E124</f>
        <v>525</v>
      </c>
      <c r="J37" s="199">
        <f>SUM(G37:I37)</f>
        <v>2263</v>
      </c>
    </row>
    <row r="38" spans="1:10" hidden="1" x14ac:dyDescent="0.25">
      <c r="B38" s="106">
        <v>41000</v>
      </c>
      <c r="C38" s="25">
        <v>70560</v>
      </c>
      <c r="D38" s="26"/>
      <c r="E38" s="26">
        <f>[9]Kids!N180</f>
        <v>13492</v>
      </c>
      <c r="F38" s="2">
        <f>SUM(C38:E38)</f>
        <v>84052</v>
      </c>
      <c r="G38" s="25">
        <v>1736</v>
      </c>
      <c r="H38" s="26"/>
      <c r="I38" s="26">
        <f>[9]Prenatal!E125</f>
        <v>494</v>
      </c>
      <c r="J38" s="199">
        <f>SUM(G38:I38)</f>
        <v>2230</v>
      </c>
    </row>
    <row r="39" spans="1:10" hidden="1" x14ac:dyDescent="0.25">
      <c r="B39" s="106">
        <v>41030</v>
      </c>
      <c r="C39" s="25">
        <v>70121</v>
      </c>
      <c r="D39" s="26"/>
      <c r="E39" s="26">
        <f>[9]Kids!N181</f>
        <v>14169</v>
      </c>
      <c r="F39" s="2">
        <f>SUM(C39:E39)</f>
        <v>84290</v>
      </c>
      <c r="G39" s="25">
        <v>1737</v>
      </c>
      <c r="H39" s="26"/>
      <c r="I39" s="26">
        <f>[9]Prenatal!E126</f>
        <v>494</v>
      </c>
      <c r="J39" s="199">
        <f>SUM(G39:I39)</f>
        <v>2231</v>
      </c>
    </row>
    <row r="40" spans="1:10" hidden="1" x14ac:dyDescent="0.25">
      <c r="B40" s="106">
        <v>41061</v>
      </c>
      <c r="C40" s="25">
        <v>68881</v>
      </c>
      <c r="D40" s="26"/>
      <c r="E40" s="26">
        <f>[9]Kids!N182</f>
        <v>13975</v>
      </c>
      <c r="F40" s="2">
        <f>SUM(C40:E40)</f>
        <v>82856</v>
      </c>
      <c r="G40" s="25">
        <v>1713</v>
      </c>
      <c r="H40" s="26"/>
      <c r="I40" s="26">
        <f>[9]Prenatal!E127</f>
        <v>466</v>
      </c>
      <c r="J40" s="199">
        <f>SUM(G40:I40)</f>
        <v>2179</v>
      </c>
    </row>
    <row r="41" spans="1:10" hidden="1" x14ac:dyDescent="0.25">
      <c r="B41" s="110" t="s">
        <v>112</v>
      </c>
      <c r="C41" s="47">
        <f>ROUND(AVERAGE(C29:C40),0)</f>
        <v>63216</v>
      </c>
      <c r="D41" s="48"/>
      <c r="E41" s="48">
        <f t="shared" ref="E41:J41" si="8">ROUND(AVERAGE(E29:E40),0)</f>
        <v>11049</v>
      </c>
      <c r="F41" s="48">
        <f t="shared" si="8"/>
        <v>74266</v>
      </c>
      <c r="G41" s="36">
        <f t="shared" si="8"/>
        <v>1616</v>
      </c>
      <c r="H41" s="37"/>
      <c r="I41" s="37">
        <f t="shared" si="8"/>
        <v>448</v>
      </c>
      <c r="J41" s="340">
        <f t="shared" si="8"/>
        <v>2064</v>
      </c>
    </row>
    <row r="42" spans="1:10" hidden="1" x14ac:dyDescent="0.25">
      <c r="A42" s="215">
        <f>IF(C42="",0,1)</f>
        <v>1</v>
      </c>
      <c r="B42" s="106">
        <v>41091</v>
      </c>
      <c r="C42" s="44">
        <v>69977</v>
      </c>
      <c r="D42" s="45"/>
      <c r="E42" s="45">
        <f>[9]Kids!N184</f>
        <v>13731</v>
      </c>
      <c r="F42" s="46">
        <f t="shared" ref="F42:F47" si="9">SUM(C42:E42)</f>
        <v>83708</v>
      </c>
      <c r="G42" s="44">
        <v>1694</v>
      </c>
      <c r="H42" s="45"/>
      <c r="I42" s="45">
        <f>[9]Prenatal!E129</f>
        <v>452</v>
      </c>
      <c r="J42" s="341">
        <f t="shared" ref="J42:J47" si="10">SUM(G42:I42)</f>
        <v>2146</v>
      </c>
    </row>
    <row r="43" spans="1:10" hidden="1" x14ac:dyDescent="0.25">
      <c r="A43" s="215">
        <f t="shared" ref="A43:A106" si="11">IF(C43="",0,1)</f>
        <v>1</v>
      </c>
      <c r="B43" s="106">
        <v>41122</v>
      </c>
      <c r="C43" s="31">
        <v>68938</v>
      </c>
      <c r="D43" s="20"/>
      <c r="E43" s="20">
        <f>[9]Kids!N185</f>
        <v>14509</v>
      </c>
      <c r="F43" s="34">
        <f t="shared" si="9"/>
        <v>83447</v>
      </c>
      <c r="G43" s="31">
        <v>1663</v>
      </c>
      <c r="H43" s="20"/>
      <c r="I43" s="20">
        <f>[9]Prenatal!E130</f>
        <v>459</v>
      </c>
      <c r="J43" s="342">
        <f t="shared" si="10"/>
        <v>2122</v>
      </c>
    </row>
    <row r="44" spans="1:10" hidden="1" x14ac:dyDescent="0.25">
      <c r="A44" s="215">
        <f t="shared" si="11"/>
        <v>1</v>
      </c>
      <c r="B44" s="106">
        <v>41153</v>
      </c>
      <c r="C44" s="31">
        <v>67196</v>
      </c>
      <c r="D44" s="20"/>
      <c r="E44" s="20">
        <f>[9]Kids!N186</f>
        <v>15267</v>
      </c>
      <c r="F44" s="34">
        <f t="shared" si="9"/>
        <v>82463</v>
      </c>
      <c r="G44" s="31">
        <v>1575</v>
      </c>
      <c r="H44" s="20"/>
      <c r="I44" s="20">
        <f>[9]Prenatal!E131</f>
        <v>482</v>
      </c>
      <c r="J44" s="342">
        <f t="shared" si="10"/>
        <v>2057</v>
      </c>
    </row>
    <row r="45" spans="1:10" hidden="1" x14ac:dyDescent="0.25">
      <c r="A45" s="215">
        <f t="shared" si="11"/>
        <v>1</v>
      </c>
      <c r="B45" s="106">
        <v>41183</v>
      </c>
      <c r="C45" s="31">
        <v>68080</v>
      </c>
      <c r="D45" s="20"/>
      <c r="E45" s="20">
        <f>[9]Kids!N187</f>
        <v>14955</v>
      </c>
      <c r="F45" s="34">
        <f t="shared" si="9"/>
        <v>83035</v>
      </c>
      <c r="G45" s="31">
        <v>1552</v>
      </c>
      <c r="H45" s="20"/>
      <c r="I45" s="20">
        <f>[9]Prenatal!E132</f>
        <v>470</v>
      </c>
      <c r="J45" s="342">
        <f t="shared" si="10"/>
        <v>2022</v>
      </c>
    </row>
    <row r="46" spans="1:10" hidden="1" x14ac:dyDescent="0.25">
      <c r="A46" s="215">
        <f t="shared" si="11"/>
        <v>1</v>
      </c>
      <c r="B46" s="106">
        <v>41214</v>
      </c>
      <c r="C46" s="31">
        <v>69082</v>
      </c>
      <c r="D46" s="20"/>
      <c r="E46" s="20">
        <f>[9]Kids!N188</f>
        <v>15289</v>
      </c>
      <c r="F46" s="34">
        <f t="shared" si="9"/>
        <v>84371</v>
      </c>
      <c r="G46" s="31">
        <v>1593</v>
      </c>
      <c r="H46" s="20"/>
      <c r="I46" s="20">
        <f>[9]Prenatal!E133</f>
        <v>498</v>
      </c>
      <c r="J46" s="342">
        <f t="shared" si="10"/>
        <v>2091</v>
      </c>
    </row>
    <row r="47" spans="1:10" hidden="1" x14ac:dyDescent="0.25">
      <c r="A47" s="215">
        <f t="shared" si="11"/>
        <v>1</v>
      </c>
      <c r="B47" s="106">
        <v>41244</v>
      </c>
      <c r="C47" s="31">
        <v>68453</v>
      </c>
      <c r="D47" s="20"/>
      <c r="E47" s="20">
        <f>[9]Kids!N189</f>
        <v>16575</v>
      </c>
      <c r="F47" s="34">
        <f t="shared" si="9"/>
        <v>85028</v>
      </c>
      <c r="G47" s="31">
        <v>1589</v>
      </c>
      <c r="H47" s="20"/>
      <c r="I47" s="20">
        <f>[9]Prenatal!E134</f>
        <v>550</v>
      </c>
      <c r="J47" s="342">
        <f t="shared" si="10"/>
        <v>2139</v>
      </c>
    </row>
    <row r="48" spans="1:10" hidden="1" x14ac:dyDescent="0.25">
      <c r="A48" s="215">
        <f t="shared" si="11"/>
        <v>1</v>
      </c>
      <c r="B48" s="106">
        <v>41275</v>
      </c>
      <c r="C48" s="31">
        <v>65022</v>
      </c>
      <c r="D48" s="20"/>
      <c r="E48" s="20">
        <f>[9]Kids!N190</f>
        <v>16159</v>
      </c>
      <c r="F48" s="34">
        <f t="shared" ref="F48:F53" si="12">SUM(C48:E48)</f>
        <v>81181</v>
      </c>
      <c r="G48" s="31">
        <v>662</v>
      </c>
      <c r="H48" s="20"/>
      <c r="I48" s="20">
        <f>[9]Prenatal!E135</f>
        <v>504</v>
      </c>
      <c r="J48" s="342">
        <f t="shared" ref="J48:J53" si="13">SUM(G48:I48)</f>
        <v>1166</v>
      </c>
    </row>
    <row r="49" spans="1:10" hidden="1" x14ac:dyDescent="0.25">
      <c r="A49" s="215">
        <f t="shared" si="11"/>
        <v>1</v>
      </c>
      <c r="B49" s="106">
        <v>41306</v>
      </c>
      <c r="C49" s="31">
        <v>59761</v>
      </c>
      <c r="D49" s="20"/>
      <c r="E49" s="20">
        <f>[9]Kids!N191</f>
        <v>16028</v>
      </c>
      <c r="F49" s="34">
        <f t="shared" si="12"/>
        <v>75789</v>
      </c>
      <c r="G49" s="31">
        <v>585</v>
      </c>
      <c r="H49" s="20"/>
      <c r="I49" s="20">
        <f>[9]Prenatal!E136</f>
        <v>451</v>
      </c>
      <c r="J49" s="342">
        <f t="shared" si="13"/>
        <v>1036</v>
      </c>
    </row>
    <row r="50" spans="1:10" hidden="1" x14ac:dyDescent="0.25">
      <c r="A50" s="215">
        <f t="shared" si="11"/>
        <v>1</v>
      </c>
      <c r="B50" s="106">
        <v>41334</v>
      </c>
      <c r="C50" s="31">
        <v>55167</v>
      </c>
      <c r="D50" s="20"/>
      <c r="E50" s="20">
        <f>[9]Kids!N192</f>
        <v>16337</v>
      </c>
      <c r="F50" s="34">
        <f t="shared" si="12"/>
        <v>71504</v>
      </c>
      <c r="G50" s="31">
        <v>636</v>
      </c>
      <c r="H50" s="20"/>
      <c r="I50" s="20">
        <f>[9]Prenatal!E137</f>
        <v>442</v>
      </c>
      <c r="J50" s="342">
        <f t="shared" si="13"/>
        <v>1078</v>
      </c>
    </row>
    <row r="51" spans="1:10" hidden="1" x14ac:dyDescent="0.25">
      <c r="A51" s="215">
        <f t="shared" si="11"/>
        <v>1</v>
      </c>
      <c r="B51" s="106">
        <v>41365</v>
      </c>
      <c r="C51" s="31">
        <v>55115</v>
      </c>
      <c r="D51" s="20"/>
      <c r="E51" s="20">
        <f>[9]Kids!N193</f>
        <v>16091</v>
      </c>
      <c r="F51" s="34">
        <f t="shared" si="12"/>
        <v>71206</v>
      </c>
      <c r="G51" s="31">
        <v>709</v>
      </c>
      <c r="H51" s="20"/>
      <c r="I51" s="20">
        <f>[9]Prenatal!E138</f>
        <v>435</v>
      </c>
      <c r="J51" s="342">
        <f t="shared" si="13"/>
        <v>1144</v>
      </c>
    </row>
    <row r="52" spans="1:10" hidden="1" x14ac:dyDescent="0.25">
      <c r="A52" s="215">
        <f t="shared" si="11"/>
        <v>1</v>
      </c>
      <c r="B52" s="106">
        <v>41395</v>
      </c>
      <c r="C52" s="31">
        <v>51438</v>
      </c>
      <c r="D52" s="20"/>
      <c r="E52" s="20">
        <f>[9]Kids!N194</f>
        <v>15914</v>
      </c>
      <c r="F52" s="34">
        <f t="shared" si="12"/>
        <v>67352</v>
      </c>
      <c r="G52" s="31">
        <v>737</v>
      </c>
      <c r="H52" s="20"/>
      <c r="I52" s="20">
        <f>[9]Prenatal!E139</f>
        <v>417</v>
      </c>
      <c r="J52" s="342">
        <f t="shared" si="13"/>
        <v>1154</v>
      </c>
    </row>
    <row r="53" spans="1:10" hidden="1" x14ac:dyDescent="0.25">
      <c r="A53" s="215">
        <f t="shared" si="11"/>
        <v>1</v>
      </c>
      <c r="B53" s="106">
        <v>41426</v>
      </c>
      <c r="C53" s="31">
        <v>48895</v>
      </c>
      <c r="D53" s="20"/>
      <c r="E53" s="20">
        <f>[9]Kids!N195</f>
        <v>16047</v>
      </c>
      <c r="F53" s="34">
        <f t="shared" si="12"/>
        <v>64942</v>
      </c>
      <c r="G53" s="31">
        <v>778</v>
      </c>
      <c r="H53" s="20"/>
      <c r="I53" s="20">
        <f>[9]Prenatal!E140</f>
        <v>399</v>
      </c>
      <c r="J53" s="342">
        <f t="shared" si="13"/>
        <v>1177</v>
      </c>
    </row>
    <row r="54" spans="1:10" hidden="1" x14ac:dyDescent="0.25">
      <c r="A54" s="215">
        <f t="shared" si="11"/>
        <v>1</v>
      </c>
      <c r="B54" s="110" t="s">
        <v>116</v>
      </c>
      <c r="C54" s="36">
        <f>ROUND(AVERAGE(C42:C53),0)</f>
        <v>62260</v>
      </c>
      <c r="D54" s="37"/>
      <c r="E54" s="37">
        <f t="shared" ref="E54:I54" si="14">ROUND(AVERAGE(E42:E53),0)</f>
        <v>15575</v>
      </c>
      <c r="F54" s="37">
        <f>ROUND(AVERAGE(F42:F53),0)</f>
        <v>77836</v>
      </c>
      <c r="G54" s="36">
        <f t="shared" si="14"/>
        <v>1148</v>
      </c>
      <c r="H54" s="37"/>
      <c r="I54" s="37">
        <f t="shared" si="14"/>
        <v>463</v>
      </c>
      <c r="J54" s="340">
        <f>ROUND(AVERAGE(J42:J53),0)</f>
        <v>1611</v>
      </c>
    </row>
    <row r="55" spans="1:10" hidden="1" x14ac:dyDescent="0.25">
      <c r="A55" s="215">
        <f t="shared" si="11"/>
        <v>1</v>
      </c>
      <c r="B55" s="106">
        <v>41456</v>
      </c>
      <c r="C55" s="31">
        <v>52548</v>
      </c>
      <c r="D55" s="20"/>
      <c r="E55" s="20">
        <f>[10]Kids!E197</f>
        <v>15933</v>
      </c>
      <c r="F55" s="34">
        <f t="shared" ref="F55:F66" si="15">SUM(C55:E55)</f>
        <v>68481</v>
      </c>
      <c r="G55" s="31">
        <v>850</v>
      </c>
      <c r="H55" s="20"/>
      <c r="I55" s="20">
        <f>[10]Prenatal!E142</f>
        <v>354</v>
      </c>
      <c r="J55" s="342">
        <f>SUM(G55:I55)</f>
        <v>1204</v>
      </c>
    </row>
    <row r="56" spans="1:10" hidden="1" x14ac:dyDescent="0.25">
      <c r="A56" s="215">
        <f t="shared" si="11"/>
        <v>1</v>
      </c>
      <c r="B56" s="106">
        <v>41487</v>
      </c>
      <c r="C56" s="31">
        <v>50183</v>
      </c>
      <c r="D56" s="20"/>
      <c r="E56" s="20">
        <f>[10]Kids!E198</f>
        <v>17642</v>
      </c>
      <c r="F56" s="34">
        <f t="shared" si="15"/>
        <v>67825</v>
      </c>
      <c r="G56" s="31">
        <v>869</v>
      </c>
      <c r="H56" s="20"/>
      <c r="I56" s="20">
        <f>[10]Prenatal!E143</f>
        <v>393</v>
      </c>
      <c r="J56" s="342">
        <f>SUM(G56:I56)</f>
        <v>1262</v>
      </c>
    </row>
    <row r="57" spans="1:10" hidden="1" x14ac:dyDescent="0.25">
      <c r="A57" s="215">
        <f t="shared" si="11"/>
        <v>1</v>
      </c>
      <c r="B57" s="106">
        <v>41518</v>
      </c>
      <c r="C57" s="31">
        <v>50143</v>
      </c>
      <c r="D57" s="20"/>
      <c r="E57" s="20">
        <f>[10]Kids!E199</f>
        <v>16564</v>
      </c>
      <c r="F57" s="34">
        <f t="shared" si="15"/>
        <v>66707</v>
      </c>
      <c r="G57" s="31">
        <v>928</v>
      </c>
      <c r="H57" s="20"/>
      <c r="I57" s="20">
        <f>[10]Prenatal!E144</f>
        <v>385</v>
      </c>
      <c r="J57" s="342">
        <f>SUM(G57:I57)</f>
        <v>1313</v>
      </c>
    </row>
    <row r="58" spans="1:10" hidden="1" x14ac:dyDescent="0.25">
      <c r="A58" s="215">
        <f t="shared" si="11"/>
        <v>1</v>
      </c>
      <c r="B58" s="106">
        <v>41548</v>
      </c>
      <c r="C58" s="31">
        <v>43294</v>
      </c>
      <c r="D58" s="20"/>
      <c r="E58" s="20">
        <f>[10]Kids!E200</f>
        <v>20972</v>
      </c>
      <c r="F58" s="34">
        <f t="shared" si="15"/>
        <v>64266</v>
      </c>
      <c r="G58" s="31">
        <v>246</v>
      </c>
      <c r="H58" s="20"/>
      <c r="I58" s="20">
        <f>[10]Prenatal!E145</f>
        <v>533</v>
      </c>
      <c r="J58" s="342">
        <f t="shared" ref="J58:J66" si="16">SUM(G58:I58)</f>
        <v>779</v>
      </c>
    </row>
    <row r="59" spans="1:10" ht="16.5" hidden="1" customHeight="1" thickBot="1" x14ac:dyDescent="0.25">
      <c r="A59" s="215">
        <f t="shared" si="11"/>
        <v>1</v>
      </c>
      <c r="B59" s="106">
        <v>41579</v>
      </c>
      <c r="C59" s="31">
        <v>39832</v>
      </c>
      <c r="D59" s="20"/>
      <c r="E59" s="20">
        <f>[10]Kids!E201</f>
        <v>19542</v>
      </c>
      <c r="F59" s="34">
        <f t="shared" si="15"/>
        <v>59374</v>
      </c>
      <c r="G59" s="31">
        <v>313</v>
      </c>
      <c r="H59" s="20"/>
      <c r="I59" s="20">
        <f>[10]Prenatal!E146</f>
        <v>534</v>
      </c>
      <c r="J59" s="342">
        <f t="shared" si="16"/>
        <v>847</v>
      </c>
    </row>
    <row r="60" spans="1:10" ht="16.5" hidden="1" customHeight="1" thickBot="1" x14ac:dyDescent="0.25">
      <c r="A60" s="215">
        <f t="shared" si="11"/>
        <v>1</v>
      </c>
      <c r="B60" s="106">
        <v>41609</v>
      </c>
      <c r="C60" s="31">
        <v>40150</v>
      </c>
      <c r="D60" s="20"/>
      <c r="E60" s="20">
        <f>[10]Kids!E202</f>
        <v>20376</v>
      </c>
      <c r="F60" s="34">
        <f t="shared" si="15"/>
        <v>60526</v>
      </c>
      <c r="G60" s="31">
        <v>354</v>
      </c>
      <c r="H60" s="20"/>
      <c r="I60" s="20">
        <f>[10]Prenatal!E147</f>
        <v>540</v>
      </c>
      <c r="J60" s="342">
        <f t="shared" si="16"/>
        <v>894</v>
      </c>
    </row>
    <row r="61" spans="1:10" hidden="1" x14ac:dyDescent="0.25">
      <c r="A61" s="215">
        <f t="shared" si="11"/>
        <v>1</v>
      </c>
      <c r="B61" s="106">
        <v>41640</v>
      </c>
      <c r="C61" s="31">
        <v>39924</v>
      </c>
      <c r="D61" s="20"/>
      <c r="E61" s="20">
        <v>20324</v>
      </c>
      <c r="F61" s="34">
        <f t="shared" si="15"/>
        <v>60248</v>
      </c>
      <c r="G61" s="31">
        <v>310</v>
      </c>
      <c r="H61" s="82"/>
      <c r="I61" s="82">
        <v>561</v>
      </c>
      <c r="J61" s="342">
        <f t="shared" si="16"/>
        <v>871</v>
      </c>
    </row>
    <row r="62" spans="1:10" hidden="1" x14ac:dyDescent="0.25">
      <c r="A62" s="215">
        <f t="shared" si="11"/>
        <v>1</v>
      </c>
      <c r="B62" s="106">
        <v>41671</v>
      </c>
      <c r="C62" s="31">
        <v>37490</v>
      </c>
      <c r="D62" s="20"/>
      <c r="E62" s="20">
        <v>19050</v>
      </c>
      <c r="F62" s="34">
        <f t="shared" si="15"/>
        <v>56540</v>
      </c>
      <c r="G62" s="31">
        <v>300</v>
      </c>
      <c r="H62" s="82"/>
      <c r="I62" s="82">
        <v>566</v>
      </c>
      <c r="J62" s="342">
        <f t="shared" si="16"/>
        <v>866</v>
      </c>
    </row>
    <row r="63" spans="1:10" hidden="1" x14ac:dyDescent="0.25">
      <c r="A63" s="215">
        <f t="shared" si="11"/>
        <v>1</v>
      </c>
      <c r="B63" s="106">
        <v>41699</v>
      </c>
      <c r="C63" s="31">
        <v>39972</v>
      </c>
      <c r="D63" s="20"/>
      <c r="E63" s="20">
        <v>20690</v>
      </c>
      <c r="F63" s="34">
        <f t="shared" si="15"/>
        <v>60662</v>
      </c>
      <c r="G63" s="31">
        <v>333</v>
      </c>
      <c r="H63" s="82"/>
      <c r="I63" s="82">
        <v>593</v>
      </c>
      <c r="J63" s="342">
        <f t="shared" si="16"/>
        <v>926</v>
      </c>
    </row>
    <row r="64" spans="1:10" hidden="1" x14ac:dyDescent="0.25">
      <c r="A64" s="215">
        <f t="shared" si="11"/>
        <v>1</v>
      </c>
      <c r="B64" s="106">
        <v>41730</v>
      </c>
      <c r="C64" s="31">
        <v>40436</v>
      </c>
      <c r="D64" s="20"/>
      <c r="E64" s="20">
        <v>20255</v>
      </c>
      <c r="F64" s="34">
        <f t="shared" si="15"/>
        <v>60691</v>
      </c>
      <c r="G64" s="31">
        <v>332</v>
      </c>
      <c r="H64" s="82"/>
      <c r="I64" s="82">
        <v>536</v>
      </c>
      <c r="J64" s="342">
        <f t="shared" si="16"/>
        <v>868</v>
      </c>
    </row>
    <row r="65" spans="1:10" hidden="1" x14ac:dyDescent="0.25">
      <c r="A65" s="215">
        <f t="shared" si="11"/>
        <v>1</v>
      </c>
      <c r="B65" s="106">
        <v>41760</v>
      </c>
      <c r="C65" s="31">
        <v>37893</v>
      </c>
      <c r="D65" s="20"/>
      <c r="E65" s="20">
        <v>18554</v>
      </c>
      <c r="F65" s="34">
        <f t="shared" si="15"/>
        <v>56447</v>
      </c>
      <c r="G65" s="31">
        <v>298</v>
      </c>
      <c r="H65" s="82"/>
      <c r="I65" s="82">
        <v>496</v>
      </c>
      <c r="J65" s="342">
        <f t="shared" si="16"/>
        <v>794</v>
      </c>
    </row>
    <row r="66" spans="1:10" hidden="1" x14ac:dyDescent="0.25">
      <c r="A66" s="215">
        <f t="shared" si="11"/>
        <v>1</v>
      </c>
      <c r="B66" s="106">
        <v>41791</v>
      </c>
      <c r="C66" s="31">
        <v>38258</v>
      </c>
      <c r="D66" s="20"/>
      <c r="E66" s="20">
        <v>18612</v>
      </c>
      <c r="F66" s="34">
        <f t="shared" si="15"/>
        <v>56870</v>
      </c>
      <c r="G66" s="31">
        <v>276</v>
      </c>
      <c r="H66" s="82"/>
      <c r="I66" s="82">
        <v>527</v>
      </c>
      <c r="J66" s="342">
        <f t="shared" si="16"/>
        <v>803</v>
      </c>
    </row>
    <row r="67" spans="1:10" hidden="1" x14ac:dyDescent="0.25">
      <c r="A67" s="215">
        <f t="shared" si="11"/>
        <v>1</v>
      </c>
      <c r="B67" s="110" t="s">
        <v>150</v>
      </c>
      <c r="C67" s="36">
        <f>ROUND(AVERAGE(C55:C66),0)</f>
        <v>42510</v>
      </c>
      <c r="D67" s="37"/>
      <c r="E67" s="37">
        <f t="shared" ref="E67:I67" si="17">ROUND(AVERAGE(E55:E66),0)</f>
        <v>19043</v>
      </c>
      <c r="F67" s="37">
        <f>ROUND(AVERAGE(F55:F66),0)</f>
        <v>61553</v>
      </c>
      <c r="G67" s="36">
        <f t="shared" si="17"/>
        <v>451</v>
      </c>
      <c r="H67" s="37"/>
      <c r="I67" s="37">
        <f t="shared" si="17"/>
        <v>502</v>
      </c>
      <c r="J67" s="340">
        <f>ROUND(AVERAGE(J55:J66),0)</f>
        <v>952</v>
      </c>
    </row>
    <row r="68" spans="1:10" x14ac:dyDescent="0.25">
      <c r="A68" s="215">
        <f t="shared" si="11"/>
        <v>1</v>
      </c>
      <c r="B68" s="106">
        <v>41821</v>
      </c>
      <c r="C68" s="31">
        <v>37832</v>
      </c>
      <c r="D68" s="20"/>
      <c r="E68" s="20">
        <f>'[10]For JBC Report'!E93</f>
        <v>17496</v>
      </c>
      <c r="F68" s="34">
        <f t="shared" ref="F68:F73" si="18">SUM(C68:E68)</f>
        <v>55328</v>
      </c>
      <c r="G68" s="31">
        <v>229</v>
      </c>
      <c r="H68" s="20"/>
      <c r="I68" s="20">
        <f>'[10]For JBC Report'!I93</f>
        <v>460</v>
      </c>
      <c r="J68" s="342">
        <f t="shared" ref="J68:J73" si="19">SUM(G68:I68)</f>
        <v>689</v>
      </c>
    </row>
    <row r="69" spans="1:10" x14ac:dyDescent="0.25">
      <c r="A69" s="215">
        <f t="shared" si="11"/>
        <v>1</v>
      </c>
      <c r="B69" s="106">
        <v>41852</v>
      </c>
      <c r="C69" s="31">
        <v>39858</v>
      </c>
      <c r="D69" s="20"/>
      <c r="E69" s="20">
        <f>'[10]For JBC Report'!E94</f>
        <v>19106</v>
      </c>
      <c r="F69" s="34">
        <f t="shared" si="18"/>
        <v>58964</v>
      </c>
      <c r="G69" s="31">
        <v>296</v>
      </c>
      <c r="H69" s="20"/>
      <c r="I69" s="20">
        <f>'[10]For JBC Report'!I94</f>
        <v>496</v>
      </c>
      <c r="J69" s="342">
        <f t="shared" si="19"/>
        <v>792</v>
      </c>
    </row>
    <row r="70" spans="1:10" x14ac:dyDescent="0.25">
      <c r="A70" s="215">
        <f t="shared" si="11"/>
        <v>1</v>
      </c>
      <c r="B70" s="106">
        <v>41883</v>
      </c>
      <c r="C70" s="31">
        <v>38675</v>
      </c>
      <c r="D70" s="20"/>
      <c r="E70" s="20">
        <f>'[10]For JBC Report'!E95</f>
        <v>18350</v>
      </c>
      <c r="F70" s="34">
        <f t="shared" si="18"/>
        <v>57025</v>
      </c>
      <c r="G70" s="31">
        <v>273</v>
      </c>
      <c r="H70" s="20"/>
      <c r="I70" s="20">
        <f>'[10]For JBC Report'!I95</f>
        <v>488</v>
      </c>
      <c r="J70" s="342">
        <f t="shared" si="19"/>
        <v>761</v>
      </c>
    </row>
    <row r="71" spans="1:10" x14ac:dyDescent="0.25">
      <c r="A71" s="215">
        <f t="shared" si="11"/>
        <v>1</v>
      </c>
      <c r="B71" s="106">
        <v>41913</v>
      </c>
      <c r="C71" s="31">
        <v>35543</v>
      </c>
      <c r="D71" s="20"/>
      <c r="E71" s="20">
        <f>'[10]For JBC Report'!E96</f>
        <v>16449</v>
      </c>
      <c r="F71" s="34">
        <f t="shared" si="18"/>
        <v>51992</v>
      </c>
      <c r="G71" s="31">
        <v>224</v>
      </c>
      <c r="H71" s="20"/>
      <c r="I71" s="20">
        <f>'[10]For JBC Report'!I96</f>
        <v>457</v>
      </c>
      <c r="J71" s="342">
        <f t="shared" si="19"/>
        <v>681</v>
      </c>
    </row>
    <row r="72" spans="1:10" x14ac:dyDescent="0.25">
      <c r="A72" s="215">
        <f t="shared" si="11"/>
        <v>1</v>
      </c>
      <c r="B72" s="106">
        <v>41944</v>
      </c>
      <c r="C72" s="31">
        <v>35405</v>
      </c>
      <c r="D72" s="20"/>
      <c r="E72" s="20">
        <f>'[10]For JBC Report'!E97</f>
        <v>16027</v>
      </c>
      <c r="F72" s="34">
        <f t="shared" si="18"/>
        <v>51432</v>
      </c>
      <c r="G72" s="31">
        <v>233</v>
      </c>
      <c r="H72" s="20"/>
      <c r="I72" s="20">
        <f>'[10]For JBC Report'!I97</f>
        <v>455</v>
      </c>
      <c r="J72" s="342">
        <f t="shared" si="19"/>
        <v>688</v>
      </c>
    </row>
    <row r="73" spans="1:10" x14ac:dyDescent="0.25">
      <c r="A73" s="215">
        <f t="shared" si="11"/>
        <v>1</v>
      </c>
      <c r="B73" s="106">
        <v>41974</v>
      </c>
      <c r="C73" s="31">
        <v>36771</v>
      </c>
      <c r="D73" s="20"/>
      <c r="E73" s="20">
        <f>'[10]For JBC Report'!E98</f>
        <v>15851</v>
      </c>
      <c r="F73" s="34">
        <f t="shared" si="18"/>
        <v>52622</v>
      </c>
      <c r="G73" s="31">
        <v>232</v>
      </c>
      <c r="H73" s="20"/>
      <c r="I73" s="20">
        <f>'[10]For JBC Report'!I98</f>
        <v>446</v>
      </c>
      <c r="J73" s="342">
        <f t="shared" si="19"/>
        <v>678</v>
      </c>
    </row>
    <row r="74" spans="1:10" x14ac:dyDescent="0.25">
      <c r="A74" s="215">
        <f t="shared" si="11"/>
        <v>1</v>
      </c>
      <c r="B74" s="106">
        <v>42005</v>
      </c>
      <c r="C74" s="31">
        <v>36177</v>
      </c>
      <c r="D74" s="20"/>
      <c r="E74" s="20">
        <f>'[10]For JBC Report'!E99</f>
        <v>15780</v>
      </c>
      <c r="F74" s="34">
        <f t="shared" ref="F74:F79" si="20">SUM(C74:E74)</f>
        <v>51957</v>
      </c>
      <c r="G74" s="31">
        <v>205</v>
      </c>
      <c r="H74" s="20"/>
      <c r="I74" s="20">
        <f>'[10]For JBC Report'!I99</f>
        <v>478</v>
      </c>
      <c r="J74" s="342">
        <f t="shared" ref="J74:J79" si="21">SUM(G74:I74)</f>
        <v>683</v>
      </c>
    </row>
    <row r="75" spans="1:10" x14ac:dyDescent="0.25">
      <c r="A75" s="215">
        <f t="shared" si="11"/>
        <v>1</v>
      </c>
      <c r="B75" s="106">
        <v>42036</v>
      </c>
      <c r="C75" s="31">
        <v>36686</v>
      </c>
      <c r="D75" s="20"/>
      <c r="E75" s="20">
        <v>15980</v>
      </c>
      <c r="F75" s="34">
        <f t="shared" si="20"/>
        <v>52666</v>
      </c>
      <c r="G75" s="31">
        <v>200</v>
      </c>
      <c r="H75" s="20"/>
      <c r="I75" s="20">
        <v>465</v>
      </c>
      <c r="J75" s="342">
        <f t="shared" si="21"/>
        <v>665</v>
      </c>
    </row>
    <row r="76" spans="1:10" x14ac:dyDescent="0.25">
      <c r="A76" s="215">
        <f t="shared" si="11"/>
        <v>1</v>
      </c>
      <c r="B76" s="106">
        <v>42064</v>
      </c>
      <c r="C76" s="216">
        <v>36909</v>
      </c>
      <c r="D76" s="217"/>
      <c r="E76" s="217">
        <v>16068</v>
      </c>
      <c r="F76" s="34">
        <f t="shared" si="20"/>
        <v>52977</v>
      </c>
      <c r="G76" s="216">
        <v>195</v>
      </c>
      <c r="H76" s="217"/>
      <c r="I76" s="217">
        <v>485</v>
      </c>
      <c r="J76" s="342">
        <f t="shared" si="21"/>
        <v>680</v>
      </c>
    </row>
    <row r="77" spans="1:10" x14ac:dyDescent="0.25">
      <c r="A77" s="215">
        <f t="shared" si="11"/>
        <v>1</v>
      </c>
      <c r="B77" s="106">
        <v>42095</v>
      </c>
      <c r="C77" s="216">
        <v>37175</v>
      </c>
      <c r="D77" s="217"/>
      <c r="E77" s="217">
        <v>16327</v>
      </c>
      <c r="F77" s="34">
        <f t="shared" si="20"/>
        <v>53502</v>
      </c>
      <c r="G77" s="216">
        <v>214</v>
      </c>
      <c r="H77" s="217"/>
      <c r="I77" s="217">
        <v>444</v>
      </c>
      <c r="J77" s="342">
        <f t="shared" si="21"/>
        <v>658</v>
      </c>
    </row>
    <row r="78" spans="1:10" x14ac:dyDescent="0.25">
      <c r="A78" s="215">
        <f t="shared" si="11"/>
        <v>1</v>
      </c>
      <c r="B78" s="106">
        <v>42125</v>
      </c>
      <c r="C78" s="216">
        <v>37114</v>
      </c>
      <c r="D78" s="217"/>
      <c r="E78" s="217">
        <v>16573</v>
      </c>
      <c r="F78" s="34">
        <f t="shared" si="20"/>
        <v>53687</v>
      </c>
      <c r="G78" s="216">
        <v>212</v>
      </c>
      <c r="H78" s="20"/>
      <c r="I78" s="20">
        <v>433</v>
      </c>
      <c r="J78" s="342">
        <f t="shared" si="21"/>
        <v>645</v>
      </c>
    </row>
    <row r="79" spans="1:10" x14ac:dyDescent="0.25">
      <c r="A79" s="215">
        <f t="shared" si="11"/>
        <v>1</v>
      </c>
      <c r="B79" s="106">
        <v>42156</v>
      </c>
      <c r="C79" s="31">
        <v>36236</v>
      </c>
      <c r="D79" s="20"/>
      <c r="E79" s="20">
        <v>16005</v>
      </c>
      <c r="F79" s="34">
        <f t="shared" si="20"/>
        <v>52241</v>
      </c>
      <c r="G79" s="31">
        <v>210</v>
      </c>
      <c r="H79" s="20"/>
      <c r="I79" s="20">
        <v>416</v>
      </c>
      <c r="J79" s="342">
        <f t="shared" si="21"/>
        <v>626</v>
      </c>
    </row>
    <row r="80" spans="1:10" s="222" customFormat="1" x14ac:dyDescent="0.25">
      <c r="A80" s="215">
        <f t="shared" si="11"/>
        <v>1</v>
      </c>
      <c r="B80" s="110" t="s">
        <v>254</v>
      </c>
      <c r="C80" s="36">
        <f>ROUND(AVERAGE(C68:C79),0)</f>
        <v>37032</v>
      </c>
      <c r="D80" s="37"/>
      <c r="E80" s="37">
        <f t="shared" ref="E80:I80" si="22">ROUND(AVERAGE(E68:E79),0)</f>
        <v>16668</v>
      </c>
      <c r="F80" s="37">
        <f>ROUND(AVERAGE(F68:F79),0)</f>
        <v>53699</v>
      </c>
      <c r="G80" s="36">
        <f t="shared" si="22"/>
        <v>227</v>
      </c>
      <c r="H80" s="36" t="e">
        <f t="shared" si="22"/>
        <v>#DIV/0!</v>
      </c>
      <c r="I80" s="37">
        <f t="shared" si="22"/>
        <v>460</v>
      </c>
      <c r="J80" s="340">
        <f>ROUND(AVERAGE(J68:J79),0)</f>
        <v>687</v>
      </c>
    </row>
    <row r="81" spans="1:10" s="222" customFormat="1" x14ac:dyDescent="0.25">
      <c r="A81" s="215">
        <f>IF(C81="",0,1)</f>
        <v>1</v>
      </c>
      <c r="B81" s="106">
        <v>42186</v>
      </c>
      <c r="C81" s="31">
        <v>35269</v>
      </c>
      <c r="D81" s="20"/>
      <c r="E81" s="20">
        <v>15382</v>
      </c>
      <c r="F81" s="34">
        <f t="shared" ref="F81:F92" si="23">SUM(C81:E81)</f>
        <v>50651</v>
      </c>
      <c r="G81" s="31">
        <v>206</v>
      </c>
      <c r="H81" s="20"/>
      <c r="I81" s="20">
        <v>415</v>
      </c>
      <c r="J81" s="342">
        <f t="shared" ref="J81:J92" si="24">SUM(G81:I81)</f>
        <v>621</v>
      </c>
    </row>
    <row r="82" spans="1:10" s="222" customFormat="1" x14ac:dyDescent="0.25">
      <c r="A82" s="215">
        <f t="shared" si="11"/>
        <v>1</v>
      </c>
      <c r="B82" s="106">
        <v>42217</v>
      </c>
      <c r="C82" s="31">
        <v>33608</v>
      </c>
      <c r="D82" s="20"/>
      <c r="E82" s="20">
        <v>14765</v>
      </c>
      <c r="F82" s="34">
        <f t="shared" si="23"/>
        <v>48373</v>
      </c>
      <c r="G82" s="31">
        <v>189</v>
      </c>
      <c r="H82" s="20"/>
      <c r="I82" s="20">
        <v>398</v>
      </c>
      <c r="J82" s="342">
        <f t="shared" si="24"/>
        <v>587</v>
      </c>
    </row>
    <row r="83" spans="1:10" s="222" customFormat="1" x14ac:dyDescent="0.25">
      <c r="A83" s="215">
        <f t="shared" si="11"/>
        <v>1</v>
      </c>
      <c r="B83" s="106">
        <v>42248</v>
      </c>
      <c r="C83" s="31">
        <v>33333</v>
      </c>
      <c r="D83" s="20"/>
      <c r="E83" s="20">
        <v>14936</v>
      </c>
      <c r="F83" s="34">
        <f t="shared" si="23"/>
        <v>48269</v>
      </c>
      <c r="G83" s="31">
        <v>183</v>
      </c>
      <c r="H83" s="20"/>
      <c r="I83" s="20">
        <v>394</v>
      </c>
      <c r="J83" s="342">
        <f t="shared" si="24"/>
        <v>577</v>
      </c>
    </row>
    <row r="84" spans="1:10" s="222" customFormat="1" x14ac:dyDescent="0.25">
      <c r="A84" s="215">
        <f t="shared" si="11"/>
        <v>1</v>
      </c>
      <c r="B84" s="106">
        <v>42278</v>
      </c>
      <c r="C84" s="31">
        <v>32011</v>
      </c>
      <c r="D84" s="20"/>
      <c r="E84" s="20">
        <v>14444</v>
      </c>
      <c r="F84" s="34">
        <f>SUM(C84:E84)</f>
        <v>46455</v>
      </c>
      <c r="G84" s="31">
        <v>167</v>
      </c>
      <c r="H84" s="20"/>
      <c r="I84" s="20">
        <v>405</v>
      </c>
      <c r="J84" s="342">
        <f t="shared" si="24"/>
        <v>572</v>
      </c>
    </row>
    <row r="85" spans="1:10" s="222" customFormat="1" x14ac:dyDescent="0.25">
      <c r="A85" s="215">
        <f t="shared" si="11"/>
        <v>1</v>
      </c>
      <c r="B85" s="106">
        <v>42309</v>
      </c>
      <c r="C85" s="31">
        <v>31821</v>
      </c>
      <c r="D85" s="20"/>
      <c r="E85" s="20">
        <v>14212</v>
      </c>
      <c r="F85" s="34">
        <f t="shared" si="23"/>
        <v>46033</v>
      </c>
      <c r="G85" s="31">
        <v>192</v>
      </c>
      <c r="H85" s="20"/>
      <c r="I85" s="20">
        <v>449</v>
      </c>
      <c r="J85" s="342">
        <f t="shared" si="24"/>
        <v>641</v>
      </c>
    </row>
    <row r="86" spans="1:10" s="222" customFormat="1" x14ac:dyDescent="0.25">
      <c r="A86" s="215">
        <f t="shared" si="11"/>
        <v>1</v>
      </c>
      <c r="B86" s="106">
        <v>42339</v>
      </c>
      <c r="C86" s="31">
        <v>32921</v>
      </c>
      <c r="D86" s="20"/>
      <c r="E86" s="20">
        <v>14908</v>
      </c>
      <c r="F86" s="34">
        <f t="shared" si="23"/>
        <v>47829</v>
      </c>
      <c r="G86" s="31">
        <v>187</v>
      </c>
      <c r="H86" s="20"/>
      <c r="I86" s="20">
        <v>472</v>
      </c>
      <c r="J86" s="342">
        <f t="shared" si="24"/>
        <v>659</v>
      </c>
    </row>
    <row r="87" spans="1:10" s="222" customFormat="1" x14ac:dyDescent="0.25">
      <c r="A87" s="215">
        <f t="shared" si="11"/>
        <v>1</v>
      </c>
      <c r="B87" s="106">
        <v>42370</v>
      </c>
      <c r="C87" s="31">
        <v>34658</v>
      </c>
      <c r="D87" s="20"/>
      <c r="E87" s="20">
        <v>16036</v>
      </c>
      <c r="F87" s="34">
        <f t="shared" si="23"/>
        <v>50694</v>
      </c>
      <c r="G87" s="31">
        <v>205</v>
      </c>
      <c r="H87" s="20"/>
      <c r="I87" s="20">
        <v>506</v>
      </c>
      <c r="J87" s="342">
        <f t="shared" si="24"/>
        <v>711</v>
      </c>
    </row>
    <row r="88" spans="1:10" s="222" customFormat="1" x14ac:dyDescent="0.25">
      <c r="A88" s="215">
        <f t="shared" si="11"/>
        <v>1</v>
      </c>
      <c r="B88" s="106">
        <v>42401</v>
      </c>
      <c r="C88" s="31">
        <v>35557</v>
      </c>
      <c r="D88" s="20"/>
      <c r="E88" s="20">
        <v>16728</v>
      </c>
      <c r="F88" s="34">
        <f t="shared" si="23"/>
        <v>52285</v>
      </c>
      <c r="G88" s="31">
        <v>202</v>
      </c>
      <c r="H88" s="20"/>
      <c r="I88" s="20">
        <v>515</v>
      </c>
      <c r="J88" s="342">
        <f t="shared" si="24"/>
        <v>717</v>
      </c>
    </row>
    <row r="89" spans="1:10" s="222" customFormat="1" x14ac:dyDescent="0.25">
      <c r="A89" s="215">
        <f t="shared" si="11"/>
        <v>1</v>
      </c>
      <c r="B89" s="106">
        <v>42430</v>
      </c>
      <c r="C89" s="31">
        <v>36075</v>
      </c>
      <c r="D89" s="20"/>
      <c r="E89" s="20">
        <v>17257</v>
      </c>
      <c r="F89" s="34">
        <f t="shared" si="23"/>
        <v>53332</v>
      </c>
      <c r="G89" s="31">
        <v>196</v>
      </c>
      <c r="H89" s="20"/>
      <c r="I89" s="20">
        <v>529</v>
      </c>
      <c r="J89" s="342">
        <f t="shared" si="24"/>
        <v>725</v>
      </c>
    </row>
    <row r="90" spans="1:10" s="222" customFormat="1" x14ac:dyDescent="0.25">
      <c r="A90" s="215">
        <f t="shared" si="11"/>
        <v>1</v>
      </c>
      <c r="B90" s="106">
        <v>42461</v>
      </c>
      <c r="C90" s="31">
        <v>37075</v>
      </c>
      <c r="D90" s="20"/>
      <c r="E90" s="20">
        <v>17763</v>
      </c>
      <c r="F90" s="34">
        <f t="shared" si="23"/>
        <v>54838</v>
      </c>
      <c r="G90" s="31">
        <v>212</v>
      </c>
      <c r="H90" s="20"/>
      <c r="I90" s="20">
        <v>519</v>
      </c>
      <c r="J90" s="342">
        <f t="shared" si="24"/>
        <v>731</v>
      </c>
    </row>
    <row r="91" spans="1:10" s="222" customFormat="1" x14ac:dyDescent="0.25">
      <c r="A91" s="215">
        <f t="shared" si="11"/>
        <v>1</v>
      </c>
      <c r="B91" s="106">
        <v>42491</v>
      </c>
      <c r="C91" s="31">
        <v>38019</v>
      </c>
      <c r="D91" s="20"/>
      <c r="E91" s="20">
        <v>18204</v>
      </c>
      <c r="F91" s="34">
        <f t="shared" si="23"/>
        <v>56223</v>
      </c>
      <c r="G91" s="31">
        <v>225</v>
      </c>
      <c r="H91" s="20"/>
      <c r="I91" s="20">
        <v>515</v>
      </c>
      <c r="J91" s="342">
        <f t="shared" si="24"/>
        <v>740</v>
      </c>
    </row>
    <row r="92" spans="1:10" s="222" customFormat="1" x14ac:dyDescent="0.25">
      <c r="A92" s="215">
        <f t="shared" si="11"/>
        <v>1</v>
      </c>
      <c r="B92" s="106">
        <v>42522</v>
      </c>
      <c r="C92" s="31">
        <v>38938</v>
      </c>
      <c r="D92" s="20"/>
      <c r="E92" s="20">
        <v>18568</v>
      </c>
      <c r="F92" s="34">
        <f t="shared" si="23"/>
        <v>57506</v>
      </c>
      <c r="G92" s="31">
        <v>220</v>
      </c>
      <c r="H92" s="20"/>
      <c r="I92" s="20">
        <v>514</v>
      </c>
      <c r="J92" s="342">
        <f t="shared" si="24"/>
        <v>734</v>
      </c>
    </row>
    <row r="93" spans="1:10" s="303" customFormat="1" x14ac:dyDescent="0.25">
      <c r="A93" s="215">
        <f t="shared" si="11"/>
        <v>1</v>
      </c>
      <c r="B93" s="110" t="s">
        <v>311</v>
      </c>
      <c r="C93" s="36">
        <f>ROUND(AVERAGE(C81:C92),0)</f>
        <v>34940</v>
      </c>
      <c r="D93" s="37"/>
      <c r="E93" s="37">
        <f t="shared" ref="E93:I93" si="25">ROUND(AVERAGE(E81:E92),0)</f>
        <v>16100</v>
      </c>
      <c r="F93" s="37">
        <f>ROUND(AVERAGE(F81:F92),0)</f>
        <v>51041</v>
      </c>
      <c r="G93" s="36">
        <f t="shared" si="25"/>
        <v>199</v>
      </c>
      <c r="H93" s="36" t="e">
        <f t="shared" si="25"/>
        <v>#DIV/0!</v>
      </c>
      <c r="I93" s="37">
        <f t="shared" si="25"/>
        <v>469</v>
      </c>
      <c r="J93" s="340">
        <f>ROUND(AVERAGE(J81:J92),0)</f>
        <v>668</v>
      </c>
    </row>
    <row r="94" spans="1:10" s="303" customFormat="1" x14ac:dyDescent="0.25">
      <c r="A94" s="215">
        <f t="shared" si="11"/>
        <v>1</v>
      </c>
      <c r="B94" s="106">
        <v>42552</v>
      </c>
      <c r="C94" s="31">
        <v>39962</v>
      </c>
      <c r="D94" s="20"/>
      <c r="E94" s="20">
        <v>18968</v>
      </c>
      <c r="F94" s="34">
        <f t="shared" ref="F94:F100" si="26">SUM(C94:E94)</f>
        <v>58930</v>
      </c>
      <c r="G94" s="31">
        <v>227</v>
      </c>
      <c r="H94" s="20"/>
      <c r="I94" s="20">
        <v>509</v>
      </c>
      <c r="J94" s="342">
        <f t="shared" ref="J94:J100" si="27">SUM(G94:I94)</f>
        <v>736</v>
      </c>
    </row>
    <row r="95" spans="1:10" s="303" customFormat="1" x14ac:dyDescent="0.25">
      <c r="A95" s="215">
        <f t="shared" si="11"/>
        <v>1</v>
      </c>
      <c r="B95" s="106">
        <v>42583</v>
      </c>
      <c r="C95" s="31">
        <v>41345</v>
      </c>
      <c r="D95" s="20"/>
      <c r="E95" s="20">
        <v>19419</v>
      </c>
      <c r="F95" s="34">
        <f t="shared" si="26"/>
        <v>60764</v>
      </c>
      <c r="G95" s="31">
        <v>200</v>
      </c>
      <c r="H95" s="20"/>
      <c r="I95" s="20">
        <v>497</v>
      </c>
      <c r="J95" s="342">
        <f t="shared" si="27"/>
        <v>697</v>
      </c>
    </row>
    <row r="96" spans="1:10" s="303" customFormat="1" x14ac:dyDescent="0.25">
      <c r="A96" s="215">
        <f t="shared" si="11"/>
        <v>1</v>
      </c>
      <c r="B96" s="106">
        <v>42614</v>
      </c>
      <c r="C96" s="31">
        <v>41419</v>
      </c>
      <c r="D96" s="20"/>
      <c r="E96" s="20">
        <v>19945</v>
      </c>
      <c r="F96" s="34">
        <f t="shared" si="26"/>
        <v>61364</v>
      </c>
      <c r="G96" s="31">
        <v>199</v>
      </c>
      <c r="H96" s="20"/>
      <c r="I96" s="20">
        <v>477</v>
      </c>
      <c r="J96" s="342">
        <f t="shared" si="27"/>
        <v>676</v>
      </c>
    </row>
    <row r="97" spans="1:10" s="303" customFormat="1" x14ac:dyDescent="0.25">
      <c r="A97" s="215">
        <f t="shared" si="11"/>
        <v>1</v>
      </c>
      <c r="B97" s="106">
        <v>42644</v>
      </c>
      <c r="C97" s="31">
        <v>40987</v>
      </c>
      <c r="D97" s="20"/>
      <c r="E97" s="20">
        <v>19751</v>
      </c>
      <c r="F97" s="34">
        <f t="shared" si="26"/>
        <v>60738</v>
      </c>
      <c r="G97" s="31">
        <v>205</v>
      </c>
      <c r="H97" s="20"/>
      <c r="I97" s="20">
        <v>443</v>
      </c>
      <c r="J97" s="342">
        <f t="shared" si="27"/>
        <v>648</v>
      </c>
    </row>
    <row r="98" spans="1:10" s="303" customFormat="1" x14ac:dyDescent="0.25">
      <c r="A98" s="215">
        <f t="shared" si="11"/>
        <v>1</v>
      </c>
      <c r="B98" s="106">
        <v>42675</v>
      </c>
      <c r="C98" s="31">
        <v>40451</v>
      </c>
      <c r="D98" s="20"/>
      <c r="E98" s="20">
        <v>19205</v>
      </c>
      <c r="F98" s="34">
        <f t="shared" si="26"/>
        <v>59656</v>
      </c>
      <c r="G98" s="31">
        <v>202</v>
      </c>
      <c r="H98" s="20"/>
      <c r="I98" s="20">
        <v>464</v>
      </c>
      <c r="J98" s="342">
        <f t="shared" si="27"/>
        <v>666</v>
      </c>
    </row>
    <row r="99" spans="1:10" s="303" customFormat="1" x14ac:dyDescent="0.25">
      <c r="A99" s="215">
        <f t="shared" si="11"/>
        <v>1</v>
      </c>
      <c r="B99" s="106">
        <v>42705</v>
      </c>
      <c r="C99" s="31">
        <v>41974</v>
      </c>
      <c r="D99" s="20"/>
      <c r="E99" s="20">
        <v>19860</v>
      </c>
      <c r="F99" s="34">
        <f t="shared" si="26"/>
        <v>61834</v>
      </c>
      <c r="G99" s="31">
        <v>199</v>
      </c>
      <c r="H99" s="20"/>
      <c r="I99" s="20">
        <v>494</v>
      </c>
      <c r="J99" s="342">
        <f t="shared" si="27"/>
        <v>693</v>
      </c>
    </row>
    <row r="100" spans="1:10" s="303" customFormat="1" x14ac:dyDescent="0.25">
      <c r="A100" s="215">
        <f t="shared" si="11"/>
        <v>1</v>
      </c>
      <c r="B100" s="106">
        <v>42736</v>
      </c>
      <c r="C100" s="31">
        <v>42653</v>
      </c>
      <c r="D100" s="20"/>
      <c r="E100" s="20">
        <v>20732</v>
      </c>
      <c r="F100" s="34">
        <f t="shared" si="26"/>
        <v>63385</v>
      </c>
      <c r="G100" s="31">
        <v>204</v>
      </c>
      <c r="H100" s="20"/>
      <c r="I100" s="20">
        <v>510</v>
      </c>
      <c r="J100" s="342">
        <f t="shared" si="27"/>
        <v>714</v>
      </c>
    </row>
    <row r="101" spans="1:10" s="303" customFormat="1" x14ac:dyDescent="0.25">
      <c r="A101" s="215">
        <f t="shared" si="11"/>
        <v>0</v>
      </c>
      <c r="B101" s="106">
        <v>42767</v>
      </c>
      <c r="C101" s="31"/>
      <c r="D101" s="20"/>
      <c r="E101" s="20"/>
      <c r="F101" s="34"/>
      <c r="G101" s="31"/>
      <c r="H101" s="20"/>
      <c r="I101" s="20"/>
      <c r="J101" s="342"/>
    </row>
    <row r="102" spans="1:10" s="303" customFormat="1" x14ac:dyDescent="0.25">
      <c r="A102" s="215">
        <f t="shared" si="11"/>
        <v>0</v>
      </c>
      <c r="B102" s="106">
        <v>42795</v>
      </c>
      <c r="C102" s="31"/>
      <c r="D102" s="20"/>
      <c r="E102" s="20"/>
      <c r="F102" s="34"/>
      <c r="G102" s="31"/>
      <c r="H102" s="20"/>
      <c r="I102" s="20"/>
      <c r="J102" s="342"/>
    </row>
    <row r="103" spans="1:10" s="303" customFormat="1" x14ac:dyDescent="0.25">
      <c r="A103" s="215">
        <f t="shared" si="11"/>
        <v>0</v>
      </c>
      <c r="B103" s="106">
        <v>42826</v>
      </c>
      <c r="C103" s="31"/>
      <c r="D103" s="20"/>
      <c r="E103" s="20"/>
      <c r="F103" s="34"/>
      <c r="G103" s="31"/>
      <c r="H103" s="20"/>
      <c r="I103" s="20"/>
      <c r="J103" s="342"/>
    </row>
    <row r="104" spans="1:10" s="303" customFormat="1" x14ac:dyDescent="0.25">
      <c r="A104" s="215">
        <f t="shared" si="11"/>
        <v>0</v>
      </c>
      <c r="B104" s="106">
        <v>42856</v>
      </c>
      <c r="C104" s="31"/>
      <c r="D104" s="20"/>
      <c r="E104" s="20"/>
      <c r="F104" s="34"/>
      <c r="G104" s="31"/>
      <c r="H104" s="20"/>
      <c r="I104" s="20"/>
      <c r="J104" s="342"/>
    </row>
    <row r="105" spans="1:10" s="303" customFormat="1" x14ac:dyDescent="0.25">
      <c r="A105" s="215">
        <f t="shared" si="11"/>
        <v>0</v>
      </c>
      <c r="B105" s="106">
        <v>42887</v>
      </c>
      <c r="C105" s="31"/>
      <c r="D105" s="20"/>
      <c r="E105" s="20"/>
      <c r="F105" s="34"/>
      <c r="G105" s="31"/>
      <c r="H105" s="20"/>
      <c r="I105" s="20"/>
      <c r="J105" s="342"/>
    </row>
    <row r="106" spans="1:10" s="222" customFormat="1" x14ac:dyDescent="0.25">
      <c r="A106" s="215">
        <f t="shared" si="11"/>
        <v>0</v>
      </c>
      <c r="B106" s="106"/>
      <c r="C106" s="31"/>
      <c r="D106" s="20"/>
      <c r="E106" s="20"/>
      <c r="F106" s="34"/>
      <c r="G106" s="31"/>
      <c r="H106" s="20"/>
      <c r="I106" s="20"/>
      <c r="J106" s="342"/>
    </row>
    <row r="107" spans="1:10" x14ac:dyDescent="0.25">
      <c r="B107" s="114" t="s">
        <v>301</v>
      </c>
      <c r="C107" s="29">
        <f>+AVERAGE(C94:C105)</f>
        <v>41255.857142857145</v>
      </c>
      <c r="D107" s="30" t="e">
        <f t="shared" ref="D107:J107" si="28">+AVERAGE(D94:D105)</f>
        <v>#DIV/0!</v>
      </c>
      <c r="E107" s="30">
        <f t="shared" si="28"/>
        <v>19697.142857142859</v>
      </c>
      <c r="F107" s="42">
        <f t="shared" si="28"/>
        <v>60953</v>
      </c>
      <c r="G107" s="29">
        <f t="shared" si="28"/>
        <v>205.14285714285714</v>
      </c>
      <c r="H107" s="30" t="e">
        <f t="shared" si="28"/>
        <v>#DIV/0!</v>
      </c>
      <c r="I107" s="30">
        <f t="shared" si="28"/>
        <v>484.85714285714283</v>
      </c>
      <c r="J107" s="343">
        <f t="shared" si="28"/>
        <v>690</v>
      </c>
    </row>
    <row r="108" spans="1:10" s="80" customFormat="1" ht="15.75" customHeight="1" x14ac:dyDescent="0.25">
      <c r="B108" s="114" t="s">
        <v>302</v>
      </c>
      <c r="C108" s="31">
        <v>39287</v>
      </c>
      <c r="D108" s="20"/>
      <c r="E108" s="20">
        <v>18732</v>
      </c>
      <c r="F108" s="34">
        <v>58019</v>
      </c>
      <c r="G108" s="31">
        <v>273</v>
      </c>
      <c r="H108" s="20"/>
      <c r="I108" s="20">
        <v>578</v>
      </c>
      <c r="J108" s="342">
        <v>851</v>
      </c>
    </row>
    <row r="109" spans="1:10" x14ac:dyDescent="0.25">
      <c r="B109" s="116" t="s">
        <v>18</v>
      </c>
      <c r="C109" s="31">
        <f t="array" ref="C109">IF(TEXT(MAX(IF($A$94:$A$105=1,$B$94:$B$105)),"mmmm")="July",C94-C92,INDEX(C$94:C$105,MATCH(TEXT(MAX(IF($A$94:$A$105=1,$B$94:$B$105)),"mmmm"),TEXT($B$94:$B$105,"mmmm"),0))-INDEX(C$94:C$105,MATCH(TEXT(MAX(IF($A$94:$A$105=1,$B$94:$B$105)),"mmmm"),TEXT($B$94:$B$105,"mmmm"),0)-1))</f>
        <v>679</v>
      </c>
      <c r="D109" s="20">
        <f t="array" ref="D109">IF(TEXT(MAX(IF($A$94:$A$105=1,$B$94:$B$105)),"mmmm")="July",D94-D92,INDEX(D$94:D$105,MATCH(TEXT(MAX(IF($A$94:$A$105=1,$B$94:$B$105)),"mmmm"),TEXT($B$94:$B$105,"mmmm"),0))-INDEX(D$94:D$105,MATCH(TEXT(MAX(IF($A$94:$A$105=1,$B$94:$B$105)),"mmmm"),TEXT($B$94:$B$105,"mmmm"),0)-1))</f>
        <v>0</v>
      </c>
      <c r="E109" s="20">
        <f t="array" ref="E109">IF(TEXT(MAX(IF($A$94:$A$105=1,$B$94:$B$105)),"mmmm")="July",E94-E92,INDEX(E$94:E$105,MATCH(TEXT(MAX(IF($A$94:$A$105=1,$B$94:$B$105)),"mmmm"),TEXT($B$94:$B$105,"mmmm"),0))-INDEX(E$94:E$105,MATCH(TEXT(MAX(IF($A$94:$A$105=1,$B$94:$B$105)),"mmmm"),TEXT($B$94:$B$105,"mmmm"),0)-1))</f>
        <v>872</v>
      </c>
      <c r="F109" s="34">
        <f t="array" ref="F109">IF(TEXT(MAX(IF($A$94:$A$105=1,$B$94:$B$105)),"mmmm")="July",F94-F92,INDEX(F$94:F$105,MATCH(TEXT(MAX(IF($A$94:$A$105=1,$B$94:$B$105)),"mmmm"),TEXT($B$94:$B$105,"mmmm"),0))-INDEX(F$94:F$105,MATCH(TEXT(MAX(IF($A$94:$A$105=1,$B$94:$B$105)),"mmmm"),TEXT($B$94:$B$105,"mmmm"),0)-1))</f>
        <v>1551</v>
      </c>
      <c r="G109" s="31">
        <f t="array" ref="G109">IF(TEXT(MAX(IF($A$94:$A$105=1,$B$94:$B$105)),"mmmm")="July",G94-G92,INDEX(G$94:G$105,MATCH(TEXT(MAX(IF($A$94:$A$105=1,$B$94:$B$105)),"mmmm"),TEXT($B$94:$B$105,"mmmm"),0))-INDEX(G$94:G$105,MATCH(TEXT(MAX(IF($A$94:$A$105=1,$B$94:$B$105)),"mmmm"),TEXT($B$94:$B$105,"mmmm"),0)-1))</f>
        <v>5</v>
      </c>
      <c r="H109" s="20">
        <f t="array" ref="H109">IF(TEXT(MAX(IF($A$94:$A$105=1,$B$94:$B$105)),"mmmm")="July",H94-H92,INDEX(H$94:H$105,MATCH(TEXT(MAX(IF($A$94:$A$105=1,$B$94:$B$105)),"mmmm"),TEXT($B$94:$B$105,"mmmm"),0))-INDEX(H$94:H$105,MATCH(TEXT(MAX(IF($A$94:$A$105=1,$B$94:$B$105)),"mmmm"),TEXT($B$94:$B$105,"mmmm"),0)-1))</f>
        <v>0</v>
      </c>
      <c r="I109" s="20">
        <f t="array" ref="I109">IF(TEXT(MAX(IF($A$94:$A$105=1,$B$94:$B$105)),"mmmm")="July",I94-I92,INDEX(I$94:I$105,MATCH(TEXT(MAX(IF($A$94:$A$105=1,$B$94:$B$105)),"mmmm"),TEXT($B$94:$B$105,"mmmm"),0))-INDEX(I$94:I$105,MATCH(TEXT(MAX(IF($A$94:$A$105=1,$B$94:$B$105)),"mmmm"),TEXT($B$94:$B$105,"mmmm"),0)-1))</f>
        <v>16</v>
      </c>
      <c r="J109" s="342">
        <f t="array" ref="J109">IF(TEXT(MAX(IF($A$94:$A$105=1,$B$94:$B$105)),"mmmm")="July",J94-J92,INDEX(J$94:J$105,MATCH(TEXT(MAX(IF($A$94:$A$105=1,$B$94:$B$105)),"mmmm"),TEXT($B$94:$B$105,"mmmm"),0))-INDEX(J$94:J$105,MATCH(TEXT(MAX(IF($A$94:$A$105=1,$B$94:$B$105)),"mmmm"),TEXT($B$94:$B$105,"mmmm"),0)-1))</f>
        <v>21</v>
      </c>
    </row>
    <row r="110" spans="1:10" x14ac:dyDescent="0.25">
      <c r="B110" s="116" t="s">
        <v>21</v>
      </c>
      <c r="C110" s="43">
        <f t="array" ref="C110">IF(TEXT(MAX(IF($A$94:$A$105=1,$B$94:$B$105)),"mmmm")="July",C109/C92,C109/INDEX(C$94:C$105,MATCH(TEXT(MAX(IF($A$94:$A$105=1,$B$94:$B$105)),"mmmm"),TEXT($B$94:$B$105,"mmmm"),0)-1))</f>
        <v>1.6176680802401488E-2</v>
      </c>
      <c r="D110" s="21" t="e">
        <f t="array" ref="D110">IF(TEXT(MAX(IF($A$94:$A$105=1,$B$94:$B$105)),"mmmm")="July",D109/D92,D109/INDEX(D$94:D$105,MATCH(TEXT(MAX(IF($A$94:$A$105=1,$B$94:$B$105)),"mmmm"),TEXT($B$94:$B$105,"mmmm"),0)-1))</f>
        <v>#DIV/0!</v>
      </c>
      <c r="E110" s="21">
        <f t="array" ref="E110">IF(TEXT(MAX(IF($A$94:$A$105=1,$B$94:$B$105)),"mmmm")="July",E109/E92,E109/INDEX(E$94:E$105,MATCH(TEXT(MAX(IF($A$94:$A$105=1,$B$94:$B$105)),"mmmm"),TEXT($B$94:$B$105,"mmmm"),0)-1))</f>
        <v>4.3907351460221553E-2</v>
      </c>
      <c r="F110" s="41">
        <f t="array" ref="F110">IF(TEXT(MAX(IF($A$94:$A$105=1,$B$94:$B$105)),"mmmm")="July",F109/F92,F109/INDEX(F$94:F$105,MATCH(TEXT(MAX(IF($A$94:$A$105=1,$B$94:$B$105)),"mmmm"),TEXT($B$94:$B$105,"mmmm"),0)-1))</f>
        <v>2.5083287511724939E-2</v>
      </c>
      <c r="G110" s="43">
        <f t="array" ref="G110">IF(TEXT(MAX(IF($A$94:$A$105=1,$B$94:$B$105)),"mmmm")="July",G109/G92,G109/INDEX(G$94:G$105,MATCH(TEXT(MAX(IF($A$94:$A$105=1,$B$94:$B$105)),"mmmm"),TEXT($B$94:$B$105,"mmmm"),0)-1))</f>
        <v>2.5125628140703519E-2</v>
      </c>
      <c r="H110" s="21" t="e">
        <f t="array" ref="H110">IF(TEXT(MAX(IF($A$94:$A$105=1,$B$94:$B$105)),"mmmm")="July",H109/H92,H109/INDEX(H$94:H$105,MATCH(TEXT(MAX(IF($A$94:$A$105=1,$B$94:$B$105)),"mmmm"),TEXT($B$94:$B$105,"mmmm"),0)-1))</f>
        <v>#DIV/0!</v>
      </c>
      <c r="I110" s="21">
        <f t="array" ref="I110">IF(TEXT(MAX(IF($A$94:$A$105=1,$B$94:$B$105)),"mmmm")="July",I109/I92,I109/INDEX(I$94:I$105,MATCH(TEXT(MAX(IF($A$94:$A$105=1,$B$94:$B$105)),"mmmm"),TEXT($B$94:$B$105,"mmmm"),0)-1))</f>
        <v>3.2388663967611336E-2</v>
      </c>
      <c r="J110" s="344">
        <f t="array" ref="J110">IF(TEXT(MAX(IF($A$94:$A$105=1,$B$94:$B$105)),"mmmm")="July",J109/J92,J109/INDEX(J$94:J$105,MATCH(TEXT(MAX(IF($A$94:$A$105=1,$B$94:$B$105)),"mmmm"),TEXT($B$94:$B$105,"mmmm"),0)-1))</f>
        <v>3.0303030303030304E-2</v>
      </c>
    </row>
    <row r="111" spans="1:10" x14ac:dyDescent="0.25">
      <c r="B111" s="116" t="s">
        <v>36</v>
      </c>
      <c r="C111" s="31">
        <f t="array" ref="C111">INDEX(C$94:C$105,MATCH(TEXT(MAX(IF($A$94:$A$105=1,$B$94:$B$105)),"mmmm"),TEXT($B$94:$B$105,"mmmm"),0))-INDEX(C$81:C$92,MATCH(TEXT(MAX(IF($A$94:$A$105=1,$B$94:$B$105)),"mmmm"),TEXT($B$81:$B$92,"mmmm"),0))</f>
        <v>7995</v>
      </c>
      <c r="D111" s="20">
        <f t="array" ref="D111">INDEX(D$94:D$105,MATCH(TEXT(MAX(IF($A$94:$A$105=1,$B$94:$B$105)),"mmmm"),TEXT($B$94:$B$105,"mmmm"),0))-INDEX(D$81:D$92,MATCH(TEXT(MAX(IF($A$94:$A$105=1,$B$94:$B$105)),"mmmm"),TEXT($B$81:$B$92,"mmmm"),0))</f>
        <v>0</v>
      </c>
      <c r="E111" s="20">
        <f t="array" ref="E111">INDEX(E$94:E$105,MATCH(TEXT(MAX(IF($A$94:$A$105=1,$B$94:$B$105)),"mmmm"),TEXT($B$94:$B$105,"mmmm"),0))-INDEX(E$81:E$92,MATCH(TEXT(MAX(IF($A$94:$A$105=1,$B$94:$B$105)),"mmmm"),TEXT($B$81:$B$92,"mmmm"),0))</f>
        <v>4696</v>
      </c>
      <c r="F111" s="34">
        <f t="array" ref="F111">INDEX(F$94:F$105,MATCH(TEXT(MAX(IF($A$94:$A$105=1,$B$94:$B$105)),"mmmm"),TEXT($B$94:$B$105,"mmmm"),0))-INDEX(F$81:F$92,MATCH(TEXT(MAX(IF($A$94:$A$105=1,$B$94:$B$105)),"mmmm"),TEXT($B$81:$B$92,"mmmm"),0))</f>
        <v>12691</v>
      </c>
      <c r="G111" s="31">
        <f t="array" ref="G111">INDEX(G$94:G$105,MATCH(TEXT(MAX(IF($A$94:$A$105=1,$B$94:$B$105)),"mmmm"),TEXT($B$94:$B$105,"mmmm"),0))-INDEX(G$81:G$92,MATCH(TEXT(MAX(IF($A$94:$A$105=1,$B$94:$B$105)),"mmmm"),TEXT($B$81:$B$92,"mmmm"),0))</f>
        <v>-1</v>
      </c>
      <c r="H111" s="20">
        <f t="array" ref="H111">INDEX(H$94:H$105,MATCH(TEXT(MAX(IF($A$94:$A$105=1,$B$94:$B$105)),"mmmm"),TEXT($B$94:$B$105,"mmmm"),0))-INDEX(H$81:H$92,MATCH(TEXT(MAX(IF($A$94:$A$105=1,$B$94:$B$105)),"mmmm"),TEXT($B$81:$B$92,"mmmm"),0))</f>
        <v>0</v>
      </c>
      <c r="I111" s="20">
        <f t="array" ref="I111">INDEX(I$94:I$105,MATCH(TEXT(MAX(IF($A$94:$A$105=1,$B$94:$B$105)),"mmmm"),TEXT($B$94:$B$105,"mmmm"),0))-INDEX(I$81:I$92,MATCH(TEXT(MAX(IF($A$94:$A$105=1,$B$94:$B$105)),"mmmm"),TEXT($B$81:$B$92,"mmmm"),0))</f>
        <v>4</v>
      </c>
      <c r="J111" s="342">
        <f t="array" ref="J111">INDEX(J$94:J$105,MATCH(TEXT(MAX(IF($A$94:$A$105=1,$B$94:$B$105)),"mmmm"),TEXT($B$94:$B$105,"mmmm"),0))-INDEX(J$81:J$92,MATCH(TEXT(MAX(IF($A$94:$A$105=1,$B$94:$B$105)),"mmmm"),TEXT($B$81:$B$92,"mmmm"),0))</f>
        <v>3</v>
      </c>
    </row>
    <row r="112" spans="1:10" ht="16.5" thickBot="1" x14ac:dyDescent="0.3">
      <c r="B112" s="116" t="s">
        <v>37</v>
      </c>
      <c r="C112" s="43">
        <f t="array" ref="C112">C111/INDEX(C$81:C$92,MATCH(TEXT(MAX(IF($A$94:$A$105=1,$B$94:$B$105)),"mmmm"),TEXT($B$81:$B$92,"mmmm"),0))</f>
        <v>0.23068267066766693</v>
      </c>
      <c r="D112" s="21" t="e">
        <f t="array" ref="D112">D111/INDEX(D$81:D$92,MATCH(TEXT(MAX(IF($A$94:$A$105=1,$B$94:$B$105)),"mmmm"),TEXT($B$81:$B$92,"mmmm"),0))</f>
        <v>#DIV/0!</v>
      </c>
      <c r="E112" s="21">
        <f t="array" ref="E112">E111/INDEX(E$81:E$92,MATCH(TEXT(MAX(IF($A$94:$A$105=1,$B$94:$B$105)),"mmmm"),TEXT($B$81:$B$92,"mmmm"),0))</f>
        <v>0.29284110750810677</v>
      </c>
      <c r="F112" s="41">
        <f t="array" ref="F112">F111/INDEX(F$81:F$92,MATCH(TEXT(MAX(IF($A$94:$A$105=1,$B$94:$B$105)),"mmmm"),TEXT($B$81:$B$92,"mmmm"),0))</f>
        <v>0.25034520850593761</v>
      </c>
      <c r="G112" s="43">
        <f t="array" ref="G112">G111/INDEX(G$81:G$92,MATCH(TEXT(MAX(IF($A$94:$A$105=1,$B$94:$B$105)),"mmmm"),TEXT($B$81:$B$92,"mmmm"),0))</f>
        <v>-4.8780487804878049E-3</v>
      </c>
      <c r="H112" s="21" t="e">
        <f t="array" ref="H112">H111/INDEX(H$81:H$92,MATCH(TEXT(MAX(IF($A$94:$A$105=1,$B$94:$B$105)),"mmmm"),TEXT($B$81:$B$92,"mmmm"),0))</f>
        <v>#DIV/0!</v>
      </c>
      <c r="I112" s="21">
        <f t="array" ref="I112">I111/INDEX(I$81:I$92,MATCH(TEXT(MAX(IF($A$94:$A$105=1,$B$94:$B$105)),"mmmm"),TEXT($B$81:$B$92,"mmmm"),0))</f>
        <v>7.9051383399209481E-3</v>
      </c>
      <c r="J112" s="344">
        <f t="array" ref="J112">J111/INDEX(J$81:J$92,MATCH(TEXT(MAX(IF($A$94:$A$105=1,$B$94:$B$105)),"mmmm"),TEXT($B$81:$B$92,"mmmm"),0))</f>
        <v>4.2194092827004216E-3</v>
      </c>
    </row>
    <row r="113" spans="2:10" x14ac:dyDescent="0.25">
      <c r="B113" s="538" t="s">
        <v>24</v>
      </c>
      <c r="C113" s="539"/>
      <c r="D113" s="539"/>
      <c r="E113" s="539"/>
      <c r="F113" s="539"/>
      <c r="G113" s="539"/>
      <c r="H113" s="539"/>
      <c r="I113" s="539"/>
      <c r="J113" s="540"/>
    </row>
    <row r="114" spans="2:10" ht="16.5" thickBot="1" x14ac:dyDescent="0.3">
      <c r="B114" s="541" t="s">
        <v>38</v>
      </c>
      <c r="C114" s="542"/>
      <c r="D114" s="542"/>
      <c r="E114" s="542"/>
      <c r="F114" s="542"/>
      <c r="G114" s="542"/>
      <c r="H114" s="542"/>
      <c r="I114" s="542"/>
      <c r="J114" s="543"/>
    </row>
  </sheetData>
  <dataConsolidate link="1"/>
  <mergeCells count="3">
    <mergeCell ref="B1:J1"/>
    <mergeCell ref="B113:J113"/>
    <mergeCell ref="B114:J114"/>
  </mergeCells>
  <phoneticPr fontId="14" type="noConversion"/>
  <printOptions horizontalCentered="1" gridLines="1"/>
  <pageMargins left="0.28999999999999998" right="0.28999999999999998" top="0.7" bottom="0.43" header="0.3" footer="0.27"/>
  <pageSetup scale="60" firstPageNumber="7"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view="pageBreakPreview" topLeftCell="A16" zoomScale="80" zoomScaleNormal="100" zoomScaleSheetLayoutView="80" workbookViewId="0">
      <selection activeCell="C4" sqref="C4"/>
    </sheetView>
  </sheetViews>
  <sheetFormatPr defaultColWidth="9.140625" defaultRowHeight="15.75" x14ac:dyDescent="0.2"/>
  <cols>
    <col min="1" max="1" width="8.85546875" style="359" customWidth="1"/>
    <col min="2" max="2" width="46.5703125" style="88" customWidth="1"/>
    <col min="3" max="14" width="17" style="359" customWidth="1"/>
    <col min="15" max="16" width="14.42578125" style="359" bestFit="1" customWidth="1"/>
    <col min="17" max="17" width="20.28515625" style="359" bestFit="1" customWidth="1"/>
    <col min="18" max="16384" width="9.140625" style="359"/>
  </cols>
  <sheetData>
    <row r="1" spans="1:17" ht="16.5" thickBot="1" x14ac:dyDescent="0.25">
      <c r="A1" s="570" t="s">
        <v>312</v>
      </c>
      <c r="B1" s="571"/>
      <c r="C1" s="571"/>
      <c r="D1" s="571"/>
      <c r="E1" s="571"/>
      <c r="F1" s="571"/>
      <c r="G1" s="571"/>
      <c r="H1" s="571"/>
      <c r="I1" s="571"/>
      <c r="J1" s="571"/>
      <c r="K1" s="571"/>
      <c r="L1" s="571"/>
      <c r="M1" s="571"/>
      <c r="N1" s="571"/>
      <c r="O1" s="571"/>
      <c r="P1" s="571"/>
      <c r="Q1" s="572"/>
    </row>
    <row r="2" spans="1:17" ht="32.25" customHeight="1" thickBot="1" x14ac:dyDescent="0.25">
      <c r="A2" s="313"/>
      <c r="B2" s="314" t="s">
        <v>249</v>
      </c>
      <c r="C2" s="315">
        <v>42552</v>
      </c>
      <c r="D2" s="315">
        <v>42583</v>
      </c>
      <c r="E2" s="315">
        <v>42614</v>
      </c>
      <c r="F2" s="315">
        <v>42644</v>
      </c>
      <c r="G2" s="315">
        <v>42675</v>
      </c>
      <c r="H2" s="315">
        <v>42705</v>
      </c>
      <c r="I2" s="315">
        <v>42736</v>
      </c>
      <c r="J2" s="315">
        <v>42767</v>
      </c>
      <c r="K2" s="315">
        <v>42795</v>
      </c>
      <c r="L2" s="315">
        <v>42826</v>
      </c>
      <c r="M2" s="315">
        <v>42856</v>
      </c>
      <c r="N2" s="315">
        <v>42887</v>
      </c>
      <c r="O2" s="316" t="s">
        <v>313</v>
      </c>
      <c r="P2" s="573" t="s">
        <v>314</v>
      </c>
      <c r="Q2" s="574"/>
    </row>
    <row r="3" spans="1:17" ht="15.75" customHeight="1" x14ac:dyDescent="0.2">
      <c r="A3" s="561" t="s">
        <v>155</v>
      </c>
      <c r="B3" s="229" t="s">
        <v>157</v>
      </c>
      <c r="C3" s="360">
        <v>5008</v>
      </c>
      <c r="D3" s="3">
        <v>5036</v>
      </c>
      <c r="E3" s="3">
        <v>5058</v>
      </c>
      <c r="F3" s="3">
        <v>5077</v>
      </c>
      <c r="G3" s="3">
        <v>5089</v>
      </c>
      <c r="H3" s="3">
        <v>5092</v>
      </c>
      <c r="I3" s="224">
        <v>5093</v>
      </c>
      <c r="J3" s="224"/>
      <c r="K3" s="224"/>
      <c r="L3" s="224"/>
      <c r="M3" s="224"/>
      <c r="N3" s="224"/>
      <c r="O3" s="66">
        <v>5064.7142857142853</v>
      </c>
      <c r="P3" s="575">
        <v>5257</v>
      </c>
      <c r="Q3" s="576"/>
    </row>
    <row r="4" spans="1:17" ht="31.5" x14ac:dyDescent="0.2">
      <c r="A4" s="562"/>
      <c r="B4" s="90" t="s">
        <v>250</v>
      </c>
      <c r="C4" s="361">
        <v>115</v>
      </c>
      <c r="D4" s="3">
        <v>116</v>
      </c>
      <c r="E4" s="3">
        <v>113</v>
      </c>
      <c r="F4" s="3">
        <v>108</v>
      </c>
      <c r="G4" s="3">
        <v>108</v>
      </c>
      <c r="H4" s="3">
        <v>111</v>
      </c>
      <c r="I4" s="3">
        <v>110</v>
      </c>
      <c r="J4" s="3"/>
      <c r="K4" s="3"/>
      <c r="L4" s="3"/>
      <c r="M4" s="3"/>
      <c r="N4" s="3"/>
      <c r="O4" s="66">
        <v>111.57142857142857</v>
      </c>
      <c r="P4" s="547">
        <v>0</v>
      </c>
      <c r="Q4" s="548"/>
    </row>
    <row r="5" spans="1:17" x14ac:dyDescent="0.2">
      <c r="A5" s="562"/>
      <c r="B5" s="90" t="s">
        <v>138</v>
      </c>
      <c r="C5" s="361">
        <v>4497</v>
      </c>
      <c r="D5" s="3">
        <v>4562</v>
      </c>
      <c r="E5" s="3">
        <v>4608</v>
      </c>
      <c r="F5" s="3">
        <v>4631</v>
      </c>
      <c r="G5" s="3">
        <v>4674</v>
      </c>
      <c r="H5" s="3">
        <v>4701</v>
      </c>
      <c r="I5" s="3">
        <v>4734</v>
      </c>
      <c r="J5" s="3"/>
      <c r="K5" s="3"/>
      <c r="L5" s="3"/>
      <c r="M5" s="3"/>
      <c r="N5" s="3"/>
      <c r="O5" s="66">
        <v>4629.5714285714284</v>
      </c>
      <c r="P5" s="547">
        <v>0</v>
      </c>
      <c r="Q5" s="548"/>
    </row>
    <row r="6" spans="1:17" ht="15.6" customHeight="1" x14ac:dyDescent="0.2">
      <c r="A6" s="562"/>
      <c r="B6" s="90" t="s">
        <v>139</v>
      </c>
      <c r="C6" s="361">
        <v>1535</v>
      </c>
      <c r="D6" s="3">
        <v>1577</v>
      </c>
      <c r="E6" s="3">
        <v>1587</v>
      </c>
      <c r="F6" s="3">
        <v>1596</v>
      </c>
      <c r="G6" s="3">
        <v>1619</v>
      </c>
      <c r="H6" s="3">
        <v>1634</v>
      </c>
      <c r="I6" s="3">
        <v>1639</v>
      </c>
      <c r="J6" s="3"/>
      <c r="K6" s="3"/>
      <c r="L6" s="3"/>
      <c r="M6" s="3"/>
      <c r="N6" s="3"/>
      <c r="O6" s="66">
        <v>1598.1428571428571</v>
      </c>
      <c r="P6" s="547">
        <v>0</v>
      </c>
      <c r="Q6" s="548"/>
    </row>
    <row r="7" spans="1:17" ht="16.5" thickBot="1" x14ac:dyDescent="0.25">
      <c r="A7" s="562"/>
      <c r="B7" s="90" t="s">
        <v>140</v>
      </c>
      <c r="C7" s="226">
        <v>11155</v>
      </c>
      <c r="D7" s="3">
        <v>11291</v>
      </c>
      <c r="E7" s="3">
        <v>11366</v>
      </c>
      <c r="F7" s="3">
        <v>11412</v>
      </c>
      <c r="G7" s="3">
        <v>11490</v>
      </c>
      <c r="H7" s="3">
        <v>11538</v>
      </c>
      <c r="I7" s="227">
        <v>11576</v>
      </c>
      <c r="J7" s="227"/>
      <c r="K7" s="227"/>
      <c r="L7" s="227"/>
      <c r="M7" s="227"/>
      <c r="N7" s="227"/>
      <c r="O7" s="66">
        <v>11404</v>
      </c>
      <c r="P7" s="549">
        <v>0</v>
      </c>
      <c r="Q7" s="550"/>
    </row>
    <row r="8" spans="1:17" ht="16.5" customHeight="1" thickBot="1" x14ac:dyDescent="0.25">
      <c r="A8" s="563"/>
      <c r="B8" s="92" t="s">
        <v>156</v>
      </c>
      <c r="C8" s="67">
        <v>11155</v>
      </c>
      <c r="D8" s="67">
        <v>11291</v>
      </c>
      <c r="E8" s="67">
        <v>11366</v>
      </c>
      <c r="F8" s="67">
        <v>11412</v>
      </c>
      <c r="G8" s="67">
        <v>11490</v>
      </c>
      <c r="H8" s="67">
        <v>11538</v>
      </c>
      <c r="I8" s="67">
        <v>11576</v>
      </c>
      <c r="J8" s="67"/>
      <c r="K8" s="67"/>
      <c r="L8" s="67"/>
      <c r="M8" s="67"/>
      <c r="N8" s="67"/>
      <c r="O8" s="68">
        <v>11404</v>
      </c>
      <c r="P8" s="551">
        <v>0</v>
      </c>
      <c r="Q8" s="552"/>
    </row>
    <row r="9" spans="1:17" ht="16.149999999999999" hidden="1" customHeight="1" x14ac:dyDescent="0.25">
      <c r="A9" s="401" t="s">
        <v>141</v>
      </c>
      <c r="B9" s="223" t="s">
        <v>142</v>
      </c>
      <c r="C9" s="362"/>
      <c r="D9" s="362"/>
      <c r="E9" s="362"/>
      <c r="F9" s="362"/>
      <c r="G9" s="362"/>
      <c r="H9" s="362"/>
      <c r="I9" s="362"/>
      <c r="J9" s="362"/>
      <c r="K9" s="362"/>
      <c r="L9" s="362"/>
      <c r="M9" s="3"/>
      <c r="N9" s="3"/>
      <c r="O9" s="66" t="e">
        <v>#DIV/0!</v>
      </c>
      <c r="P9" s="141">
        <v>692</v>
      </c>
      <c r="Q9" s="331"/>
    </row>
    <row r="10" spans="1:17" ht="15.75" hidden="1" customHeight="1" x14ac:dyDescent="0.25">
      <c r="A10" s="402"/>
      <c r="B10" s="363" t="s">
        <v>143</v>
      </c>
      <c r="C10" s="362"/>
      <c r="D10" s="362"/>
      <c r="E10" s="362"/>
      <c r="F10" s="362"/>
      <c r="G10" s="362"/>
      <c r="H10" s="362"/>
      <c r="I10" s="362"/>
      <c r="J10" s="362"/>
      <c r="K10" s="362"/>
      <c r="L10" s="362"/>
      <c r="M10" s="3"/>
      <c r="N10" s="3"/>
      <c r="O10" s="66" t="e">
        <v>#DIV/0!</v>
      </c>
      <c r="P10" s="140"/>
      <c r="Q10" s="332"/>
    </row>
    <row r="11" spans="1:17" ht="16.5" hidden="1" customHeight="1" thickBot="1" x14ac:dyDescent="0.25">
      <c r="A11" s="402"/>
      <c r="B11" s="364" t="s">
        <v>144</v>
      </c>
      <c r="C11" s="3"/>
      <c r="D11" s="3"/>
      <c r="E11" s="3"/>
      <c r="F11" s="3"/>
      <c r="G11" s="3"/>
      <c r="H11" s="3"/>
      <c r="I11" s="3"/>
      <c r="J11" s="3"/>
      <c r="K11" s="3"/>
      <c r="L11" s="3"/>
      <c r="M11" s="3"/>
      <c r="N11" s="3"/>
      <c r="O11" s="66" t="e">
        <v>#DIV/0!</v>
      </c>
      <c r="P11" s="142">
        <v>692</v>
      </c>
      <c r="Q11" s="333"/>
    </row>
    <row r="12" spans="1:17" ht="16.5" hidden="1" customHeight="1" thickBot="1" x14ac:dyDescent="0.25">
      <c r="A12" s="403"/>
      <c r="B12" s="92" t="s">
        <v>145</v>
      </c>
      <c r="C12" s="67">
        <v>0</v>
      </c>
      <c r="D12" s="67"/>
      <c r="E12" s="67"/>
      <c r="F12" s="67"/>
      <c r="G12" s="67"/>
      <c r="H12" s="67"/>
      <c r="I12" s="67"/>
      <c r="J12" s="67"/>
      <c r="K12" s="67"/>
      <c r="L12" s="67"/>
      <c r="M12" s="67"/>
      <c r="N12" s="67"/>
      <c r="O12" s="68">
        <v>0</v>
      </c>
      <c r="P12" s="225"/>
      <c r="Q12" s="334"/>
    </row>
    <row r="13" spans="1:17" ht="16.5" thickBot="1" x14ac:dyDescent="0.25">
      <c r="A13" s="386"/>
      <c r="B13" s="387"/>
      <c r="C13" s="385"/>
      <c r="D13" s="388"/>
      <c r="E13" s="388"/>
      <c r="F13" s="389"/>
      <c r="G13" s="385"/>
      <c r="H13" s="388"/>
      <c r="I13" s="389"/>
      <c r="J13" s="385"/>
      <c r="K13" s="385"/>
      <c r="L13" s="385"/>
      <c r="M13" s="385"/>
      <c r="N13" s="385"/>
      <c r="O13" s="385"/>
      <c r="P13" s="553"/>
      <c r="Q13" s="554"/>
    </row>
    <row r="14" spans="1:17" ht="16.5" thickBot="1" x14ac:dyDescent="0.25">
      <c r="A14" s="570" t="s">
        <v>315</v>
      </c>
      <c r="B14" s="571"/>
      <c r="C14" s="571"/>
      <c r="D14" s="571"/>
      <c r="E14" s="571"/>
      <c r="F14" s="571"/>
      <c r="G14" s="571"/>
      <c r="H14" s="571"/>
      <c r="I14" s="571"/>
      <c r="J14" s="571"/>
      <c r="K14" s="571"/>
      <c r="L14" s="571"/>
      <c r="M14" s="571"/>
      <c r="N14" s="571"/>
      <c r="O14" s="571"/>
      <c r="P14" s="571"/>
      <c r="Q14" s="572"/>
    </row>
    <row r="15" spans="1:17" ht="48" thickBot="1" x14ac:dyDescent="0.25">
      <c r="A15" s="69"/>
      <c r="B15" s="63" t="s">
        <v>249</v>
      </c>
      <c r="C15" s="64">
        <v>42552</v>
      </c>
      <c r="D15" s="64">
        <v>42583</v>
      </c>
      <c r="E15" s="64">
        <v>42614</v>
      </c>
      <c r="F15" s="64">
        <v>42644</v>
      </c>
      <c r="G15" s="64">
        <v>42675</v>
      </c>
      <c r="H15" s="64">
        <v>42705</v>
      </c>
      <c r="I15" s="64">
        <v>42736</v>
      </c>
      <c r="J15" s="64">
        <v>42767</v>
      </c>
      <c r="K15" s="64">
        <v>42795</v>
      </c>
      <c r="L15" s="64">
        <v>42826</v>
      </c>
      <c r="M15" s="64">
        <v>42856</v>
      </c>
      <c r="N15" s="64">
        <v>42887</v>
      </c>
      <c r="O15" s="65" t="s">
        <v>291</v>
      </c>
      <c r="P15" s="65" t="s">
        <v>292</v>
      </c>
      <c r="Q15" s="65" t="s">
        <v>316</v>
      </c>
    </row>
    <row r="16" spans="1:17" ht="15.75" customHeight="1" x14ac:dyDescent="0.2">
      <c r="A16" s="561" t="s">
        <v>155</v>
      </c>
      <c r="B16" s="90" t="s">
        <v>157</v>
      </c>
      <c r="C16" s="71">
        <v>27001278.450000003</v>
      </c>
      <c r="D16" s="71">
        <v>31980552.449999996</v>
      </c>
      <c r="E16" s="71">
        <v>27887730.629999984</v>
      </c>
      <c r="F16" s="71">
        <v>30964305.329999961</v>
      </c>
      <c r="G16" s="71">
        <v>28407855.360000044</v>
      </c>
      <c r="H16" s="71">
        <v>27189542.759999998</v>
      </c>
      <c r="I16" s="71">
        <v>30951140.589999951</v>
      </c>
      <c r="J16" s="71"/>
      <c r="K16" s="71"/>
      <c r="L16" s="71"/>
      <c r="M16" s="71"/>
      <c r="N16" s="71"/>
      <c r="O16" s="72">
        <v>204382405.56999993</v>
      </c>
      <c r="P16" s="72">
        <v>362346433</v>
      </c>
      <c r="Q16" s="329">
        <v>0.56405248391116336</v>
      </c>
    </row>
    <row r="17" spans="1:17" ht="31.5" x14ac:dyDescent="0.2">
      <c r="A17" s="562"/>
      <c r="B17" s="90" t="s">
        <v>250</v>
      </c>
      <c r="C17" s="71">
        <v>0</v>
      </c>
      <c r="D17" s="71">
        <v>0</v>
      </c>
      <c r="E17" s="71">
        <v>12784304.129999999</v>
      </c>
      <c r="F17" s="71">
        <v>0</v>
      </c>
      <c r="G17" s="71">
        <v>0</v>
      </c>
      <c r="H17" s="71">
        <v>0</v>
      </c>
      <c r="I17" s="71">
        <v>6390852.8899999997</v>
      </c>
      <c r="J17" s="71"/>
      <c r="K17" s="71"/>
      <c r="L17" s="71"/>
      <c r="M17" s="71"/>
      <c r="N17" s="71"/>
      <c r="O17" s="72">
        <v>19175157.02</v>
      </c>
      <c r="P17" s="376">
        <v>0</v>
      </c>
      <c r="Q17" s="66"/>
    </row>
    <row r="18" spans="1:17" x14ac:dyDescent="0.2">
      <c r="A18" s="562"/>
      <c r="B18" s="90" t="s">
        <v>138</v>
      </c>
      <c r="C18" s="71">
        <v>4748368.84</v>
      </c>
      <c r="D18" s="71">
        <v>5700966.4000000004</v>
      </c>
      <c r="E18" s="71">
        <v>4805518.58</v>
      </c>
      <c r="F18" s="71">
        <v>5503622.1999999993</v>
      </c>
      <c r="G18" s="71">
        <v>4683075.0600000005</v>
      </c>
      <c r="H18" s="71">
        <v>4765127.2300000004</v>
      </c>
      <c r="I18" s="71">
        <v>4841248.7099999981</v>
      </c>
      <c r="J18" s="71"/>
      <c r="K18" s="71"/>
      <c r="L18" s="71"/>
      <c r="M18" s="71"/>
      <c r="N18" s="71"/>
      <c r="O18" s="72">
        <v>35047927.019999996</v>
      </c>
      <c r="P18" s="72">
        <v>61761668</v>
      </c>
      <c r="Q18" s="329">
        <v>0.56747053884619825</v>
      </c>
    </row>
    <row r="19" spans="1:17" ht="15.6" customHeight="1" x14ac:dyDescent="0.2">
      <c r="A19" s="562"/>
      <c r="B19" s="90" t="s">
        <v>139</v>
      </c>
      <c r="C19" s="71">
        <v>2390110.2800000003</v>
      </c>
      <c r="D19" s="71">
        <v>2265861.06</v>
      </c>
      <c r="E19" s="71">
        <v>1822628.02</v>
      </c>
      <c r="F19" s="71">
        <v>2108207.4899999998</v>
      </c>
      <c r="G19" s="71">
        <v>2096556</v>
      </c>
      <c r="H19" s="71">
        <v>2078800.32</v>
      </c>
      <c r="I19" s="71">
        <v>1985484.7000000014</v>
      </c>
      <c r="J19" s="71"/>
      <c r="K19" s="71"/>
      <c r="L19" s="71"/>
      <c r="M19" s="71"/>
      <c r="N19" s="71"/>
      <c r="O19" s="72">
        <v>14747647.870000001</v>
      </c>
      <c r="P19" s="72">
        <v>26310826</v>
      </c>
      <c r="Q19" s="329">
        <v>0.56051633916776311</v>
      </c>
    </row>
    <row r="20" spans="1:17" x14ac:dyDescent="0.2">
      <c r="A20" s="562"/>
      <c r="B20" s="90" t="s">
        <v>140</v>
      </c>
      <c r="C20" s="71">
        <v>2235210.87</v>
      </c>
      <c r="D20" s="71">
        <v>2500157.79</v>
      </c>
      <c r="E20" s="71">
        <v>2168492.67</v>
      </c>
      <c r="F20" s="71">
        <v>1827065.49</v>
      </c>
      <c r="G20" s="71">
        <v>2300753.25</v>
      </c>
      <c r="H20" s="71">
        <v>2025140.04</v>
      </c>
      <c r="I20" s="71">
        <v>2282423.21</v>
      </c>
      <c r="J20" s="71"/>
      <c r="K20" s="71"/>
      <c r="L20" s="71"/>
      <c r="M20" s="71"/>
      <c r="N20" s="71"/>
      <c r="O20" s="72">
        <v>15339243.32</v>
      </c>
      <c r="P20" s="72">
        <v>25395403.71884229</v>
      </c>
      <c r="Q20" s="329">
        <v>0.60401651770627085</v>
      </c>
    </row>
    <row r="21" spans="1:17" ht="32.25" thickBot="1" x14ac:dyDescent="0.25">
      <c r="A21" s="562"/>
      <c r="B21" s="90" t="s">
        <v>251</v>
      </c>
      <c r="C21" s="71">
        <v>0</v>
      </c>
      <c r="D21" s="71">
        <v>386506.23</v>
      </c>
      <c r="E21" s="71">
        <v>406319.56000000006</v>
      </c>
      <c r="F21" s="71">
        <v>394453.78</v>
      </c>
      <c r="G21" s="71">
        <v>391372.94</v>
      </c>
      <c r="H21" s="71">
        <v>408039.66000000003</v>
      </c>
      <c r="I21" s="71">
        <v>382900.20999999985</v>
      </c>
      <c r="J21" s="71"/>
      <c r="K21" s="71"/>
      <c r="L21" s="71"/>
      <c r="M21" s="71"/>
      <c r="N21" s="71"/>
      <c r="O21" s="72">
        <v>2369592.38</v>
      </c>
      <c r="P21" s="72">
        <v>4607793</v>
      </c>
      <c r="Q21" s="329">
        <v>0.51425755887905555</v>
      </c>
    </row>
    <row r="22" spans="1:17" ht="15.6" customHeight="1" thickBot="1" x14ac:dyDescent="0.25">
      <c r="A22" s="563"/>
      <c r="B22" s="92" t="s">
        <v>156</v>
      </c>
      <c r="C22" s="73">
        <v>36374968.439999998</v>
      </c>
      <c r="D22" s="73">
        <v>42834043.929999992</v>
      </c>
      <c r="E22" s="73">
        <v>49874993.589999989</v>
      </c>
      <c r="F22" s="73">
        <v>40797654.289999962</v>
      </c>
      <c r="G22" s="73">
        <v>37879612.610000044</v>
      </c>
      <c r="H22" s="73">
        <v>36466650.00999999</v>
      </c>
      <c r="I22" s="73">
        <v>46834050.309999958</v>
      </c>
      <c r="J22" s="73"/>
      <c r="K22" s="73"/>
      <c r="L22" s="73"/>
      <c r="M22" s="73"/>
      <c r="N22" s="73"/>
      <c r="O22" s="74">
        <v>291061973.17999995</v>
      </c>
      <c r="P22" s="74">
        <v>480422123.71884227</v>
      </c>
      <c r="Q22" s="330">
        <v>0.60584631475118811</v>
      </c>
    </row>
    <row r="23" spans="1:17" ht="16.5" thickBot="1" x14ac:dyDescent="0.25">
      <c r="A23" s="404"/>
      <c r="B23" s="96" t="s">
        <v>100</v>
      </c>
      <c r="C23" s="383">
        <v>4</v>
      </c>
      <c r="D23" s="383">
        <v>5</v>
      </c>
      <c r="E23" s="383">
        <v>4</v>
      </c>
      <c r="F23" s="383">
        <v>5</v>
      </c>
      <c r="G23" s="383">
        <v>4</v>
      </c>
      <c r="H23" s="383">
        <v>4</v>
      </c>
      <c r="I23" s="383">
        <v>5</v>
      </c>
      <c r="J23" s="383">
        <v>4</v>
      </c>
      <c r="K23" s="383">
        <v>4</v>
      </c>
      <c r="L23" s="383">
        <v>4</v>
      </c>
      <c r="M23" s="383">
        <v>5</v>
      </c>
      <c r="N23" s="383">
        <v>4</v>
      </c>
      <c r="O23" s="384">
        <v>52</v>
      </c>
      <c r="P23" s="76"/>
      <c r="Q23" s="76"/>
    </row>
    <row r="24" spans="1:17" ht="16.5" thickBot="1" x14ac:dyDescent="0.25">
      <c r="A24" s="405"/>
      <c r="B24" s="92" t="s">
        <v>146</v>
      </c>
      <c r="C24" s="77">
        <v>9093742</v>
      </c>
      <c r="D24" s="77">
        <v>8566809</v>
      </c>
      <c r="E24" s="77">
        <v>12468748</v>
      </c>
      <c r="F24" s="77">
        <v>8159531</v>
      </c>
      <c r="G24" s="77">
        <v>9469903</v>
      </c>
      <c r="H24" s="77">
        <v>9116663</v>
      </c>
      <c r="I24" s="77">
        <v>9366810</v>
      </c>
      <c r="J24" s="77">
        <v>0</v>
      </c>
      <c r="K24" s="77">
        <v>0</v>
      </c>
      <c r="L24" s="77">
        <v>0</v>
      </c>
      <c r="M24" s="77">
        <v>0</v>
      </c>
      <c r="N24" s="77">
        <v>0</v>
      </c>
      <c r="O24" s="78">
        <v>5597346</v>
      </c>
      <c r="P24" s="78"/>
      <c r="Q24" s="78"/>
    </row>
    <row r="25" spans="1:17" ht="18.75" customHeight="1" x14ac:dyDescent="0.2">
      <c r="A25" s="401" t="s">
        <v>141</v>
      </c>
      <c r="B25" s="223" t="s">
        <v>142</v>
      </c>
      <c r="C25" s="365">
        <v>0</v>
      </c>
      <c r="D25" s="365">
        <v>595624.98</v>
      </c>
      <c r="E25" s="365">
        <v>0</v>
      </c>
      <c r="F25" s="365">
        <v>1191259.96</v>
      </c>
      <c r="G25" s="365">
        <v>595624.98</v>
      </c>
      <c r="H25" s="365">
        <v>595624.98</v>
      </c>
      <c r="I25" s="365">
        <v>595624.98</v>
      </c>
      <c r="J25" s="365"/>
      <c r="K25" s="365"/>
      <c r="L25" s="365"/>
      <c r="M25" s="365"/>
      <c r="N25" s="365"/>
      <c r="O25" s="72">
        <v>3573759.88</v>
      </c>
      <c r="P25" s="377">
        <v>7919723</v>
      </c>
      <c r="Q25" s="329">
        <v>0.45124809036881719</v>
      </c>
    </row>
    <row r="26" spans="1:17" ht="18.75" customHeight="1" x14ac:dyDescent="0.2">
      <c r="A26" s="402"/>
      <c r="B26" s="363" t="s">
        <v>143</v>
      </c>
      <c r="C26" s="365">
        <v>0</v>
      </c>
      <c r="D26" s="365">
        <v>574216.81999999995</v>
      </c>
      <c r="E26" s="365">
        <v>0</v>
      </c>
      <c r="F26" s="365">
        <v>1148793.6399999999</v>
      </c>
      <c r="G26" s="365">
        <v>574216.81999999995</v>
      </c>
      <c r="H26" s="365">
        <v>574216.81999999995</v>
      </c>
      <c r="I26" s="365">
        <v>574216.82000000007</v>
      </c>
      <c r="J26" s="365"/>
      <c r="K26" s="365"/>
      <c r="L26" s="365"/>
      <c r="M26" s="365"/>
      <c r="N26" s="365"/>
      <c r="O26" s="72">
        <v>3445660.92</v>
      </c>
      <c r="P26" s="378">
        <v>6960460</v>
      </c>
      <c r="Q26" s="329">
        <v>0.49503350640618576</v>
      </c>
    </row>
    <row r="27" spans="1:17" ht="18.75" customHeight="1" thickBot="1" x14ac:dyDescent="0.25">
      <c r="A27" s="402"/>
      <c r="B27" s="364" t="s">
        <v>252</v>
      </c>
      <c r="C27" s="365">
        <v>0</v>
      </c>
      <c r="D27" s="365">
        <v>162017.41999999998</v>
      </c>
      <c r="E27" s="365">
        <v>0</v>
      </c>
      <c r="F27" s="365">
        <v>324034.83999999997</v>
      </c>
      <c r="G27" s="365">
        <v>162017.41999999998</v>
      </c>
      <c r="H27" s="365">
        <v>162017.41999999998</v>
      </c>
      <c r="I27" s="365">
        <v>162017.41999999998</v>
      </c>
      <c r="J27" s="365"/>
      <c r="K27" s="365"/>
      <c r="L27" s="365"/>
      <c r="M27" s="365"/>
      <c r="N27" s="365"/>
      <c r="O27" s="72">
        <v>972104.51999999979</v>
      </c>
      <c r="P27" s="379">
        <v>2252304.2811577097</v>
      </c>
      <c r="Q27" s="329">
        <v>0.43160443645754965</v>
      </c>
    </row>
    <row r="28" spans="1:17" ht="16.149999999999999" customHeight="1" thickBot="1" x14ac:dyDescent="0.25">
      <c r="A28" s="402"/>
      <c r="B28" s="92" t="s">
        <v>145</v>
      </c>
      <c r="C28" s="73">
        <v>0</v>
      </c>
      <c r="D28" s="73">
        <v>1331859.2199999997</v>
      </c>
      <c r="E28" s="73">
        <v>0</v>
      </c>
      <c r="F28" s="73">
        <v>2664088.4399999995</v>
      </c>
      <c r="G28" s="73">
        <v>1331859.2199999997</v>
      </c>
      <c r="H28" s="73">
        <v>1331859.2199999997</v>
      </c>
      <c r="I28" s="73">
        <v>1331859.22</v>
      </c>
      <c r="J28" s="73"/>
      <c r="K28" s="73"/>
      <c r="L28" s="73"/>
      <c r="M28" s="73"/>
      <c r="N28" s="73"/>
      <c r="O28" s="74">
        <v>7991525.3199999984</v>
      </c>
      <c r="P28" s="74">
        <v>17132487.28115771</v>
      </c>
      <c r="Q28" s="330">
        <v>0.46645447265494655</v>
      </c>
    </row>
    <row r="29" spans="1:17" ht="16.149999999999999" customHeight="1" thickBot="1" x14ac:dyDescent="0.25">
      <c r="A29" s="403"/>
      <c r="B29" s="92" t="s">
        <v>146</v>
      </c>
      <c r="C29" s="77">
        <v>0</v>
      </c>
      <c r="D29" s="77">
        <v>266372</v>
      </c>
      <c r="E29" s="77">
        <v>0</v>
      </c>
      <c r="F29" s="77">
        <v>532818</v>
      </c>
      <c r="G29" s="77">
        <v>332965</v>
      </c>
      <c r="H29" s="77">
        <v>332965</v>
      </c>
      <c r="I29" s="77">
        <v>266372</v>
      </c>
      <c r="J29" s="77"/>
      <c r="K29" s="77"/>
      <c r="L29" s="77"/>
      <c r="M29" s="77"/>
      <c r="N29" s="77"/>
      <c r="O29" s="78">
        <v>181625.58</v>
      </c>
      <c r="P29" s="78"/>
      <c r="Q29" s="78"/>
    </row>
    <row r="30" spans="1:17" x14ac:dyDescent="0.2">
      <c r="A30" s="366" t="s">
        <v>147</v>
      </c>
      <c r="B30" s="367"/>
      <c r="C30" s="368"/>
      <c r="D30" s="369"/>
      <c r="E30" s="370"/>
      <c r="F30" s="369"/>
      <c r="G30" s="370"/>
      <c r="H30" s="369"/>
      <c r="I30" s="370"/>
      <c r="J30" s="369"/>
      <c r="K30" s="369"/>
      <c r="L30" s="369"/>
      <c r="M30" s="369"/>
      <c r="N30" s="368"/>
      <c r="O30" s="368"/>
      <c r="P30" s="368"/>
      <c r="Q30" s="371"/>
    </row>
    <row r="31" spans="1:17" ht="16.5" customHeight="1" x14ac:dyDescent="0.2">
      <c r="A31" s="564" t="s">
        <v>320</v>
      </c>
      <c r="B31" s="565"/>
      <c r="C31" s="565"/>
      <c r="D31" s="565"/>
      <c r="E31" s="565"/>
      <c r="F31" s="565"/>
      <c r="G31" s="565"/>
      <c r="H31" s="565"/>
      <c r="I31" s="565"/>
      <c r="J31" s="565"/>
      <c r="K31" s="565"/>
      <c r="L31" s="565"/>
      <c r="M31" s="565"/>
      <c r="N31" s="565"/>
      <c r="O31" s="565"/>
      <c r="P31" s="565"/>
      <c r="Q31" s="566"/>
    </row>
    <row r="32" spans="1:17" ht="16.5" customHeight="1" x14ac:dyDescent="0.2">
      <c r="A32" s="567" t="s">
        <v>170</v>
      </c>
      <c r="B32" s="568"/>
      <c r="C32" s="568"/>
      <c r="D32" s="568"/>
      <c r="E32" s="568"/>
      <c r="F32" s="568"/>
      <c r="G32" s="568"/>
      <c r="H32" s="568"/>
      <c r="I32" s="568"/>
      <c r="J32" s="568"/>
      <c r="K32" s="568"/>
      <c r="L32" s="568"/>
      <c r="M32" s="568"/>
      <c r="N32" s="568"/>
      <c r="O32" s="568"/>
      <c r="P32" s="568"/>
      <c r="Q32" s="569"/>
    </row>
    <row r="33" spans="1:17" ht="16.5" customHeight="1" x14ac:dyDescent="0.2">
      <c r="A33" s="567" t="s">
        <v>321</v>
      </c>
      <c r="B33" s="568"/>
      <c r="C33" s="568"/>
      <c r="D33" s="568"/>
      <c r="E33" s="568"/>
      <c r="F33" s="568"/>
      <c r="G33" s="568"/>
      <c r="H33" s="568"/>
      <c r="I33" s="568"/>
      <c r="J33" s="568"/>
      <c r="K33" s="568"/>
      <c r="L33" s="568"/>
      <c r="M33" s="568"/>
      <c r="N33" s="568"/>
      <c r="O33" s="568"/>
      <c r="P33" s="568"/>
      <c r="Q33" s="569"/>
    </row>
    <row r="34" spans="1:17" ht="16.5" customHeight="1" x14ac:dyDescent="0.2">
      <c r="A34" s="555" t="s">
        <v>253</v>
      </c>
      <c r="B34" s="556"/>
      <c r="C34" s="556"/>
      <c r="D34" s="556"/>
      <c r="E34" s="556"/>
      <c r="F34" s="556"/>
      <c r="G34" s="556"/>
      <c r="H34" s="556"/>
      <c r="I34" s="556"/>
      <c r="J34" s="556"/>
      <c r="K34" s="556"/>
      <c r="L34" s="556"/>
      <c r="M34" s="556"/>
      <c r="N34" s="556"/>
      <c r="O34" s="556"/>
      <c r="P34" s="556"/>
      <c r="Q34" s="557"/>
    </row>
    <row r="35" spans="1:17" ht="16.5" customHeight="1" x14ac:dyDescent="0.2">
      <c r="A35" s="558" t="s">
        <v>322</v>
      </c>
      <c r="B35" s="559"/>
      <c r="C35" s="559"/>
      <c r="D35" s="559"/>
      <c r="E35" s="559"/>
      <c r="F35" s="559"/>
      <c r="G35" s="559"/>
      <c r="H35" s="559"/>
      <c r="I35" s="559"/>
      <c r="J35" s="559"/>
      <c r="K35" s="559"/>
      <c r="L35" s="559"/>
      <c r="M35" s="559"/>
      <c r="N35" s="559"/>
      <c r="O35" s="559"/>
      <c r="P35" s="559"/>
      <c r="Q35" s="560"/>
    </row>
    <row r="36" spans="1:17" ht="16.5" customHeight="1" thickBot="1" x14ac:dyDescent="0.25">
      <c r="A36" s="544" t="s">
        <v>331</v>
      </c>
      <c r="B36" s="545"/>
      <c r="C36" s="545"/>
      <c r="D36" s="545"/>
      <c r="E36" s="545"/>
      <c r="F36" s="545"/>
      <c r="G36" s="545"/>
      <c r="H36" s="545"/>
      <c r="I36" s="545"/>
      <c r="J36" s="545"/>
      <c r="K36" s="545"/>
      <c r="L36" s="545"/>
      <c r="M36" s="545"/>
      <c r="N36" s="545"/>
      <c r="O36" s="545"/>
      <c r="P36" s="545"/>
      <c r="Q36" s="546"/>
    </row>
  </sheetData>
  <mergeCells count="21">
    <mergeCell ref="A1:Q1"/>
    <mergeCell ref="P2:Q2"/>
    <mergeCell ref="P3:Q3"/>
    <mergeCell ref="P4:Q4"/>
    <mergeCell ref="P5:Q5"/>
    <mergeCell ref="A3:A8"/>
    <mergeCell ref="A36:Q36"/>
    <mergeCell ref="P6:Q6"/>
    <mergeCell ref="P7:Q7"/>
    <mergeCell ref="P8:Q8"/>
    <mergeCell ref="P13:Q13"/>
    <mergeCell ref="A34:Q34"/>
    <mergeCell ref="A35:Q35"/>
    <mergeCell ref="A9:A12"/>
    <mergeCell ref="A16:A22"/>
    <mergeCell ref="A23:A24"/>
    <mergeCell ref="A25:A29"/>
    <mergeCell ref="A31:Q31"/>
    <mergeCell ref="A32:Q32"/>
    <mergeCell ref="A33:Q33"/>
    <mergeCell ref="A14:Q14"/>
  </mergeCells>
  <printOptions horizontalCentered="1" gridLines="1"/>
  <pageMargins left="0.28999999999999998" right="0.28999999999999998" top="0.7" bottom="0.43" header="0.3" footer="0.27"/>
  <pageSetup scale="42"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34"/>
  <sheetViews>
    <sheetView view="pageBreakPreview" topLeftCell="D1" zoomScaleNormal="100" zoomScaleSheetLayoutView="100" workbookViewId="0">
      <selection activeCell="C4" sqref="C4"/>
    </sheetView>
  </sheetViews>
  <sheetFormatPr defaultColWidth="9.140625" defaultRowHeight="15.75" x14ac:dyDescent="0.25"/>
  <cols>
    <col min="1" max="1" width="32.85546875" style="10" customWidth="1"/>
    <col min="2" max="2" width="40.28515625" style="10" customWidth="1"/>
    <col min="3" max="3" width="34.42578125" style="10" customWidth="1"/>
    <col min="4" max="16384" width="9.140625" style="10"/>
  </cols>
  <sheetData>
    <row r="1" spans="1:3" x14ac:dyDescent="0.25">
      <c r="A1" s="492" t="s">
        <v>317</v>
      </c>
      <c r="B1" s="583"/>
      <c r="C1" s="584"/>
    </row>
    <row r="2" spans="1:3" ht="31.5" x14ac:dyDescent="0.25">
      <c r="A2" s="132"/>
      <c r="B2" s="8" t="s">
        <v>79</v>
      </c>
      <c r="C2" s="133" t="s">
        <v>45</v>
      </c>
    </row>
    <row r="3" spans="1:3" hidden="1" x14ac:dyDescent="0.25">
      <c r="A3" s="320">
        <v>39995</v>
      </c>
      <c r="B3" s="13">
        <v>1202915.42</v>
      </c>
      <c r="C3" s="321">
        <v>4155</v>
      </c>
    </row>
    <row r="4" spans="1:3" hidden="1" x14ac:dyDescent="0.25">
      <c r="A4" s="320">
        <v>40026</v>
      </c>
      <c r="B4" s="13">
        <v>857647.38</v>
      </c>
      <c r="C4" s="321">
        <v>3150</v>
      </c>
    </row>
    <row r="5" spans="1:3" hidden="1" x14ac:dyDescent="0.25">
      <c r="A5" s="320">
        <v>40057</v>
      </c>
      <c r="B5" s="13">
        <v>567423.17000000004</v>
      </c>
      <c r="C5" s="322">
        <v>3172</v>
      </c>
    </row>
    <row r="6" spans="1:3" hidden="1" x14ac:dyDescent="0.25">
      <c r="A6" s="320">
        <v>40087</v>
      </c>
      <c r="B6" s="13">
        <v>586124.01</v>
      </c>
      <c r="C6" s="322">
        <v>3172</v>
      </c>
    </row>
    <row r="7" spans="1:3" hidden="1" x14ac:dyDescent="0.25">
      <c r="A7" s="320">
        <v>40118</v>
      </c>
      <c r="B7" s="13">
        <v>675163.58</v>
      </c>
      <c r="C7" s="322">
        <v>3160</v>
      </c>
    </row>
    <row r="8" spans="1:3" hidden="1" x14ac:dyDescent="0.25">
      <c r="A8" s="320">
        <v>40148</v>
      </c>
      <c r="B8" s="13">
        <v>514901.26</v>
      </c>
      <c r="C8" s="322">
        <v>3175</v>
      </c>
    </row>
    <row r="9" spans="1:3" hidden="1" x14ac:dyDescent="0.25">
      <c r="A9" s="320">
        <v>40179</v>
      </c>
      <c r="B9" s="13">
        <v>617187.38</v>
      </c>
      <c r="C9" s="322">
        <v>3186</v>
      </c>
    </row>
    <row r="10" spans="1:3" hidden="1" x14ac:dyDescent="0.25">
      <c r="A10" s="320">
        <v>40210</v>
      </c>
      <c r="B10" s="13">
        <v>608261.57999999996</v>
      </c>
      <c r="C10" s="322">
        <v>3257</v>
      </c>
    </row>
    <row r="11" spans="1:3" hidden="1" x14ac:dyDescent="0.25">
      <c r="A11" s="320">
        <v>40238</v>
      </c>
      <c r="B11" s="13">
        <v>613887.02</v>
      </c>
      <c r="C11" s="322">
        <v>3349</v>
      </c>
    </row>
    <row r="12" spans="1:3" hidden="1" x14ac:dyDescent="0.25">
      <c r="A12" s="320">
        <v>40269</v>
      </c>
      <c r="B12" s="13">
        <v>590396.07999999996</v>
      </c>
      <c r="C12" s="322">
        <v>3390</v>
      </c>
    </row>
    <row r="13" spans="1:3" hidden="1" x14ac:dyDescent="0.25">
      <c r="A13" s="320">
        <v>40299</v>
      </c>
      <c r="B13" s="13">
        <v>739317.21</v>
      </c>
      <c r="C13" s="322">
        <v>3438</v>
      </c>
    </row>
    <row r="14" spans="1:3" hidden="1" x14ac:dyDescent="0.25">
      <c r="A14" s="320">
        <v>40330</v>
      </c>
      <c r="B14" s="13">
        <v>633411.6</v>
      </c>
      <c r="C14" s="322">
        <v>3479</v>
      </c>
    </row>
    <row r="15" spans="1:3" x14ac:dyDescent="0.25">
      <c r="A15" s="128" t="s">
        <v>3</v>
      </c>
      <c r="B15" s="13">
        <f>ROUND(52086.28,0)</f>
        <v>52086</v>
      </c>
      <c r="C15" s="323">
        <v>123</v>
      </c>
    </row>
    <row r="16" spans="1:3" x14ac:dyDescent="0.25">
      <c r="A16" s="128" t="s">
        <v>4</v>
      </c>
      <c r="B16" s="13">
        <f>ROUND(66508.54,0)</f>
        <v>66509</v>
      </c>
      <c r="C16" s="324">
        <v>120</v>
      </c>
    </row>
    <row r="17" spans="1:3" x14ac:dyDescent="0.25">
      <c r="A17" s="128" t="s">
        <v>5</v>
      </c>
      <c r="B17" s="13">
        <f>ROUND(34620.38,0)</f>
        <v>34620</v>
      </c>
      <c r="C17" s="324">
        <v>115</v>
      </c>
    </row>
    <row r="18" spans="1:3" x14ac:dyDescent="0.25">
      <c r="A18" s="128" t="s">
        <v>6</v>
      </c>
      <c r="B18" s="13">
        <v>30212</v>
      </c>
      <c r="C18" s="324">
        <v>109</v>
      </c>
    </row>
    <row r="19" spans="1:3" x14ac:dyDescent="0.25">
      <c r="A19" s="128" t="s">
        <v>7</v>
      </c>
      <c r="B19" s="13">
        <v>42825</v>
      </c>
      <c r="C19" s="324">
        <v>107</v>
      </c>
    </row>
    <row r="20" spans="1:3" x14ac:dyDescent="0.25">
      <c r="A20" s="128" t="s">
        <v>8</v>
      </c>
      <c r="B20" s="13">
        <f>ROUND(37701.36,0)</f>
        <v>37701</v>
      </c>
      <c r="C20" s="324">
        <v>91</v>
      </c>
    </row>
    <row r="21" spans="1:3" x14ac:dyDescent="0.25">
      <c r="A21" s="128" t="s">
        <v>9</v>
      </c>
      <c r="B21" s="13">
        <f>ROUND(39135.44,0)</f>
        <v>39135</v>
      </c>
      <c r="C21" s="322">
        <v>82</v>
      </c>
    </row>
    <row r="22" spans="1:3" x14ac:dyDescent="0.25">
      <c r="A22" s="128" t="s">
        <v>10</v>
      </c>
      <c r="B22" s="13"/>
      <c r="C22" s="322"/>
    </row>
    <row r="23" spans="1:3" x14ac:dyDescent="0.25">
      <c r="A23" s="128" t="s">
        <v>11</v>
      </c>
      <c r="B23" s="13"/>
      <c r="C23" s="322"/>
    </row>
    <row r="24" spans="1:3" x14ac:dyDescent="0.25">
      <c r="A24" s="128" t="s">
        <v>12</v>
      </c>
      <c r="B24" s="13"/>
      <c r="C24" s="322"/>
    </row>
    <row r="25" spans="1:3" x14ac:dyDescent="0.25">
      <c r="A25" s="128" t="s">
        <v>13</v>
      </c>
      <c r="B25" s="13"/>
      <c r="C25" s="322"/>
    </row>
    <row r="26" spans="1:3" x14ac:dyDescent="0.25">
      <c r="A26" s="130" t="s">
        <v>25</v>
      </c>
      <c r="B26" s="50"/>
      <c r="C26" s="325"/>
    </row>
    <row r="27" spans="1:3" x14ac:dyDescent="0.25">
      <c r="A27" s="135" t="s">
        <v>47</v>
      </c>
      <c r="B27" s="18">
        <f>SUM(B15:B26)</f>
        <v>303088</v>
      </c>
      <c r="C27" s="326">
        <f>IFERROR(ROUND(AVERAGE(C15:C26),0),0)</f>
        <v>107</v>
      </c>
    </row>
    <row r="28" spans="1:3" x14ac:dyDescent="0.25">
      <c r="A28" s="118" t="s">
        <v>35</v>
      </c>
      <c r="B28" s="13">
        <v>10000000</v>
      </c>
      <c r="C28" s="327"/>
    </row>
    <row r="29" spans="1:3" ht="16.5" thickBot="1" x14ac:dyDescent="0.3">
      <c r="A29" s="382" t="s">
        <v>23</v>
      </c>
      <c r="B29" s="18">
        <f>B28-B27</f>
        <v>9696912</v>
      </c>
      <c r="C29" s="328"/>
    </row>
    <row r="30" spans="1:3" x14ac:dyDescent="0.25">
      <c r="A30" s="498" t="s">
        <v>24</v>
      </c>
      <c r="B30" s="499"/>
      <c r="C30" s="500"/>
    </row>
    <row r="31" spans="1:3" ht="27" customHeight="1" x14ac:dyDescent="0.25">
      <c r="A31" s="585" t="s">
        <v>46</v>
      </c>
      <c r="B31" s="586"/>
      <c r="C31" s="587"/>
    </row>
    <row r="32" spans="1:3" ht="15" customHeight="1" thickBot="1" x14ac:dyDescent="0.3">
      <c r="A32" s="580" t="s">
        <v>125</v>
      </c>
      <c r="B32" s="581"/>
      <c r="C32" s="582"/>
    </row>
    <row r="33" spans="1:3" s="303" customFormat="1" ht="27" customHeight="1" thickBot="1" x14ac:dyDescent="0.3">
      <c r="A33" s="577" t="s">
        <v>324</v>
      </c>
      <c r="B33" s="578"/>
      <c r="C33" s="579"/>
    </row>
    <row r="34" spans="1:3" s="303" customFormat="1" ht="16.5" thickBot="1" x14ac:dyDescent="0.3">
      <c r="A34" s="577" t="s">
        <v>329</v>
      </c>
      <c r="B34" s="578"/>
      <c r="C34" s="579"/>
    </row>
  </sheetData>
  <mergeCells count="6">
    <mergeCell ref="A33:C33"/>
    <mergeCell ref="A32:C32"/>
    <mergeCell ref="A1:C1"/>
    <mergeCell ref="A30:C30"/>
    <mergeCell ref="A31:C31"/>
    <mergeCell ref="A34:C34"/>
  </mergeCells>
  <phoneticPr fontId="14" type="noConversion"/>
  <printOptions horizontalCentered="1" gridLines="1"/>
  <pageMargins left="0.28999999999999998" right="0.28999999999999998" top="0.7" bottom="0.43" header="0.3" footer="0.27"/>
  <pageSetup scale="105" firstPageNumber="8"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21"/>
  <sheetViews>
    <sheetView tabSelected="1" view="pageBreakPreview" zoomScaleNormal="100" zoomScaleSheetLayoutView="100" workbookViewId="0">
      <selection activeCell="C4" sqref="C4"/>
    </sheetView>
  </sheetViews>
  <sheetFormatPr defaultColWidth="9.140625" defaultRowHeight="15.75" x14ac:dyDescent="0.25"/>
  <cols>
    <col min="1" max="1" width="31.5703125" style="10" customWidth="1"/>
    <col min="2" max="2" width="42" style="10" customWidth="1"/>
    <col min="3" max="3" width="45" style="10" customWidth="1"/>
    <col min="4" max="4" width="9.140625" style="10"/>
    <col min="5" max="5" width="13.7109375" style="10" bestFit="1" customWidth="1"/>
    <col min="6" max="6" width="9.140625" style="10"/>
    <col min="7" max="7" width="9.28515625" style="10" bestFit="1" customWidth="1"/>
    <col min="8" max="16384" width="9.140625" style="10"/>
  </cols>
  <sheetData>
    <row r="1" spans="1:3" x14ac:dyDescent="0.25">
      <c r="A1" s="492" t="s">
        <v>318</v>
      </c>
      <c r="B1" s="583"/>
      <c r="C1" s="584"/>
    </row>
    <row r="2" spans="1:3" ht="31.5" x14ac:dyDescent="0.25">
      <c r="A2" s="132"/>
      <c r="B2" s="8" t="s">
        <v>79</v>
      </c>
      <c r="C2" s="133" t="s">
        <v>48</v>
      </c>
    </row>
    <row r="3" spans="1:3" x14ac:dyDescent="0.25">
      <c r="A3" s="128" t="s">
        <v>3</v>
      </c>
      <c r="B3" s="13">
        <f>ROUND(10410261.38,0)</f>
        <v>10410261</v>
      </c>
      <c r="C3" s="321">
        <f>74445-1105</f>
        <v>73340</v>
      </c>
    </row>
    <row r="4" spans="1:3" x14ac:dyDescent="0.25">
      <c r="A4" s="128" t="s">
        <v>4</v>
      </c>
      <c r="B4" s="13">
        <f>ROUND(10257066.83,0)</f>
        <v>10257067</v>
      </c>
      <c r="C4" s="321">
        <f>75288-1171</f>
        <v>74117</v>
      </c>
    </row>
    <row r="5" spans="1:3" x14ac:dyDescent="0.25">
      <c r="A5" s="128" t="s">
        <v>5</v>
      </c>
      <c r="B5" s="13">
        <v>10267131.23</v>
      </c>
      <c r="C5" s="322">
        <v>73665</v>
      </c>
    </row>
    <row r="6" spans="1:3" x14ac:dyDescent="0.25">
      <c r="A6" s="128" t="s">
        <v>6</v>
      </c>
      <c r="B6" s="13">
        <v>10375240.460000001</v>
      </c>
      <c r="C6" s="322">
        <f>75081-1195</f>
        <v>73886</v>
      </c>
    </row>
    <row r="7" spans="1:3" x14ac:dyDescent="0.25">
      <c r="A7" s="128" t="s">
        <v>7</v>
      </c>
      <c r="B7" s="13">
        <v>10312482.32</v>
      </c>
      <c r="C7" s="322">
        <f>76023-2258</f>
        <v>73765</v>
      </c>
    </row>
    <row r="8" spans="1:3" x14ac:dyDescent="0.25">
      <c r="A8" s="128" t="s">
        <v>8</v>
      </c>
      <c r="B8" s="13">
        <v>10486832.48</v>
      </c>
      <c r="C8" s="322">
        <v>58528</v>
      </c>
    </row>
    <row r="9" spans="1:3" x14ac:dyDescent="0.25">
      <c r="A9" s="128" t="s">
        <v>9</v>
      </c>
      <c r="B9" s="13">
        <v>10487574.449999999</v>
      </c>
      <c r="C9" s="322"/>
    </row>
    <row r="10" spans="1:3" x14ac:dyDescent="0.25">
      <c r="A10" s="128" t="s">
        <v>10</v>
      </c>
      <c r="B10" s="13"/>
      <c r="C10" s="322"/>
    </row>
    <row r="11" spans="1:3" x14ac:dyDescent="0.25">
      <c r="A11" s="128" t="s">
        <v>11</v>
      </c>
      <c r="B11" s="13"/>
      <c r="C11" s="322"/>
    </row>
    <row r="12" spans="1:3" x14ac:dyDescent="0.25">
      <c r="A12" s="128" t="s">
        <v>12</v>
      </c>
      <c r="B12" s="13"/>
      <c r="C12" s="322"/>
    </row>
    <row r="13" spans="1:3" x14ac:dyDescent="0.25">
      <c r="A13" s="128" t="s">
        <v>13</v>
      </c>
      <c r="B13" s="13"/>
      <c r="C13" s="321"/>
    </row>
    <row r="14" spans="1:3" x14ac:dyDescent="0.25">
      <c r="A14" s="130" t="s">
        <v>25</v>
      </c>
      <c r="B14" s="50"/>
      <c r="C14" s="325"/>
    </row>
    <row r="15" spans="1:3" x14ac:dyDescent="0.25">
      <c r="A15" s="135" t="s">
        <v>47</v>
      </c>
      <c r="B15" s="18">
        <f>SUM(B3:B14)</f>
        <v>72596588.939999998</v>
      </c>
      <c r="C15" s="326">
        <f>IFERROR(ROUND(AVERAGE(C3:C14),0),0)</f>
        <v>71217</v>
      </c>
    </row>
    <row r="16" spans="1:3" x14ac:dyDescent="0.25">
      <c r="A16" s="118" t="s">
        <v>35</v>
      </c>
      <c r="B16" s="230">
        <v>130667733</v>
      </c>
      <c r="C16" s="327">
        <v>76352</v>
      </c>
    </row>
    <row r="17" spans="1:3" ht="16.5" thickBot="1" x14ac:dyDescent="0.3">
      <c r="A17" s="382" t="s">
        <v>23</v>
      </c>
      <c r="B17" s="18">
        <f>B16-B15</f>
        <v>58071144.060000002</v>
      </c>
      <c r="C17" s="328"/>
    </row>
    <row r="18" spans="1:3" x14ac:dyDescent="0.25">
      <c r="A18" s="498" t="s">
        <v>24</v>
      </c>
      <c r="B18" s="499"/>
      <c r="C18" s="500"/>
    </row>
    <row r="19" spans="1:3" ht="39" customHeight="1" x14ac:dyDescent="0.25">
      <c r="A19" s="591" t="s">
        <v>151</v>
      </c>
      <c r="B19" s="592"/>
      <c r="C19" s="593"/>
    </row>
    <row r="20" spans="1:3" ht="24.75" customHeight="1" x14ac:dyDescent="0.25">
      <c r="A20" s="594" t="s">
        <v>152</v>
      </c>
      <c r="B20" s="595"/>
      <c r="C20" s="596"/>
    </row>
    <row r="21" spans="1:3" ht="16.5" thickBot="1" x14ac:dyDescent="0.3">
      <c r="A21" s="588" t="s">
        <v>117</v>
      </c>
      <c r="B21" s="589"/>
      <c r="C21" s="590"/>
    </row>
  </sheetData>
  <mergeCells count="5">
    <mergeCell ref="A21:C21"/>
    <mergeCell ref="A1:C1"/>
    <mergeCell ref="A18:C18"/>
    <mergeCell ref="A19:C19"/>
    <mergeCell ref="A20:C20"/>
  </mergeCells>
  <phoneticPr fontId="14" type="noConversion"/>
  <printOptions horizontalCentered="1" gridLines="1"/>
  <pageMargins left="0.28999999999999998" right="0.28999999999999998" top="0.7" bottom="0.43" header="0.3" footer="0.27"/>
  <pageSetup firstPageNumber="9"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21"/>
  <sheetViews>
    <sheetView workbookViewId="0"/>
  </sheetViews>
  <sheetFormatPr defaultColWidth="9.140625" defaultRowHeight="15.75" x14ac:dyDescent="0.25"/>
  <cols>
    <col min="1" max="1" width="15.7109375" style="12" bestFit="1" customWidth="1"/>
    <col min="2" max="3" width="9.140625" style="11"/>
    <col min="4" max="16384" width="9.140625" style="10"/>
  </cols>
  <sheetData>
    <row r="1" spans="1:3" x14ac:dyDescent="0.25">
      <c r="B1" s="11" t="s">
        <v>80</v>
      </c>
      <c r="C1" s="11" t="s">
        <v>81</v>
      </c>
    </row>
    <row r="2" spans="1:3" x14ac:dyDescent="0.25">
      <c r="A2" s="12">
        <v>39630</v>
      </c>
      <c r="B2" s="11" t="e">
        <f>#REF!</f>
        <v>#REF!</v>
      </c>
      <c r="C2" s="11" t="e">
        <f>'CBHP Caseload'!#REF!+'CBHP Caseload'!#REF!</f>
        <v>#REF!</v>
      </c>
    </row>
    <row r="3" spans="1:3" x14ac:dyDescent="0.25">
      <c r="A3" s="12">
        <v>39661</v>
      </c>
      <c r="B3" s="11" t="e">
        <f>#REF!</f>
        <v>#REF!</v>
      </c>
      <c r="C3" s="11" t="e">
        <f>'CBHP Caseload'!#REF!+'CBHP Caseload'!#REF!</f>
        <v>#REF!</v>
      </c>
    </row>
    <row r="4" spans="1:3" x14ac:dyDescent="0.25">
      <c r="A4" s="12">
        <v>39692</v>
      </c>
      <c r="B4" s="11" t="e">
        <f>#REF!</f>
        <v>#REF!</v>
      </c>
      <c r="C4" s="11" t="e">
        <f>'CBHP Caseload'!#REF!+'CBHP Caseload'!#REF!</f>
        <v>#REF!</v>
      </c>
    </row>
    <row r="5" spans="1:3" x14ac:dyDescent="0.25">
      <c r="A5" s="12">
        <v>39722</v>
      </c>
      <c r="B5" s="11" t="e">
        <f>#REF!</f>
        <v>#REF!</v>
      </c>
      <c r="C5" s="11" t="e">
        <f>'CBHP Caseload'!#REF!+'CBHP Caseload'!#REF!</f>
        <v>#REF!</v>
      </c>
    </row>
    <row r="6" spans="1:3" x14ac:dyDescent="0.25">
      <c r="A6" s="12">
        <v>39753</v>
      </c>
      <c r="B6" s="11" t="e">
        <f>#REF!</f>
        <v>#REF!</v>
      </c>
      <c r="C6" s="11" t="e">
        <f>'CBHP Caseload'!#REF!+'CBHP Caseload'!#REF!</f>
        <v>#REF!</v>
      </c>
    </row>
    <row r="7" spans="1:3" x14ac:dyDescent="0.25">
      <c r="A7" s="12">
        <v>39783</v>
      </c>
      <c r="B7" s="11" t="e">
        <f>#REF!</f>
        <v>#REF!</v>
      </c>
      <c r="C7" s="11" t="e">
        <f>'CBHP Caseload'!#REF!+'CBHP Caseload'!#REF!</f>
        <v>#REF!</v>
      </c>
    </row>
    <row r="8" spans="1:3" x14ac:dyDescent="0.25">
      <c r="A8" s="12">
        <v>39814</v>
      </c>
      <c r="B8" s="11" t="e">
        <f>#REF!</f>
        <v>#REF!</v>
      </c>
      <c r="C8" s="11" t="e">
        <f>'CBHP Caseload'!#REF!+'CBHP Caseload'!#REF!</f>
        <v>#REF!</v>
      </c>
    </row>
    <row r="9" spans="1:3" x14ac:dyDescent="0.25">
      <c r="A9" s="12">
        <v>39845</v>
      </c>
      <c r="B9" s="11" t="e">
        <f>#REF!</f>
        <v>#REF!</v>
      </c>
      <c r="C9" s="11" t="e">
        <f>'CBHP Caseload'!#REF!+'CBHP Caseload'!#REF!</f>
        <v>#REF!</v>
      </c>
    </row>
    <row r="10" spans="1:3" x14ac:dyDescent="0.25">
      <c r="A10" s="12">
        <v>39873</v>
      </c>
      <c r="B10" s="11" t="e">
        <f>#REF!</f>
        <v>#REF!</v>
      </c>
      <c r="C10" s="11" t="e">
        <f>'CBHP Caseload'!#REF!+'CBHP Caseload'!#REF!</f>
        <v>#REF!</v>
      </c>
    </row>
    <row r="11" spans="1:3" x14ac:dyDescent="0.25">
      <c r="A11" s="12">
        <v>39904</v>
      </c>
      <c r="B11" s="11" t="e">
        <f>#REF!</f>
        <v>#REF!</v>
      </c>
      <c r="C11" s="11" t="e">
        <f>'CBHP Caseload'!#REF!+'CBHP Caseload'!#REF!</f>
        <v>#REF!</v>
      </c>
    </row>
    <row r="12" spans="1:3" x14ac:dyDescent="0.25">
      <c r="A12" s="12">
        <v>39934</v>
      </c>
      <c r="B12" s="11" t="e">
        <f>#REF!</f>
        <v>#REF!</v>
      </c>
      <c r="C12" s="11" t="e">
        <f>'CBHP Caseload'!#REF!+'CBHP Caseload'!#REF!</f>
        <v>#REF!</v>
      </c>
    </row>
    <row r="13" spans="1:3" x14ac:dyDescent="0.25">
      <c r="A13" s="12">
        <v>39965</v>
      </c>
      <c r="B13" s="11" t="e">
        <f>#REF!</f>
        <v>#REF!</v>
      </c>
      <c r="C13" s="11" t="e">
        <f>'CBHP Caseload'!#REF!+'CBHP Caseload'!#REF!</f>
        <v>#REF!</v>
      </c>
    </row>
    <row r="14" spans="1:3" x14ac:dyDescent="0.25">
      <c r="A14" s="12">
        <v>39995</v>
      </c>
      <c r="B14" s="11" t="e">
        <f>#REF!</f>
        <v>#REF!</v>
      </c>
      <c r="C14" s="11">
        <f>'CBHP Caseload'!F16+'CBHP Caseload'!J16</f>
        <v>4458</v>
      </c>
    </row>
    <row r="15" spans="1:3" x14ac:dyDescent="0.25">
      <c r="A15" s="12">
        <v>40026</v>
      </c>
      <c r="B15" s="11" t="e">
        <f>#REF!</f>
        <v>#REF!</v>
      </c>
      <c r="C15" s="11">
        <f>'CBHP Caseload'!F17+'CBHP Caseload'!J17</f>
        <v>71057</v>
      </c>
    </row>
    <row r="16" spans="1:3" x14ac:dyDescent="0.25">
      <c r="A16" s="12">
        <v>40057</v>
      </c>
      <c r="B16" s="11" t="e">
        <f>#REF!</f>
        <v>#REF!</v>
      </c>
      <c r="C16" s="11">
        <f>'CBHP Caseload'!F18+'CBHP Caseload'!J18</f>
        <v>69973</v>
      </c>
    </row>
    <row r="17" spans="1:3" x14ac:dyDescent="0.25">
      <c r="A17" s="12">
        <v>40087</v>
      </c>
      <c r="B17" s="11" t="e">
        <f>#REF!</f>
        <v>#REF!</v>
      </c>
      <c r="C17" s="11">
        <f>'CBHP Caseload'!F19+'CBHP Caseload'!J19</f>
        <v>68488</v>
      </c>
    </row>
    <row r="18" spans="1:3" x14ac:dyDescent="0.25">
      <c r="A18" s="12">
        <v>40118</v>
      </c>
      <c r="B18" s="11" t="e">
        <f>#REF!</f>
        <v>#REF!</v>
      </c>
      <c r="C18" s="11">
        <f>'CBHP Caseload'!F20+'CBHP Caseload'!J20</f>
        <v>68047</v>
      </c>
    </row>
    <row r="19" spans="1:3" x14ac:dyDescent="0.25">
      <c r="A19" s="12">
        <v>40148</v>
      </c>
      <c r="B19" s="11" t="e">
        <f>#REF!</f>
        <v>#REF!</v>
      </c>
      <c r="C19" s="11">
        <f>'CBHP Caseload'!F21+'CBHP Caseload'!J21</f>
        <v>68278</v>
      </c>
    </row>
    <row r="20" spans="1:3" x14ac:dyDescent="0.25">
      <c r="A20" s="12">
        <v>40179</v>
      </c>
      <c r="B20" s="11" t="e">
        <f>#REF!</f>
        <v>#REF!</v>
      </c>
      <c r="C20" s="11">
        <f>'CBHP Caseload'!F22+'CBHP Caseload'!J22</f>
        <v>69221</v>
      </c>
    </row>
    <row r="21" spans="1:3" x14ac:dyDescent="0.25">
      <c r="A21" s="12">
        <v>40210</v>
      </c>
      <c r="B21" s="11" t="e">
        <f>#REF!</f>
        <v>#REF!</v>
      </c>
      <c r="C21" s="11">
        <f>'CBHP Caseload'!F23+'CBHP Caseload'!J23</f>
        <v>69655</v>
      </c>
    </row>
  </sheetData>
  <phoneticPr fontId="14"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2"/>
  <sheetViews>
    <sheetView view="pageBreakPreview" zoomScaleNormal="100" zoomScaleSheetLayoutView="100" workbookViewId="0">
      <selection activeCell="C4" sqref="C4"/>
    </sheetView>
  </sheetViews>
  <sheetFormatPr defaultColWidth="9.140625" defaultRowHeight="15.75" x14ac:dyDescent="0.25"/>
  <cols>
    <col min="1" max="1" width="7.7109375" style="1" customWidth="1"/>
    <col min="2" max="2" width="89" style="1" customWidth="1"/>
    <col min="3" max="3" width="21.42578125" style="9" bestFit="1" customWidth="1"/>
    <col min="4" max="16384" width="9.140625" style="9"/>
  </cols>
  <sheetData>
    <row r="1" spans="1:3" x14ac:dyDescent="0.25">
      <c r="A1" s="412"/>
      <c r="B1" s="412"/>
    </row>
    <row r="2" spans="1:3" s="88" customFormat="1" ht="16.5" thickBot="1" x14ac:dyDescent="0.25">
      <c r="A2" s="87"/>
      <c r="B2" s="87"/>
      <c r="C2" s="87"/>
    </row>
    <row r="3" spans="1:3" s="88" customFormat="1" ht="16.5" thickBot="1" x14ac:dyDescent="0.25">
      <c r="B3" s="413" t="s">
        <v>292</v>
      </c>
      <c r="C3" s="414"/>
    </row>
    <row r="4" spans="1:3" s="88" customFormat="1" x14ac:dyDescent="0.2">
      <c r="B4" s="39" t="s">
        <v>293</v>
      </c>
      <c r="C4" s="32">
        <v>6762815547</v>
      </c>
    </row>
    <row r="5" spans="1:3" s="88" customFormat="1" x14ac:dyDescent="0.2">
      <c r="B5" s="35" t="s">
        <v>295</v>
      </c>
      <c r="C5" s="32">
        <v>-29917</v>
      </c>
    </row>
    <row r="6" spans="1:3" s="88" customFormat="1" x14ac:dyDescent="0.2">
      <c r="B6" s="35" t="s">
        <v>294</v>
      </c>
      <c r="C6" s="32">
        <v>-215271</v>
      </c>
    </row>
    <row r="7" spans="1:3" s="88" customFormat="1" x14ac:dyDescent="0.2">
      <c r="B7" s="35" t="s">
        <v>296</v>
      </c>
      <c r="C7" s="32">
        <v>55694236</v>
      </c>
    </row>
    <row r="8" spans="1:3" s="88" customFormat="1" hidden="1" x14ac:dyDescent="0.2">
      <c r="B8" s="35"/>
      <c r="C8" s="32"/>
    </row>
    <row r="9" spans="1:3" s="88" customFormat="1" hidden="1" x14ac:dyDescent="0.2">
      <c r="B9" s="35"/>
      <c r="C9" s="32"/>
    </row>
    <row r="10" spans="1:3" s="88" customFormat="1" x14ac:dyDescent="0.2">
      <c r="B10" s="40" t="s">
        <v>297</v>
      </c>
      <c r="C10" s="189">
        <f>SUM(C4:C9)</f>
        <v>6818264595</v>
      </c>
    </row>
    <row r="11" spans="1:3" s="88" customFormat="1" ht="16.5" thickBot="1" x14ac:dyDescent="0.25">
      <c r="B11" s="49" t="s">
        <v>298</v>
      </c>
      <c r="C11" s="54">
        <f>'Premiums Expend'!O58</f>
        <v>3925199222</v>
      </c>
    </row>
    <row r="12" spans="1:3" s="88" customFormat="1" ht="17.25" thickTop="1" thickBot="1" x14ac:dyDescent="0.25">
      <c r="B12" s="236" t="s">
        <v>299</v>
      </c>
      <c r="C12" s="33">
        <f>C10-C11</f>
        <v>2893065373</v>
      </c>
    </row>
  </sheetData>
  <mergeCells count="2">
    <mergeCell ref="A1:B1"/>
    <mergeCell ref="B3:C3"/>
  </mergeCells>
  <phoneticPr fontId="14" type="noConversion"/>
  <printOptions horizontalCentered="1" gridLines="1"/>
  <pageMargins left="0.28999999999999998" right="0.28999999999999998" top="0.7" bottom="0.43" header="0.3" footer="0.27"/>
  <pageSetup scale="105" firstPageNumber="2"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
  <sheetViews>
    <sheetView view="pageBreakPreview" zoomScale="90" zoomScaleNormal="100" zoomScaleSheetLayoutView="90" workbookViewId="0">
      <selection activeCell="C4" sqref="C4"/>
    </sheetView>
  </sheetViews>
  <sheetFormatPr defaultColWidth="9.140625" defaultRowHeight="15.75" x14ac:dyDescent="0.2"/>
  <cols>
    <col min="1" max="1" width="12.140625" style="154" customWidth="1"/>
    <col min="2" max="2" width="36.42578125" style="154" bestFit="1" customWidth="1"/>
    <col min="3" max="4" width="15.28515625" style="154" bestFit="1" customWidth="1"/>
    <col min="5" max="5" width="17.42578125" style="154" customWidth="1"/>
    <col min="6" max="6" width="15.140625" style="154" customWidth="1"/>
    <col min="7" max="7" width="17.5703125" style="154" bestFit="1" customWidth="1"/>
    <col min="8" max="8" width="17.28515625" style="154" customWidth="1"/>
    <col min="9" max="9" width="14.85546875" style="154" customWidth="1"/>
    <col min="10" max="14" width="16.140625" style="154" customWidth="1"/>
    <col min="15" max="15" width="15.85546875" style="154" customWidth="1"/>
    <col min="16" max="16384" width="9.140625" style="154"/>
  </cols>
  <sheetData>
    <row r="1" spans="1:15" ht="16.5" thickBot="1" x14ac:dyDescent="0.25"/>
    <row r="2" spans="1:15" ht="16.5" thickBot="1" x14ac:dyDescent="0.25">
      <c r="A2" s="415" t="s">
        <v>306</v>
      </c>
      <c r="B2" s="416"/>
      <c r="C2" s="416"/>
      <c r="D2" s="416"/>
      <c r="E2" s="416"/>
      <c r="F2" s="416"/>
      <c r="G2" s="416"/>
      <c r="H2" s="416"/>
      <c r="I2" s="416"/>
      <c r="J2" s="416"/>
      <c r="K2" s="416"/>
      <c r="L2" s="416"/>
      <c r="M2" s="416"/>
      <c r="N2" s="416"/>
      <c r="O2" s="417"/>
    </row>
    <row r="3" spans="1:15" ht="31.5" customHeight="1" thickBot="1" x14ac:dyDescent="0.25">
      <c r="A3" s="155"/>
      <c r="B3" s="156" t="s">
        <v>49</v>
      </c>
      <c r="C3" s="220">
        <v>42552</v>
      </c>
      <c r="D3" s="221">
        <v>42583</v>
      </c>
      <c r="E3" s="221">
        <v>42614</v>
      </c>
      <c r="F3" s="221">
        <v>42644</v>
      </c>
      <c r="G3" s="221">
        <v>42675</v>
      </c>
      <c r="H3" s="221">
        <v>42705</v>
      </c>
      <c r="I3" s="221">
        <v>42736</v>
      </c>
      <c r="J3" s="221">
        <v>42767</v>
      </c>
      <c r="K3" s="221">
        <v>42795</v>
      </c>
      <c r="L3" s="221">
        <v>42826</v>
      </c>
      <c r="M3" s="221">
        <v>42856</v>
      </c>
      <c r="N3" s="221">
        <v>42887</v>
      </c>
      <c r="O3" s="157" t="s">
        <v>291</v>
      </c>
    </row>
    <row r="4" spans="1:15" ht="31.5" customHeight="1" x14ac:dyDescent="0.2">
      <c r="A4" s="418" t="s">
        <v>158</v>
      </c>
      <c r="B4" s="158" t="s">
        <v>166</v>
      </c>
      <c r="C4" s="159">
        <f>'[5]pivot and summary'!AB18</f>
        <v>15302827.999999994</v>
      </c>
      <c r="D4" s="160">
        <f>'[5]pivot and summary'!AC18</f>
        <v>15257831.000000007</v>
      </c>
      <c r="E4" s="161">
        <f>'[5]pivot and summary'!AD18</f>
        <v>-15620871</v>
      </c>
      <c r="F4" s="161">
        <f>'[5]pivot and summary'!AE18</f>
        <v>16372420.000000011</v>
      </c>
      <c r="G4" s="161">
        <f>'[5]pivot and summary'!AF18</f>
        <v>31834279.000000007</v>
      </c>
      <c r="H4" s="161">
        <f>'[5]pivot and summary'!AG18</f>
        <v>34594773.000000007</v>
      </c>
      <c r="I4" s="161">
        <f>'[5]pivot and summary'!AH18</f>
        <v>30454467.999999981</v>
      </c>
      <c r="J4" s="161"/>
      <c r="K4" s="161"/>
      <c r="L4" s="161"/>
      <c r="M4" s="161"/>
      <c r="N4" s="161"/>
      <c r="O4" s="162">
        <f>ROUND(SUM(C4:N4),0)</f>
        <v>128195728</v>
      </c>
    </row>
    <row r="5" spans="1:15" ht="31.5" customHeight="1" x14ac:dyDescent="0.2">
      <c r="A5" s="419"/>
      <c r="B5" s="158" t="s">
        <v>167</v>
      </c>
      <c r="C5" s="159">
        <f>'[5]pivot and summary'!AB19</f>
        <v>1757921</v>
      </c>
      <c r="D5" s="165">
        <f>'[5]pivot and summary'!AC19</f>
        <v>-574268</v>
      </c>
      <c r="E5" s="161">
        <f>'[5]pivot and summary'!AD19</f>
        <v>0</v>
      </c>
      <c r="F5" s="161">
        <f>'[5]pivot and summary'!AE19</f>
        <v>829401</v>
      </c>
      <c r="G5" s="161">
        <f>'[5]pivot and summary'!AF19</f>
        <v>0</v>
      </c>
      <c r="H5" s="161">
        <f>'[5]pivot and summary'!AG19</f>
        <v>-1181406</v>
      </c>
      <c r="I5" s="161">
        <f>'[5]pivot and summary'!AH19</f>
        <v>836606</v>
      </c>
      <c r="J5" s="161"/>
      <c r="K5" s="161"/>
      <c r="L5" s="161"/>
      <c r="M5" s="161"/>
      <c r="N5" s="161"/>
      <c r="O5" s="162">
        <f t="shared" ref="O5:O7" si="0">ROUND(SUM(C5:N5),0)</f>
        <v>1668254</v>
      </c>
    </row>
    <row r="6" spans="1:15" ht="31.5" customHeight="1" x14ac:dyDescent="0.2">
      <c r="A6" s="419"/>
      <c r="B6" s="163" t="s">
        <v>168</v>
      </c>
      <c r="C6" s="164">
        <f>'[5]pivot and summary'!AB20</f>
        <v>11559513.999999996</v>
      </c>
      <c r="D6" s="165">
        <f>'[5]pivot and summary'!AC20</f>
        <v>11559514.000000002</v>
      </c>
      <c r="E6" s="166">
        <f>'[5]pivot and summary'!AD20</f>
        <v>14233741.999999998</v>
      </c>
      <c r="F6" s="166">
        <f>'[5]pivot and summary'!AE20</f>
        <v>8401833.0000000037</v>
      </c>
      <c r="G6" s="166">
        <f>'[5]pivot and summary'!AF20</f>
        <v>7064718</v>
      </c>
      <c r="H6" s="166">
        <f>'[5]pivot and summary'!AG20</f>
        <v>8041039.9999999972</v>
      </c>
      <c r="I6" s="166">
        <f>'[5]pivot and summary'!AH20</f>
        <v>6576557</v>
      </c>
      <c r="J6" s="166"/>
      <c r="K6" s="166"/>
      <c r="L6" s="166"/>
      <c r="M6" s="166"/>
      <c r="N6" s="166"/>
      <c r="O6" s="167">
        <f t="shared" si="0"/>
        <v>67436918</v>
      </c>
    </row>
    <row r="7" spans="1:15" ht="31.5" customHeight="1" thickBot="1" x14ac:dyDescent="0.25">
      <c r="A7" s="419"/>
      <c r="B7" s="168" t="s">
        <v>169</v>
      </c>
      <c r="C7" s="169">
        <f>'[5]pivot and summary'!AB21</f>
        <v>33447454</v>
      </c>
      <c r="D7" s="170">
        <f>'[5]pivot and summary'!AC21</f>
        <v>33447454.000000011</v>
      </c>
      <c r="E7" s="171">
        <f>'[5]pivot and summary'!AD21</f>
        <v>39273875.999999993</v>
      </c>
      <c r="F7" s="171">
        <f>'[5]pivot and summary'!AE21</f>
        <v>21082173</v>
      </c>
      <c r="G7" s="171">
        <f>'[5]pivot and summary'!AF21</f>
        <v>18168960</v>
      </c>
      <c r="H7" s="171">
        <f>'[5]pivot and summary'!AG21</f>
        <v>18934992</v>
      </c>
      <c r="I7" s="171">
        <f>'[5]pivot and summary'!AH21</f>
        <v>17786247.000000004</v>
      </c>
      <c r="J7" s="171"/>
      <c r="K7" s="171"/>
      <c r="L7" s="171"/>
      <c r="M7" s="171"/>
      <c r="N7" s="171"/>
      <c r="O7" s="172">
        <f t="shared" si="0"/>
        <v>182141156</v>
      </c>
    </row>
    <row r="8" spans="1:15" ht="31.5" customHeight="1" thickTop="1" thickBot="1" x14ac:dyDescent="0.25">
      <c r="A8" s="420"/>
      <c r="B8" s="173" t="s">
        <v>159</v>
      </c>
      <c r="C8" s="174">
        <f t="shared" ref="C8:O8" si="1">SUM(C4:C7)</f>
        <v>62067716.999999985</v>
      </c>
      <c r="D8" s="174">
        <f t="shared" ref="D8" si="2">SUM(D4:D7)</f>
        <v>59690531.000000015</v>
      </c>
      <c r="E8" s="175">
        <f t="shared" ref="E8:F8" si="3">SUM(E4:E7)</f>
        <v>37886746.999999993</v>
      </c>
      <c r="F8" s="175">
        <f t="shared" si="3"/>
        <v>46685827.000000015</v>
      </c>
      <c r="G8" s="175">
        <f t="shared" ref="G8:H8" si="4">SUM(G4:G7)</f>
        <v>57067957.000000007</v>
      </c>
      <c r="H8" s="175">
        <f t="shared" si="4"/>
        <v>60389399.000000007</v>
      </c>
      <c r="I8" s="175">
        <f t="shared" ref="I8" si="5">SUM(I4:I7)</f>
        <v>55653877.999999985</v>
      </c>
      <c r="J8" s="174">
        <f>ROUND(SUM(J4:J7),0)</f>
        <v>0</v>
      </c>
      <c r="K8" s="174">
        <f>ROUND(SUM(K4:K7),0)</f>
        <v>0</v>
      </c>
      <c r="L8" s="174">
        <f>ROUNDDOWN(SUM(L4:L7),0)</f>
        <v>0</v>
      </c>
      <c r="M8" s="175">
        <f>ROUNDDOWN(SUM(M4:M7),0)</f>
        <v>0</v>
      </c>
      <c r="N8" s="175">
        <f>ROUNDDOWN(SUM(N4:N7),0)</f>
        <v>0</v>
      </c>
      <c r="O8" s="176">
        <f t="shared" si="1"/>
        <v>379442056</v>
      </c>
    </row>
    <row r="9" spans="1:15" ht="31.5" customHeight="1" x14ac:dyDescent="0.2">
      <c r="A9" s="419" t="s">
        <v>160</v>
      </c>
      <c r="B9" s="177" t="s">
        <v>330</v>
      </c>
      <c r="C9" s="159">
        <v>15108395.999999996</v>
      </c>
      <c r="D9" s="160">
        <v>8169159.3200000022</v>
      </c>
      <c r="E9" s="160">
        <v>22452654.000000004</v>
      </c>
      <c r="F9" s="160">
        <v>22985542</v>
      </c>
      <c r="G9" s="160">
        <v>16516757.000000002</v>
      </c>
      <c r="H9" s="160">
        <v>26344337.000000004</v>
      </c>
      <c r="I9" s="160">
        <v>12469647.000000002</v>
      </c>
      <c r="J9" s="160"/>
      <c r="K9" s="160"/>
      <c r="L9" s="160"/>
      <c r="M9" s="160"/>
      <c r="N9" s="160"/>
      <c r="O9" s="178">
        <f t="shared" ref="O9:O10" si="6">ROUND(SUM(C9:N9),0)</f>
        <v>124046492</v>
      </c>
    </row>
    <row r="10" spans="1:15" ht="31.5" customHeight="1" thickBot="1" x14ac:dyDescent="0.25">
      <c r="A10" s="419"/>
      <c r="B10" s="179" t="s">
        <v>287</v>
      </c>
      <c r="C10" s="169">
        <v>8125236.9999999981</v>
      </c>
      <c r="D10" s="170">
        <v>8125237</v>
      </c>
      <c r="E10" s="170">
        <v>10554600</v>
      </c>
      <c r="F10" s="170">
        <v>10838032</v>
      </c>
      <c r="G10" s="170">
        <v>9623347.0000000019</v>
      </c>
      <c r="H10" s="170">
        <v>11981721.000000002</v>
      </c>
      <c r="I10" s="170">
        <v>8444160.0000000019</v>
      </c>
      <c r="J10" s="170"/>
      <c r="K10" s="170"/>
      <c r="L10" s="170"/>
      <c r="M10" s="170"/>
      <c r="N10" s="170"/>
      <c r="O10" s="180">
        <f t="shared" si="6"/>
        <v>67692334</v>
      </c>
    </row>
    <row r="11" spans="1:15" ht="31.5" customHeight="1" thickTop="1" thickBot="1" x14ac:dyDescent="0.25">
      <c r="A11" s="419"/>
      <c r="B11" s="181" t="s">
        <v>161</v>
      </c>
      <c r="C11" s="182">
        <f t="shared" ref="C11:H11" si="7">SUM(C9:C10)</f>
        <v>23233632.999999993</v>
      </c>
      <c r="D11" s="183">
        <f t="shared" si="7"/>
        <v>16294396.320000002</v>
      </c>
      <c r="E11" s="183">
        <f t="shared" si="7"/>
        <v>33007254.000000004</v>
      </c>
      <c r="F11" s="183">
        <f t="shared" ref="F11" si="8">SUM(F9:F10)</f>
        <v>33823574</v>
      </c>
      <c r="G11" s="183">
        <f t="shared" si="7"/>
        <v>26140104.000000004</v>
      </c>
      <c r="H11" s="183">
        <f t="shared" si="7"/>
        <v>38326058.000000007</v>
      </c>
      <c r="I11" s="183">
        <f t="shared" ref="I11" si="9">SUM(I9:I10)</f>
        <v>20913807.000000004</v>
      </c>
      <c r="J11" s="183">
        <f t="shared" ref="J11:K11" si="10">SUM(J9:J10)</f>
        <v>0</v>
      </c>
      <c r="K11" s="183">
        <f t="shared" si="10"/>
        <v>0</v>
      </c>
      <c r="L11" s="183">
        <f t="shared" ref="L11" si="11">SUM(L9:L10)</f>
        <v>0</v>
      </c>
      <c r="M11" s="183">
        <f t="shared" ref="M11:N11" si="12">SUM(M9:M10)</f>
        <v>0</v>
      </c>
      <c r="N11" s="183">
        <f t="shared" si="12"/>
        <v>0</v>
      </c>
      <c r="O11" s="184">
        <f>ROUND(SUM(C11:N11),0)</f>
        <v>191738826</v>
      </c>
    </row>
    <row r="12" spans="1:15" ht="31.5" customHeight="1" thickBot="1" x14ac:dyDescent="0.25">
      <c r="A12" s="421" t="s">
        <v>162</v>
      </c>
      <c r="B12" s="422"/>
      <c r="C12" s="185">
        <f t="shared" ref="C12:H12" si="13">C11+C8</f>
        <v>85301349.99999997</v>
      </c>
      <c r="D12" s="186">
        <f t="shared" si="13"/>
        <v>75984927.320000023</v>
      </c>
      <c r="E12" s="186">
        <f t="shared" si="13"/>
        <v>70894001</v>
      </c>
      <c r="F12" s="186">
        <f t="shared" ref="F12" si="14">F11+F8</f>
        <v>80509401.000000015</v>
      </c>
      <c r="G12" s="186">
        <f t="shared" si="13"/>
        <v>83208061.000000015</v>
      </c>
      <c r="H12" s="186">
        <f t="shared" si="13"/>
        <v>98715457.000000015</v>
      </c>
      <c r="I12" s="186">
        <f t="shared" ref="I12" si="15">I11+I8</f>
        <v>76567684.999999985</v>
      </c>
      <c r="J12" s="187">
        <f>J11+J8</f>
        <v>0</v>
      </c>
      <c r="K12" s="187">
        <f>K11+K8</f>
        <v>0</v>
      </c>
      <c r="L12" s="187">
        <f>L11+L8</f>
        <v>0</v>
      </c>
      <c r="M12" s="186">
        <f>M11+M8</f>
        <v>0</v>
      </c>
      <c r="N12" s="186">
        <f>N11+N8</f>
        <v>0</v>
      </c>
      <c r="O12" s="188">
        <f>ROUND(SUM(C12:N12),0)</f>
        <v>571180882</v>
      </c>
    </row>
  </sheetData>
  <mergeCells count="4">
    <mergeCell ref="A2:O2"/>
    <mergeCell ref="A4:A8"/>
    <mergeCell ref="A9:A11"/>
    <mergeCell ref="A12:B12"/>
  </mergeCells>
  <printOptions horizontalCentered="1" gridLines="1"/>
  <pageMargins left="0.28999999999999998" right="0.28999999999999998" top="0.7" bottom="0.43" header="0.3" footer="0.27"/>
  <pageSetup scale="51"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117"/>
  <sheetViews>
    <sheetView workbookViewId="0"/>
  </sheetViews>
  <sheetFormatPr defaultColWidth="36.7109375" defaultRowHeight="15.75" x14ac:dyDescent="0.2"/>
  <cols>
    <col min="1" max="1" width="16.5703125" style="237" customWidth="1"/>
    <col min="2" max="2" width="19.140625" style="237" customWidth="1"/>
    <col min="3" max="3" width="13" style="237" customWidth="1"/>
    <col min="4" max="4" width="36.7109375" style="237"/>
    <col min="5" max="5" width="14.42578125" style="271" bestFit="1" customWidth="1"/>
    <col min="6" max="8" width="15.7109375" style="271" bestFit="1" customWidth="1"/>
    <col min="9" max="9" width="14.28515625" style="271" bestFit="1" customWidth="1"/>
    <col min="10" max="10" width="15.7109375" style="271" bestFit="1" customWidth="1"/>
    <col min="11" max="11" width="14.28515625" style="271" bestFit="1" customWidth="1"/>
    <col min="12" max="16" width="15.7109375" style="271" bestFit="1" customWidth="1"/>
    <col min="17" max="17" width="18.7109375" style="271" customWidth="1"/>
    <col min="18" max="16384" width="36.7109375" style="237"/>
  </cols>
  <sheetData>
    <row r="2" spans="2:18" ht="16.5" thickBot="1" x14ac:dyDescent="0.25">
      <c r="B2" s="423" t="s">
        <v>267</v>
      </c>
      <c r="C2" s="423"/>
      <c r="D2" s="423"/>
      <c r="E2" s="423"/>
      <c r="F2" s="423"/>
      <c r="G2" s="423"/>
      <c r="H2" s="423"/>
      <c r="I2" s="423"/>
      <c r="J2" s="423"/>
      <c r="K2" s="423"/>
      <c r="L2" s="423"/>
      <c r="M2" s="423"/>
      <c r="N2" s="423"/>
      <c r="O2" s="423"/>
      <c r="P2" s="423"/>
      <c r="Q2" s="423"/>
    </row>
    <row r="3" spans="2:18" ht="16.5" thickBot="1" x14ac:dyDescent="0.25">
      <c r="B3" s="238" t="s">
        <v>268</v>
      </c>
      <c r="C3" s="424" t="s">
        <v>49</v>
      </c>
      <c r="D3" s="425"/>
      <c r="E3" s="239">
        <v>41456</v>
      </c>
      <c r="F3" s="240">
        <v>41487</v>
      </c>
      <c r="G3" s="240">
        <v>41518</v>
      </c>
      <c r="H3" s="240">
        <v>41548</v>
      </c>
      <c r="I3" s="240">
        <v>41579</v>
      </c>
      <c r="J3" s="240">
        <v>41609</v>
      </c>
      <c r="K3" s="240">
        <v>41640</v>
      </c>
      <c r="L3" s="240">
        <v>41671</v>
      </c>
      <c r="M3" s="240">
        <v>41699</v>
      </c>
      <c r="N3" s="240">
        <v>41730</v>
      </c>
      <c r="O3" s="240">
        <v>41760</v>
      </c>
      <c r="P3" s="281">
        <v>41791</v>
      </c>
      <c r="Q3" s="272" t="s">
        <v>269</v>
      </c>
      <c r="R3" s="242"/>
    </row>
    <row r="4" spans="2:18" x14ac:dyDescent="0.2">
      <c r="B4" s="426" t="s">
        <v>270</v>
      </c>
      <c r="C4" s="429" t="s">
        <v>271</v>
      </c>
      <c r="D4" s="243" t="s">
        <v>50</v>
      </c>
      <c r="E4" s="244"/>
      <c r="F4" s="244"/>
      <c r="G4" s="244"/>
      <c r="H4" s="244"/>
      <c r="I4" s="244"/>
      <c r="J4" s="244"/>
      <c r="K4" s="244">
        <f>[6]Exhibit!K4</f>
        <v>4608875.58</v>
      </c>
      <c r="L4" s="244">
        <f>[6]Exhibit!L4</f>
        <v>8275700.4000000004</v>
      </c>
      <c r="M4" s="244">
        <f>[6]Exhibit!M4</f>
        <v>9576439.0700000022</v>
      </c>
      <c r="N4" s="244">
        <f>[6]Exhibit!N4</f>
        <v>12204044.729999999</v>
      </c>
      <c r="O4" s="244">
        <f>[6]Exhibit!O4</f>
        <v>9470911.6600000001</v>
      </c>
      <c r="P4" s="282">
        <f>[6]Exhibit!P4</f>
        <v>13799106.719999999</v>
      </c>
      <c r="Q4" s="273">
        <f>SUM(E4:P4)</f>
        <v>57935078.159999996</v>
      </c>
      <c r="R4" s="242" t="b">
        <f>Q4=[6]Exhibit!Q4</f>
        <v>1</v>
      </c>
    </row>
    <row r="5" spans="2:18" x14ac:dyDescent="0.2">
      <c r="B5" s="427"/>
      <c r="C5" s="430"/>
      <c r="D5" s="246" t="s">
        <v>272</v>
      </c>
      <c r="E5" s="247"/>
      <c r="F5" s="247"/>
      <c r="G5" s="247"/>
      <c r="H5" s="247"/>
      <c r="I5" s="247"/>
      <c r="J5" s="247"/>
      <c r="K5" s="247">
        <f>[6]Exhibit!K5</f>
        <v>1270.6199999999999</v>
      </c>
      <c r="L5" s="247">
        <f>[6]Exhibit!L5</f>
        <v>4689.99</v>
      </c>
      <c r="M5" s="247">
        <f>[6]Exhibit!M5</f>
        <v>11120.67</v>
      </c>
      <c r="N5" s="247">
        <f>[6]Exhibit!N5</f>
        <v>12772.1</v>
      </c>
      <c r="O5" s="247">
        <f>[6]Exhibit!O5</f>
        <v>7778.6</v>
      </c>
      <c r="P5" s="283">
        <f>[6]Exhibit!P5</f>
        <v>9347.32</v>
      </c>
      <c r="Q5" s="274">
        <f t="shared" ref="Q5:Q12" si="0">SUM(E5:P5)</f>
        <v>46979.299999999996</v>
      </c>
      <c r="R5" s="242" t="b">
        <f>Q5=[6]Exhibit!Q5</f>
        <v>1</v>
      </c>
    </row>
    <row r="6" spans="2:18" x14ac:dyDescent="0.2">
      <c r="B6" s="427"/>
      <c r="C6" s="430"/>
      <c r="D6" s="246" t="s">
        <v>70</v>
      </c>
      <c r="E6" s="247"/>
      <c r="F6" s="247"/>
      <c r="G6" s="247"/>
      <c r="H6" s="247"/>
      <c r="I6" s="247"/>
      <c r="J6" s="247"/>
      <c r="K6" s="247">
        <f>[6]Exhibit!K6</f>
        <v>0</v>
      </c>
      <c r="L6" s="247">
        <f>[6]Exhibit!L6</f>
        <v>0</v>
      </c>
      <c r="M6" s="247">
        <f>[6]Exhibit!M6</f>
        <v>0</v>
      </c>
      <c r="N6" s="247">
        <f>[6]Exhibit!N6</f>
        <v>0</v>
      </c>
      <c r="O6" s="247">
        <f>[6]Exhibit!O6</f>
        <v>0</v>
      </c>
      <c r="P6" s="283">
        <f>[6]Exhibit!P6</f>
        <v>0</v>
      </c>
      <c r="Q6" s="274">
        <f t="shared" si="0"/>
        <v>0</v>
      </c>
      <c r="R6" s="242" t="b">
        <f>Q6=[6]Exhibit!Q6</f>
        <v>1</v>
      </c>
    </row>
    <row r="7" spans="2:18" ht="16.5" thickBot="1" x14ac:dyDescent="0.25">
      <c r="B7" s="427"/>
      <c r="C7" s="430"/>
      <c r="D7" s="249" t="s">
        <v>273</v>
      </c>
      <c r="E7" s="250"/>
      <c r="F7" s="250"/>
      <c r="G7" s="250"/>
      <c r="H7" s="250"/>
      <c r="I7" s="250"/>
      <c r="J7" s="250"/>
      <c r="K7" s="250">
        <f>[6]Exhibit!K7</f>
        <v>323992.44</v>
      </c>
      <c r="L7" s="250">
        <f>[6]Exhibit!L7</f>
        <v>310333.81</v>
      </c>
      <c r="M7" s="250">
        <f>[6]Exhibit!M7</f>
        <v>334712.8</v>
      </c>
      <c r="N7" s="250">
        <f>[6]Exhibit!N7</f>
        <v>361267.98</v>
      </c>
      <c r="O7" s="250">
        <f>[6]Exhibit!O7</f>
        <v>361084.46</v>
      </c>
      <c r="P7" s="284">
        <f>[6]Exhibit!P7</f>
        <v>409296.9</v>
      </c>
      <c r="Q7" s="275">
        <f t="shared" si="0"/>
        <v>2100688.39</v>
      </c>
      <c r="R7" s="242" t="b">
        <f>Q7=[6]Exhibit!Q7</f>
        <v>1</v>
      </c>
    </row>
    <row r="8" spans="2:18" ht="17.25" hidden="1" thickTop="1" thickBot="1" x14ac:dyDescent="0.25">
      <c r="B8" s="427"/>
      <c r="C8" s="430"/>
      <c r="D8" s="252" t="s">
        <v>75</v>
      </c>
      <c r="E8" s="253"/>
      <c r="F8" s="253"/>
      <c r="G8" s="253"/>
      <c r="H8" s="253"/>
      <c r="I8" s="253"/>
      <c r="J8" s="253"/>
      <c r="K8" s="253">
        <v>0</v>
      </c>
      <c r="L8" s="253">
        <v>0</v>
      </c>
      <c r="M8" s="253">
        <v>0</v>
      </c>
      <c r="N8" s="253">
        <v>0</v>
      </c>
      <c r="O8" s="253">
        <v>0</v>
      </c>
      <c r="P8" s="285">
        <v>0</v>
      </c>
      <c r="Q8" s="276">
        <f t="shared" si="0"/>
        <v>0</v>
      </c>
      <c r="R8" s="242" t="b">
        <f>Q8=[6]Exhibit!Q8</f>
        <v>1</v>
      </c>
    </row>
    <row r="9" spans="2:18" ht="17.25" thickTop="1" thickBot="1" x14ac:dyDescent="0.25">
      <c r="B9" s="427"/>
      <c r="C9" s="431"/>
      <c r="D9" s="254" t="s">
        <v>274</v>
      </c>
      <c r="E9" s="255"/>
      <c r="F9" s="255"/>
      <c r="G9" s="255"/>
      <c r="H9" s="255"/>
      <c r="I9" s="255"/>
      <c r="J9" s="255"/>
      <c r="K9" s="255">
        <f t="shared" ref="K9:P9" si="1">SUM(K4:K8)</f>
        <v>4934138.6400000006</v>
      </c>
      <c r="L9" s="255">
        <f t="shared" si="1"/>
        <v>8590724.2000000011</v>
      </c>
      <c r="M9" s="255">
        <f t="shared" si="1"/>
        <v>9922272.5400000028</v>
      </c>
      <c r="N9" s="255">
        <f t="shared" si="1"/>
        <v>12578084.809999999</v>
      </c>
      <c r="O9" s="255">
        <f t="shared" si="1"/>
        <v>9839774.7200000007</v>
      </c>
      <c r="P9" s="286">
        <f t="shared" si="1"/>
        <v>14217750.939999999</v>
      </c>
      <c r="Q9" s="277">
        <f t="shared" si="0"/>
        <v>60082745.849999994</v>
      </c>
      <c r="R9" s="242" t="b">
        <f>Q9=[6]Exhibit!Q9</f>
        <v>1</v>
      </c>
    </row>
    <row r="10" spans="2:18" x14ac:dyDescent="0.2">
      <c r="B10" s="427"/>
      <c r="C10" s="432" t="s">
        <v>275</v>
      </c>
      <c r="D10" s="433"/>
      <c r="E10" s="256"/>
      <c r="F10" s="256"/>
      <c r="G10" s="256"/>
      <c r="H10" s="256"/>
      <c r="I10" s="256"/>
      <c r="J10" s="256"/>
      <c r="K10" s="247">
        <f>[6]Exhibit!K10</f>
        <v>0</v>
      </c>
      <c r="L10" s="256">
        <f>[6]Exhibit!L10</f>
        <v>0</v>
      </c>
      <c r="M10" s="256">
        <f>[6]Exhibit!M10</f>
        <v>0</v>
      </c>
      <c r="N10" s="256">
        <f>[6]Exhibit!N10</f>
        <v>0</v>
      </c>
      <c r="O10" s="256">
        <f>[6]Exhibit!O10</f>
        <v>0</v>
      </c>
      <c r="P10" s="287">
        <f>[6]Exhibit!P10</f>
        <v>0</v>
      </c>
      <c r="Q10" s="278">
        <f t="shared" si="0"/>
        <v>0</v>
      </c>
      <c r="R10" s="242" t="b">
        <f>Q10=[6]Exhibit!Q10</f>
        <v>1</v>
      </c>
    </row>
    <row r="11" spans="2:18" ht="16.5" thickBot="1" x14ac:dyDescent="0.25">
      <c r="B11" s="427"/>
      <c r="C11" s="434" t="s">
        <v>276</v>
      </c>
      <c r="D11" s="435"/>
      <c r="E11" s="250"/>
      <c r="F11" s="250"/>
      <c r="G11" s="250"/>
      <c r="H11" s="250"/>
      <c r="I11" s="250"/>
      <c r="J11" s="250"/>
      <c r="K11" s="250">
        <f>[6]Exhibit!K11</f>
        <v>0</v>
      </c>
      <c r="L11" s="250">
        <f>[6]Exhibit!L11</f>
        <v>0</v>
      </c>
      <c r="M11" s="250">
        <f>[6]Exhibit!M11</f>
        <v>394.5</v>
      </c>
      <c r="N11" s="250">
        <f>[6]Exhibit!N11</f>
        <v>0</v>
      </c>
      <c r="O11" s="250">
        <f>[6]Exhibit!O11</f>
        <v>0</v>
      </c>
      <c r="P11" s="284">
        <f>[6]Exhibit!P11</f>
        <v>52.28</v>
      </c>
      <c r="Q11" s="275">
        <f t="shared" si="0"/>
        <v>446.78</v>
      </c>
      <c r="R11" s="242" t="b">
        <f>Q11=[6]Exhibit!Q11</f>
        <v>1</v>
      </c>
    </row>
    <row r="12" spans="2:18" ht="16.5" thickTop="1" x14ac:dyDescent="0.2">
      <c r="B12" s="427"/>
      <c r="C12" s="432" t="s">
        <v>121</v>
      </c>
      <c r="D12" s="433"/>
      <c r="E12" s="258"/>
      <c r="F12" s="258"/>
      <c r="G12" s="258"/>
      <c r="H12" s="258"/>
      <c r="I12" s="258"/>
      <c r="J12" s="258"/>
      <c r="K12" s="258">
        <f t="shared" ref="K12:P12" si="2">K9+K10+K11</f>
        <v>4934138.6400000006</v>
      </c>
      <c r="L12" s="258">
        <f t="shared" si="2"/>
        <v>8590724.2000000011</v>
      </c>
      <c r="M12" s="258">
        <f t="shared" si="2"/>
        <v>9922667.0400000028</v>
      </c>
      <c r="N12" s="258">
        <f t="shared" si="2"/>
        <v>12578084.809999999</v>
      </c>
      <c r="O12" s="258">
        <f t="shared" si="2"/>
        <v>9839774.7200000007</v>
      </c>
      <c r="P12" s="288">
        <f t="shared" si="2"/>
        <v>14217803.219999999</v>
      </c>
      <c r="Q12" s="278">
        <f t="shared" si="0"/>
        <v>60083192.629999995</v>
      </c>
      <c r="R12" s="242" t="b">
        <f>Q12=[6]Exhibit!Q12</f>
        <v>1</v>
      </c>
    </row>
    <row r="13" spans="2:18" x14ac:dyDescent="0.2">
      <c r="B13" s="427"/>
      <c r="C13" s="436" t="s">
        <v>111</v>
      </c>
      <c r="D13" s="437"/>
      <c r="E13" s="259"/>
      <c r="F13" s="259"/>
      <c r="G13" s="259"/>
      <c r="H13" s="259"/>
      <c r="I13" s="259"/>
      <c r="J13" s="259"/>
      <c r="K13" s="259">
        <f>[6]Exhibit!K13</f>
        <v>38413</v>
      </c>
      <c r="L13" s="259">
        <f>[6]Exhibit!L13</f>
        <v>40465</v>
      </c>
      <c r="M13" s="259">
        <f>[6]Exhibit!M13</f>
        <v>44348</v>
      </c>
      <c r="N13" s="259">
        <f>[6]Exhibit!N13</f>
        <v>47215</v>
      </c>
      <c r="O13" s="259">
        <f>[6]Exhibit!O13</f>
        <v>48526</v>
      </c>
      <c r="P13" s="289">
        <f>[6]Exhibit!P13</f>
        <v>51279</v>
      </c>
      <c r="Q13" s="279">
        <f>AVERAGE(E13:P13)</f>
        <v>45041</v>
      </c>
      <c r="R13" s="242" t="b">
        <f>Q13=[6]Exhibit!Q13</f>
        <v>1</v>
      </c>
    </row>
    <row r="14" spans="2:18" ht="16.5" thickBot="1" x14ac:dyDescent="0.25">
      <c r="B14" s="428"/>
      <c r="C14" s="438" t="s">
        <v>277</v>
      </c>
      <c r="D14" s="439"/>
      <c r="E14" s="261"/>
      <c r="F14" s="262"/>
      <c r="G14" s="262"/>
      <c r="H14" s="262"/>
      <c r="I14" s="262"/>
      <c r="J14" s="262"/>
      <c r="K14" s="263">
        <f>[6]Exhibit!K14</f>
        <v>128.44970817171273</v>
      </c>
      <c r="L14" s="263">
        <f>[6]Exhibit!L14</f>
        <v>212.30011614975908</v>
      </c>
      <c r="M14" s="263">
        <f>[6]Exhibit!M14</f>
        <v>223.74553621358353</v>
      </c>
      <c r="N14" s="263">
        <f>[6]Exhibit!N14</f>
        <v>266.40018659324363</v>
      </c>
      <c r="O14" s="263">
        <f>[6]Exhibit!O14</f>
        <v>202.77324980422867</v>
      </c>
      <c r="P14" s="290">
        <f>[6]Exhibit!P14</f>
        <v>277.26365997776867</v>
      </c>
      <c r="Q14" s="292">
        <f t="shared" ref="Q14" si="3">Q12/Q13</f>
        <v>1333.96666659266</v>
      </c>
      <c r="R14" s="242" t="b">
        <f>Q14=[6]Exhibit!Q14</f>
        <v>1</v>
      </c>
    </row>
    <row r="15" spans="2:18" ht="15.75" customHeight="1" x14ac:dyDescent="0.2">
      <c r="B15" s="426" t="s">
        <v>131</v>
      </c>
      <c r="C15" s="429" t="s">
        <v>271</v>
      </c>
      <c r="D15" s="243" t="s">
        <v>50</v>
      </c>
      <c r="E15" s="244"/>
      <c r="F15" s="244"/>
      <c r="G15" s="244"/>
      <c r="H15" s="244"/>
      <c r="I15" s="244"/>
      <c r="J15" s="244"/>
      <c r="K15" s="244">
        <f>[6]Exhibit!K15</f>
        <v>11457167.18</v>
      </c>
      <c r="L15" s="244">
        <f>[6]Exhibit!L15</f>
        <v>31284953.710000005</v>
      </c>
      <c r="M15" s="244">
        <f>[6]Exhibit!M15</f>
        <v>42431585.569999993</v>
      </c>
      <c r="N15" s="244">
        <f>[6]Exhibit!N15</f>
        <v>61804746.140000001</v>
      </c>
      <c r="O15" s="244">
        <f>[6]Exhibit!O15</f>
        <v>50688450.969999999</v>
      </c>
      <c r="P15" s="282">
        <f>[6]Exhibit!P15</f>
        <v>72888903.719999984</v>
      </c>
      <c r="Q15" s="273">
        <f>SUM(E15:P15)</f>
        <v>270555807.28999996</v>
      </c>
      <c r="R15" s="242" t="b">
        <f>Q15=[6]Exhibit!Q15</f>
        <v>1</v>
      </c>
    </row>
    <row r="16" spans="2:18" x14ac:dyDescent="0.2">
      <c r="B16" s="427"/>
      <c r="C16" s="430"/>
      <c r="D16" s="246" t="s">
        <v>272</v>
      </c>
      <c r="E16" s="247"/>
      <c r="F16" s="247"/>
      <c r="G16" s="247"/>
      <c r="H16" s="247"/>
      <c r="I16" s="247"/>
      <c r="J16" s="247"/>
      <c r="K16" s="247">
        <f>[6]Exhibit!K16</f>
        <v>2922.01</v>
      </c>
      <c r="L16" s="247">
        <f>[6]Exhibit!L16</f>
        <v>117029.5</v>
      </c>
      <c r="M16" s="247">
        <f>[6]Exhibit!M16</f>
        <v>106569.28</v>
      </c>
      <c r="N16" s="247">
        <f>[6]Exhibit!N16</f>
        <v>244856.18000000002</v>
      </c>
      <c r="O16" s="247">
        <f>[6]Exhibit!O16</f>
        <v>185379.5</v>
      </c>
      <c r="P16" s="283">
        <f>[6]Exhibit!P16</f>
        <v>190215.86000000002</v>
      </c>
      <c r="Q16" s="274">
        <f t="shared" ref="Q16:Q23" si="4">SUM(E16:P16)</f>
        <v>846972.33</v>
      </c>
      <c r="R16" s="242" t="b">
        <f>Q16=[6]Exhibit!Q16</f>
        <v>1</v>
      </c>
    </row>
    <row r="17" spans="2:18" x14ac:dyDescent="0.2">
      <c r="B17" s="427"/>
      <c r="C17" s="430"/>
      <c r="D17" s="246" t="s">
        <v>70</v>
      </c>
      <c r="E17" s="247"/>
      <c r="F17" s="247"/>
      <c r="G17" s="247"/>
      <c r="H17" s="247"/>
      <c r="I17" s="247"/>
      <c r="J17" s="247"/>
      <c r="K17" s="247">
        <f>[6]Exhibit!K17</f>
        <v>19586.48</v>
      </c>
      <c r="L17" s="247">
        <f>[6]Exhibit!L17</f>
        <v>37637.730000000003</v>
      </c>
      <c r="M17" s="247">
        <f>[6]Exhibit!M17</f>
        <v>67601.39</v>
      </c>
      <c r="N17" s="247">
        <f>[6]Exhibit!N17</f>
        <v>107855.37</v>
      </c>
      <c r="O17" s="247">
        <f>[6]Exhibit!O17</f>
        <v>66138.33</v>
      </c>
      <c r="P17" s="283">
        <f>[6]Exhibit!P17</f>
        <v>109977.88</v>
      </c>
      <c r="Q17" s="274">
        <f t="shared" si="4"/>
        <v>408797.18</v>
      </c>
      <c r="R17" s="242" t="b">
        <f>Q17=[6]Exhibit!Q17</f>
        <v>1</v>
      </c>
    </row>
    <row r="18" spans="2:18" ht="16.5" thickBot="1" x14ac:dyDescent="0.25">
      <c r="B18" s="427"/>
      <c r="C18" s="430"/>
      <c r="D18" s="249" t="s">
        <v>273</v>
      </c>
      <c r="E18" s="250"/>
      <c r="F18" s="250"/>
      <c r="G18" s="250"/>
      <c r="H18" s="250"/>
      <c r="I18" s="250"/>
      <c r="J18" s="250"/>
      <c r="K18" s="250">
        <f>[6]Exhibit!K18</f>
        <v>662801.59</v>
      </c>
      <c r="L18" s="250">
        <f>[6]Exhibit!L18</f>
        <v>642036.63</v>
      </c>
      <c r="M18" s="250">
        <f>[6]Exhibit!M18</f>
        <v>616427.04</v>
      </c>
      <c r="N18" s="250">
        <f>[6]Exhibit!N18</f>
        <v>763576.75</v>
      </c>
      <c r="O18" s="250">
        <f>[6]Exhibit!O18</f>
        <v>925348.75</v>
      </c>
      <c r="P18" s="284">
        <f>[6]Exhibit!P18</f>
        <v>1137891.22</v>
      </c>
      <c r="Q18" s="275">
        <f t="shared" si="4"/>
        <v>4748081.9799999995</v>
      </c>
      <c r="R18" s="242" t="b">
        <f>Q18=[6]Exhibit!Q18</f>
        <v>1</v>
      </c>
    </row>
    <row r="19" spans="2:18" ht="17.25" hidden="1" thickTop="1" thickBot="1" x14ac:dyDescent="0.25">
      <c r="B19" s="427"/>
      <c r="C19" s="430"/>
      <c r="D19" s="252" t="s">
        <v>75</v>
      </c>
      <c r="E19" s="253"/>
      <c r="F19" s="253"/>
      <c r="G19" s="253"/>
      <c r="H19" s="253"/>
      <c r="I19" s="253"/>
      <c r="J19" s="253"/>
      <c r="K19" s="253">
        <v>0</v>
      </c>
      <c r="L19" s="253">
        <v>0</v>
      </c>
      <c r="M19" s="253">
        <v>0</v>
      </c>
      <c r="N19" s="253">
        <v>0</v>
      </c>
      <c r="O19" s="253">
        <v>0</v>
      </c>
      <c r="P19" s="285">
        <v>0</v>
      </c>
      <c r="Q19" s="276">
        <f t="shared" si="4"/>
        <v>0</v>
      </c>
      <c r="R19" s="242" t="b">
        <f>Q19=[6]Exhibit!Q19</f>
        <v>1</v>
      </c>
    </row>
    <row r="20" spans="2:18" ht="17.25" thickTop="1" thickBot="1" x14ac:dyDescent="0.25">
      <c r="B20" s="427"/>
      <c r="C20" s="431"/>
      <c r="D20" s="265" t="s">
        <v>274</v>
      </c>
      <c r="E20" s="266"/>
      <c r="F20" s="266"/>
      <c r="G20" s="266"/>
      <c r="H20" s="266"/>
      <c r="I20" s="266"/>
      <c r="J20" s="266"/>
      <c r="K20" s="255">
        <f t="shared" ref="K20:P20" si="5">SUM(K15:K19)</f>
        <v>12142477.26</v>
      </c>
      <c r="L20" s="255">
        <f t="shared" si="5"/>
        <v>32081657.570000004</v>
      </c>
      <c r="M20" s="255">
        <f t="shared" si="5"/>
        <v>43222183.279999994</v>
      </c>
      <c r="N20" s="255">
        <f t="shared" si="5"/>
        <v>62921034.439999998</v>
      </c>
      <c r="O20" s="255">
        <f t="shared" si="5"/>
        <v>51865317.549999997</v>
      </c>
      <c r="P20" s="286">
        <f t="shared" si="5"/>
        <v>74326988.679999977</v>
      </c>
      <c r="Q20" s="280">
        <f t="shared" si="4"/>
        <v>276559658.77999997</v>
      </c>
      <c r="R20" s="242" t="b">
        <f>Q20=[6]Exhibit!Q20</f>
        <v>1</v>
      </c>
    </row>
    <row r="21" spans="2:18" x14ac:dyDescent="0.2">
      <c r="B21" s="427"/>
      <c r="C21" s="432" t="s">
        <v>275</v>
      </c>
      <c r="D21" s="433"/>
      <c r="E21" s="256"/>
      <c r="F21" s="256"/>
      <c r="G21" s="256"/>
      <c r="H21" s="256"/>
      <c r="I21" s="256"/>
      <c r="J21" s="256"/>
      <c r="K21" s="247">
        <f>[6]Exhibit!K21</f>
        <v>0</v>
      </c>
      <c r="L21" s="256">
        <f>[6]Exhibit!L21</f>
        <v>0</v>
      </c>
      <c r="M21" s="256">
        <f>[6]Exhibit!M21</f>
        <v>0</v>
      </c>
      <c r="N21" s="256">
        <f>[6]Exhibit!N21</f>
        <v>0</v>
      </c>
      <c r="O21" s="256">
        <f>[6]Exhibit!O21</f>
        <v>0</v>
      </c>
      <c r="P21" s="287">
        <f>[6]Exhibit!P21</f>
        <v>0</v>
      </c>
      <c r="Q21" s="278">
        <f t="shared" si="4"/>
        <v>0</v>
      </c>
      <c r="R21" s="242" t="b">
        <f>Q21=[6]Exhibit!Q21</f>
        <v>1</v>
      </c>
    </row>
    <row r="22" spans="2:18" ht="16.5" thickBot="1" x14ac:dyDescent="0.25">
      <c r="B22" s="427"/>
      <c r="C22" s="434" t="s">
        <v>276</v>
      </c>
      <c r="D22" s="435"/>
      <c r="E22" s="250"/>
      <c r="F22" s="250"/>
      <c r="G22" s="250"/>
      <c r="H22" s="250"/>
      <c r="I22" s="250"/>
      <c r="J22" s="250"/>
      <c r="K22" s="250">
        <f>[6]Exhibit!K22</f>
        <v>4944.5200000000004</v>
      </c>
      <c r="L22" s="250">
        <f>[6]Exhibit!L22</f>
        <v>15261.19</v>
      </c>
      <c r="M22" s="250">
        <f>[6]Exhibit!M22</f>
        <v>29370.18</v>
      </c>
      <c r="N22" s="250">
        <f>[6]Exhibit!N22</f>
        <v>39866.51</v>
      </c>
      <c r="O22" s="250">
        <f>[6]Exhibit!O22</f>
        <v>72776.710000000006</v>
      </c>
      <c r="P22" s="284">
        <f>[6]Exhibit!P22</f>
        <v>97462.63</v>
      </c>
      <c r="Q22" s="275">
        <f t="shared" si="4"/>
        <v>259681.74</v>
      </c>
      <c r="R22" s="242" t="b">
        <f>Q22=[6]Exhibit!Q22</f>
        <v>1</v>
      </c>
    </row>
    <row r="23" spans="2:18" ht="16.5" thickTop="1" x14ac:dyDescent="0.2">
      <c r="B23" s="427"/>
      <c r="C23" s="432" t="s">
        <v>121</v>
      </c>
      <c r="D23" s="433"/>
      <c r="E23" s="258"/>
      <c r="F23" s="258"/>
      <c r="G23" s="258"/>
      <c r="H23" s="258"/>
      <c r="I23" s="258"/>
      <c r="J23" s="258"/>
      <c r="K23" s="258">
        <f t="shared" ref="K23:P23" si="6">K20+K21+K22</f>
        <v>12147421.779999999</v>
      </c>
      <c r="L23" s="258">
        <f t="shared" si="6"/>
        <v>32096918.760000005</v>
      </c>
      <c r="M23" s="258">
        <f t="shared" si="6"/>
        <v>43251553.459999993</v>
      </c>
      <c r="N23" s="258">
        <f t="shared" si="6"/>
        <v>62960900.949999996</v>
      </c>
      <c r="O23" s="258">
        <f t="shared" si="6"/>
        <v>51938094.259999998</v>
      </c>
      <c r="P23" s="288">
        <f t="shared" si="6"/>
        <v>74424451.309999973</v>
      </c>
      <c r="Q23" s="278">
        <f t="shared" si="4"/>
        <v>276819340.51999998</v>
      </c>
      <c r="R23" s="242" t="b">
        <f>Q23=[6]Exhibit!Q23</f>
        <v>1</v>
      </c>
    </row>
    <row r="24" spans="2:18" x14ac:dyDescent="0.2">
      <c r="B24" s="427"/>
      <c r="C24" s="436" t="s">
        <v>111</v>
      </c>
      <c r="D24" s="437"/>
      <c r="E24" s="259"/>
      <c r="F24" s="259"/>
      <c r="G24" s="259"/>
      <c r="H24" s="259"/>
      <c r="I24" s="259"/>
      <c r="J24" s="259"/>
      <c r="K24" s="259">
        <f>[6]Exhibit!K24</f>
        <v>75174</v>
      </c>
      <c r="L24" s="259">
        <f>[6]Exhibit!L24</f>
        <v>82124</v>
      </c>
      <c r="M24" s="259">
        <f>[6]Exhibit!M24</f>
        <v>91371</v>
      </c>
      <c r="N24" s="259">
        <f>[6]Exhibit!N24</f>
        <v>114290</v>
      </c>
      <c r="O24" s="259">
        <f>[6]Exhibit!O24</f>
        <v>126063</v>
      </c>
      <c r="P24" s="289">
        <f>[6]Exhibit!P24</f>
        <v>144174</v>
      </c>
      <c r="Q24" s="279">
        <f>AVERAGE(E24:P24)</f>
        <v>105532.66666666667</v>
      </c>
      <c r="R24" s="242" t="b">
        <f>Q24=[6]Exhibit!Q24</f>
        <v>1</v>
      </c>
    </row>
    <row r="25" spans="2:18" ht="16.5" thickBot="1" x14ac:dyDescent="0.25">
      <c r="B25" s="428"/>
      <c r="C25" s="438" t="s">
        <v>277</v>
      </c>
      <c r="D25" s="439"/>
      <c r="E25" s="261"/>
      <c r="F25" s="262"/>
      <c r="G25" s="262"/>
      <c r="H25" s="262"/>
      <c r="I25" s="262"/>
      <c r="J25" s="262"/>
      <c r="K25" s="263">
        <f>[6]Exhibit!K25</f>
        <v>161.59073323223453</v>
      </c>
      <c r="L25" s="263">
        <f>[6]Exhibit!L25</f>
        <v>390.83482002825002</v>
      </c>
      <c r="M25" s="263">
        <f>[6]Exhibit!M25</f>
        <v>473.36193606286452</v>
      </c>
      <c r="N25" s="263">
        <f>[6]Exhibit!N25</f>
        <v>550.8872250415609</v>
      </c>
      <c r="O25" s="263">
        <f>[6]Exhibit!O25</f>
        <v>412.00109675321067</v>
      </c>
      <c r="P25" s="290">
        <f>[6]Exhibit!P25</f>
        <v>516.21271040548208</v>
      </c>
      <c r="Q25" s="292">
        <f t="shared" ref="Q25" si="7">Q23/Q24</f>
        <v>2623.0678069981486</v>
      </c>
      <c r="R25" s="242" t="b">
        <f>Q25=[6]Exhibit!Q25</f>
        <v>1</v>
      </c>
    </row>
    <row r="26" spans="2:18" ht="15.75" customHeight="1" x14ac:dyDescent="0.2">
      <c r="B26" s="427" t="s">
        <v>278</v>
      </c>
      <c r="C26" s="429" t="s">
        <v>271</v>
      </c>
      <c r="D26" s="243" t="s">
        <v>50</v>
      </c>
      <c r="E26" s="244"/>
      <c r="F26" s="244"/>
      <c r="G26" s="244"/>
      <c r="H26" s="244"/>
      <c r="I26" s="244"/>
      <c r="J26" s="244"/>
      <c r="K26" s="244">
        <f>[6]Exhibit!K26</f>
        <v>16066042.76</v>
      </c>
      <c r="L26" s="244">
        <f>[6]Exhibit!L26</f>
        <v>39560654.110000007</v>
      </c>
      <c r="M26" s="244">
        <f>[6]Exhibit!M26</f>
        <v>52008024.639999993</v>
      </c>
      <c r="N26" s="244">
        <f>[6]Exhibit!N26</f>
        <v>74008790.870000005</v>
      </c>
      <c r="O26" s="244">
        <f>[6]Exhibit!O26</f>
        <v>60159362.629999995</v>
      </c>
      <c r="P26" s="282">
        <f>[6]Exhibit!P26</f>
        <v>86688010.439999983</v>
      </c>
      <c r="Q26" s="273">
        <f>SUM(E26:P26)</f>
        <v>328490885.44999999</v>
      </c>
      <c r="R26" s="242" t="b">
        <f>Q26=[6]Exhibit!Q26</f>
        <v>1</v>
      </c>
    </row>
    <row r="27" spans="2:18" x14ac:dyDescent="0.2">
      <c r="B27" s="427"/>
      <c r="C27" s="430"/>
      <c r="D27" s="246" t="s">
        <v>272</v>
      </c>
      <c r="E27" s="247"/>
      <c r="F27" s="247"/>
      <c r="G27" s="247"/>
      <c r="H27" s="247"/>
      <c r="I27" s="247"/>
      <c r="J27" s="247"/>
      <c r="K27" s="247">
        <f>[6]Exhibit!K27</f>
        <v>4192.63</v>
      </c>
      <c r="L27" s="247">
        <f>[6]Exhibit!L27</f>
        <v>121719.49</v>
      </c>
      <c r="M27" s="247">
        <f>[6]Exhibit!M27</f>
        <v>117689.95</v>
      </c>
      <c r="N27" s="247">
        <f>[6]Exhibit!N27</f>
        <v>257628.28000000003</v>
      </c>
      <c r="O27" s="247">
        <f>[6]Exhibit!O27</f>
        <v>193158.1</v>
      </c>
      <c r="P27" s="283">
        <f>[6]Exhibit!P27</f>
        <v>199563.18000000002</v>
      </c>
      <c r="Q27" s="274">
        <f t="shared" ref="Q27:Q34" si="8">SUM(E27:P27)</f>
        <v>893951.63000000012</v>
      </c>
      <c r="R27" s="242" t="b">
        <f>Q27=[6]Exhibit!Q27</f>
        <v>1</v>
      </c>
    </row>
    <row r="28" spans="2:18" x14ac:dyDescent="0.2">
      <c r="B28" s="427"/>
      <c r="C28" s="430"/>
      <c r="D28" s="246" t="s">
        <v>70</v>
      </c>
      <c r="E28" s="247"/>
      <c r="F28" s="247"/>
      <c r="G28" s="247"/>
      <c r="H28" s="247"/>
      <c r="I28" s="247"/>
      <c r="J28" s="247"/>
      <c r="K28" s="247">
        <f>[6]Exhibit!K28</f>
        <v>19586.48</v>
      </c>
      <c r="L28" s="247">
        <f>[6]Exhibit!L28</f>
        <v>37637.730000000003</v>
      </c>
      <c r="M28" s="247">
        <f>[6]Exhibit!M28</f>
        <v>67601.39</v>
      </c>
      <c r="N28" s="247">
        <f>[6]Exhibit!N28</f>
        <v>107855.37</v>
      </c>
      <c r="O28" s="247">
        <f>[6]Exhibit!O28</f>
        <v>66138.33</v>
      </c>
      <c r="P28" s="283">
        <f>[6]Exhibit!P28</f>
        <v>109977.88</v>
      </c>
      <c r="Q28" s="274">
        <f t="shared" si="8"/>
        <v>408797.18</v>
      </c>
      <c r="R28" s="242" t="b">
        <f>Q28=[6]Exhibit!Q28</f>
        <v>1</v>
      </c>
    </row>
    <row r="29" spans="2:18" ht="16.5" thickBot="1" x14ac:dyDescent="0.25">
      <c r="B29" s="427"/>
      <c r="C29" s="430"/>
      <c r="D29" s="249" t="s">
        <v>273</v>
      </c>
      <c r="E29" s="250"/>
      <c r="F29" s="250"/>
      <c r="G29" s="250"/>
      <c r="H29" s="250"/>
      <c r="I29" s="250"/>
      <c r="J29" s="250"/>
      <c r="K29" s="250">
        <f>[6]Exhibit!K29</f>
        <v>986794.03</v>
      </c>
      <c r="L29" s="250">
        <f>[6]Exhibit!L29</f>
        <v>952370.44</v>
      </c>
      <c r="M29" s="250">
        <f>[6]Exhibit!M29</f>
        <v>951139.84000000008</v>
      </c>
      <c r="N29" s="250">
        <f>[6]Exhibit!N29</f>
        <v>1124844.73</v>
      </c>
      <c r="O29" s="250">
        <f>[6]Exhibit!O29</f>
        <v>1286433.21</v>
      </c>
      <c r="P29" s="284">
        <f>[6]Exhibit!P29</f>
        <v>1547188.12</v>
      </c>
      <c r="Q29" s="275">
        <f t="shared" si="8"/>
        <v>6848770.3700000001</v>
      </c>
      <c r="R29" s="242" t="b">
        <f>Q29=[6]Exhibit!Q29</f>
        <v>1</v>
      </c>
    </row>
    <row r="30" spans="2:18" ht="17.25" hidden="1" thickTop="1" thickBot="1" x14ac:dyDescent="0.25">
      <c r="B30" s="427"/>
      <c r="C30" s="430"/>
      <c r="D30" s="252" t="s">
        <v>75</v>
      </c>
      <c r="E30" s="253"/>
      <c r="F30" s="253"/>
      <c r="G30" s="253"/>
      <c r="H30" s="253"/>
      <c r="I30" s="253"/>
      <c r="J30" s="253"/>
      <c r="K30" s="253">
        <v>0</v>
      </c>
      <c r="L30" s="253">
        <v>0</v>
      </c>
      <c r="M30" s="253">
        <v>0</v>
      </c>
      <c r="N30" s="253">
        <v>0</v>
      </c>
      <c r="O30" s="253">
        <v>0</v>
      </c>
      <c r="P30" s="285">
        <v>0</v>
      </c>
      <c r="Q30" s="276">
        <f t="shared" si="8"/>
        <v>0</v>
      </c>
      <c r="R30" s="242" t="b">
        <f>Q30=[6]Exhibit!Q30</f>
        <v>1</v>
      </c>
    </row>
    <row r="31" spans="2:18" ht="17.25" thickTop="1" thickBot="1" x14ac:dyDescent="0.25">
      <c r="B31" s="427"/>
      <c r="C31" s="431"/>
      <c r="D31" s="265" t="s">
        <v>274</v>
      </c>
      <c r="E31" s="266"/>
      <c r="F31" s="266"/>
      <c r="G31" s="266"/>
      <c r="H31" s="266"/>
      <c r="I31" s="266"/>
      <c r="J31" s="266"/>
      <c r="K31" s="255">
        <f t="shared" ref="K31:P31" si="9">SUM(K26:K30)</f>
        <v>17076615.900000002</v>
      </c>
      <c r="L31" s="255">
        <f t="shared" si="9"/>
        <v>40672381.770000003</v>
      </c>
      <c r="M31" s="255">
        <f t="shared" si="9"/>
        <v>53144455.82</v>
      </c>
      <c r="N31" s="255">
        <f t="shared" si="9"/>
        <v>75499119.250000015</v>
      </c>
      <c r="O31" s="255">
        <f t="shared" si="9"/>
        <v>61705092.269999996</v>
      </c>
      <c r="P31" s="286">
        <f t="shared" si="9"/>
        <v>88544739.61999999</v>
      </c>
      <c r="Q31" s="280">
        <f t="shared" si="8"/>
        <v>336642404.63</v>
      </c>
      <c r="R31" s="242" t="b">
        <f>Q31=[6]Exhibit!Q31</f>
        <v>1</v>
      </c>
    </row>
    <row r="32" spans="2:18" x14ac:dyDescent="0.2">
      <c r="B32" s="427"/>
      <c r="C32" s="432" t="s">
        <v>275</v>
      </c>
      <c r="D32" s="433"/>
      <c r="E32" s="256"/>
      <c r="F32" s="256"/>
      <c r="G32" s="256"/>
      <c r="H32" s="256"/>
      <c r="I32" s="256"/>
      <c r="J32" s="256"/>
      <c r="K32" s="247">
        <f>[6]Exhibit!K32</f>
        <v>0</v>
      </c>
      <c r="L32" s="256">
        <f>[6]Exhibit!L32</f>
        <v>0</v>
      </c>
      <c r="M32" s="256">
        <f>[6]Exhibit!M32</f>
        <v>0</v>
      </c>
      <c r="N32" s="256">
        <f>[6]Exhibit!N32</f>
        <v>0</v>
      </c>
      <c r="O32" s="256">
        <f>[6]Exhibit!O32</f>
        <v>0</v>
      </c>
      <c r="P32" s="287">
        <f>[6]Exhibit!P32</f>
        <v>0</v>
      </c>
      <c r="Q32" s="278">
        <f t="shared" si="8"/>
        <v>0</v>
      </c>
      <c r="R32" s="242" t="b">
        <f>Q32=[6]Exhibit!Q32</f>
        <v>1</v>
      </c>
    </row>
    <row r="33" spans="2:18" ht="16.5" thickBot="1" x14ac:dyDescent="0.25">
      <c r="B33" s="427"/>
      <c r="C33" s="434" t="s">
        <v>276</v>
      </c>
      <c r="D33" s="435"/>
      <c r="E33" s="250"/>
      <c r="F33" s="250"/>
      <c r="G33" s="250"/>
      <c r="H33" s="250"/>
      <c r="I33" s="250"/>
      <c r="J33" s="250"/>
      <c r="K33" s="250">
        <f>[6]Exhibit!K33</f>
        <v>4944.5200000000004</v>
      </c>
      <c r="L33" s="250">
        <f>[6]Exhibit!L33</f>
        <v>15261.19</v>
      </c>
      <c r="M33" s="250">
        <f>[6]Exhibit!M33</f>
        <v>29764.68</v>
      </c>
      <c r="N33" s="250">
        <f>[6]Exhibit!N33</f>
        <v>39866.51</v>
      </c>
      <c r="O33" s="250">
        <f>[6]Exhibit!O33</f>
        <v>72776.710000000006</v>
      </c>
      <c r="P33" s="284">
        <f>[6]Exhibit!P33</f>
        <v>97514.91</v>
      </c>
      <c r="Q33" s="275">
        <f t="shared" si="8"/>
        <v>260128.52</v>
      </c>
      <c r="R33" s="242" t="b">
        <f>Q33=[6]Exhibit!Q33</f>
        <v>1</v>
      </c>
    </row>
    <row r="34" spans="2:18" ht="16.5" thickTop="1" x14ac:dyDescent="0.2">
      <c r="B34" s="427"/>
      <c r="C34" s="432" t="s">
        <v>121</v>
      </c>
      <c r="D34" s="433"/>
      <c r="E34" s="258"/>
      <c r="F34" s="258"/>
      <c r="G34" s="258"/>
      <c r="H34" s="258"/>
      <c r="I34" s="258"/>
      <c r="J34" s="258"/>
      <c r="K34" s="258">
        <f t="shared" ref="K34:P34" si="10">K31+K32+K33</f>
        <v>17081560.420000002</v>
      </c>
      <c r="L34" s="258">
        <f t="shared" si="10"/>
        <v>40687642.960000001</v>
      </c>
      <c r="M34" s="258">
        <f t="shared" si="10"/>
        <v>53174220.5</v>
      </c>
      <c r="N34" s="258">
        <f t="shared" si="10"/>
        <v>75538985.76000002</v>
      </c>
      <c r="O34" s="258">
        <f t="shared" si="10"/>
        <v>61777868.979999997</v>
      </c>
      <c r="P34" s="288">
        <f t="shared" si="10"/>
        <v>88642254.529999986</v>
      </c>
      <c r="Q34" s="278">
        <f t="shared" si="8"/>
        <v>336902533.14999998</v>
      </c>
      <c r="R34" s="242" t="b">
        <f>Q34=[6]Exhibit!Q34</f>
        <v>1</v>
      </c>
    </row>
    <row r="35" spans="2:18" x14ac:dyDescent="0.2">
      <c r="B35" s="427"/>
      <c r="C35" s="436" t="s">
        <v>111</v>
      </c>
      <c r="D35" s="437"/>
      <c r="E35" s="259"/>
      <c r="F35" s="259"/>
      <c r="G35" s="259"/>
      <c r="H35" s="259"/>
      <c r="I35" s="259"/>
      <c r="J35" s="259"/>
      <c r="K35" s="259">
        <f>[6]Exhibit!K35</f>
        <v>113587</v>
      </c>
      <c r="L35" s="259">
        <f>[6]Exhibit!L35</f>
        <v>122589</v>
      </c>
      <c r="M35" s="259">
        <f>[6]Exhibit!M35</f>
        <v>135719</v>
      </c>
      <c r="N35" s="259">
        <f>[6]Exhibit!N35</f>
        <v>161505</v>
      </c>
      <c r="O35" s="259">
        <f>[6]Exhibit!O35</f>
        <v>174589</v>
      </c>
      <c r="P35" s="289">
        <f>[6]Exhibit!P35</f>
        <v>195453</v>
      </c>
      <c r="Q35" s="279">
        <f>AVERAGE(E35:P35)</f>
        <v>150573.66666666666</v>
      </c>
      <c r="R35" s="242" t="b">
        <f>Q35=[6]Exhibit!Q35</f>
        <v>1</v>
      </c>
    </row>
    <row r="36" spans="2:18" ht="16.5" thickBot="1" x14ac:dyDescent="0.25">
      <c r="B36" s="428"/>
      <c r="C36" s="438" t="s">
        <v>277</v>
      </c>
      <c r="D36" s="439"/>
      <c r="E36" s="261"/>
      <c r="F36" s="262"/>
      <c r="G36" s="262"/>
      <c r="H36" s="262"/>
      <c r="I36" s="262"/>
      <c r="J36" s="262"/>
      <c r="K36" s="263">
        <f>[6]Exhibit!K36</f>
        <v>150.38305809643711</v>
      </c>
      <c r="L36" s="263">
        <f>[6]Exhibit!L36</f>
        <v>331.90288655589001</v>
      </c>
      <c r="M36" s="263">
        <f>[6]Exhibit!M36</f>
        <v>391.79643601853832</v>
      </c>
      <c r="N36" s="263">
        <f>[6]Exhibit!N36</f>
        <v>467.71917748676526</v>
      </c>
      <c r="O36" s="263">
        <f>[6]Exhibit!O36</f>
        <v>353.84743013591918</v>
      </c>
      <c r="P36" s="290">
        <f>[6]Exhibit!P36</f>
        <v>453.52209753751532</v>
      </c>
      <c r="Q36" s="292">
        <f t="shared" ref="Q36" si="11">Q34/Q35</f>
        <v>2237.4598467859587</v>
      </c>
      <c r="R36" s="242" t="b">
        <f>Q36=[6]Exhibit!Q36</f>
        <v>1</v>
      </c>
    </row>
    <row r="37" spans="2:18" x14ac:dyDescent="0.2">
      <c r="B37" s="440" t="s">
        <v>24</v>
      </c>
      <c r="C37" s="440"/>
      <c r="D37" s="440"/>
      <c r="E37" s="440"/>
      <c r="F37" s="440"/>
      <c r="G37" s="440"/>
      <c r="H37" s="440"/>
      <c r="I37" s="440"/>
      <c r="J37" s="440"/>
      <c r="K37" s="440"/>
      <c r="L37" s="440"/>
      <c r="M37" s="440"/>
      <c r="N37" s="440"/>
      <c r="O37" s="440"/>
      <c r="P37" s="440"/>
      <c r="Q37" s="440"/>
    </row>
    <row r="38" spans="2:18" x14ac:dyDescent="0.2">
      <c r="B38" s="441" t="s">
        <v>279</v>
      </c>
      <c r="C38" s="441"/>
      <c r="D38" s="441"/>
      <c r="E38" s="441"/>
      <c r="F38" s="441"/>
      <c r="G38" s="441"/>
      <c r="H38" s="441"/>
      <c r="I38" s="441"/>
      <c r="J38" s="441"/>
      <c r="K38" s="441"/>
      <c r="L38" s="441"/>
      <c r="M38" s="441"/>
      <c r="N38" s="441"/>
      <c r="O38" s="441"/>
      <c r="P38" s="441"/>
      <c r="Q38" s="441"/>
    </row>
    <row r="39" spans="2:18" x14ac:dyDescent="0.2">
      <c r="B39" s="442" t="s">
        <v>284</v>
      </c>
      <c r="C39" s="442"/>
      <c r="D39" s="442"/>
      <c r="E39" s="442"/>
      <c r="F39" s="442"/>
      <c r="G39" s="442"/>
      <c r="H39" s="442"/>
      <c r="I39" s="442"/>
      <c r="J39" s="442"/>
      <c r="K39" s="442"/>
      <c r="L39" s="442"/>
      <c r="M39" s="442"/>
      <c r="N39" s="442"/>
      <c r="O39" s="442"/>
      <c r="P39" s="442"/>
      <c r="Q39" s="442"/>
    </row>
    <row r="41" spans="2:18" ht="16.5" thickBot="1" x14ac:dyDescent="0.25">
      <c r="B41" s="423" t="s">
        <v>281</v>
      </c>
      <c r="C41" s="423"/>
      <c r="D41" s="423"/>
      <c r="E41" s="423"/>
      <c r="F41" s="423"/>
      <c r="G41" s="423"/>
      <c r="H41" s="423"/>
      <c r="I41" s="423"/>
      <c r="J41" s="423"/>
      <c r="K41" s="423"/>
      <c r="L41" s="423"/>
      <c r="M41" s="423"/>
      <c r="N41" s="423"/>
      <c r="O41" s="423"/>
      <c r="P41" s="423"/>
      <c r="Q41" s="423"/>
    </row>
    <row r="42" spans="2:18" ht="16.5" thickBot="1" x14ac:dyDescent="0.25">
      <c r="B42" s="238" t="s">
        <v>268</v>
      </c>
      <c r="C42" s="424" t="s">
        <v>49</v>
      </c>
      <c r="D42" s="425"/>
      <c r="E42" s="239">
        <v>41821</v>
      </c>
      <c r="F42" s="240">
        <v>41852</v>
      </c>
      <c r="G42" s="240">
        <v>41883</v>
      </c>
      <c r="H42" s="240">
        <v>41913</v>
      </c>
      <c r="I42" s="240">
        <v>41944</v>
      </c>
      <c r="J42" s="240">
        <v>41974</v>
      </c>
      <c r="K42" s="240">
        <v>42005</v>
      </c>
      <c r="L42" s="240">
        <v>42036</v>
      </c>
      <c r="M42" s="240">
        <v>42064</v>
      </c>
      <c r="N42" s="240">
        <v>42095</v>
      </c>
      <c r="O42" s="240">
        <v>42125</v>
      </c>
      <c r="P42" s="281">
        <v>42156</v>
      </c>
      <c r="Q42" s="272" t="s">
        <v>282</v>
      </c>
    </row>
    <row r="43" spans="2:18" x14ac:dyDescent="0.2">
      <c r="B43" s="426" t="s">
        <v>270</v>
      </c>
      <c r="C43" s="429" t="s">
        <v>271</v>
      </c>
      <c r="D43" s="243" t="s">
        <v>50</v>
      </c>
      <c r="E43" s="244">
        <f>[6]Exhibit!E43</f>
        <v>10521204.800000001</v>
      </c>
      <c r="F43" s="244">
        <f>[6]Exhibit!F43</f>
        <v>11585142.010000002</v>
      </c>
      <c r="G43" s="244">
        <f>[6]Exhibit!G43</f>
        <v>15624406.999999998</v>
      </c>
      <c r="H43" s="244">
        <f>[6]Exhibit!H43</f>
        <v>12583815.389999999</v>
      </c>
      <c r="I43" s="244">
        <f>[6]Exhibit!I43</f>
        <v>14215137.32</v>
      </c>
      <c r="J43" s="244">
        <f>[6]Exhibit!J43</f>
        <v>16876867.440000001</v>
      </c>
      <c r="K43" s="244">
        <f>[6]Exhibit!K43</f>
        <v>14920688.179999998</v>
      </c>
      <c r="L43" s="244">
        <f>[6]Exhibit!L43</f>
        <v>16324691.770000001</v>
      </c>
      <c r="M43" s="244">
        <f>[6]Exhibit!M43</f>
        <v>19481027.319999997</v>
      </c>
      <c r="N43" s="244">
        <f>[6]Exhibit!N43</f>
        <v>14121506.749999998</v>
      </c>
      <c r="O43" s="244">
        <f>[6]Exhibit!O43</f>
        <v>10832232</v>
      </c>
      <c r="P43" s="282">
        <f>[6]Exhibit!P43</f>
        <v>8338166.6699999981</v>
      </c>
      <c r="Q43" s="273">
        <f>SUM(E43:P43)</f>
        <v>165424886.64999998</v>
      </c>
      <c r="R43" s="242" t="b">
        <f>Q43=[6]Exhibit!Q43</f>
        <v>1</v>
      </c>
    </row>
    <row r="44" spans="2:18" x14ac:dyDescent="0.2">
      <c r="B44" s="427"/>
      <c r="C44" s="430"/>
      <c r="D44" s="246" t="s">
        <v>272</v>
      </c>
      <c r="E44" s="247">
        <f>[6]Exhibit!E44</f>
        <v>23031.040000000001</v>
      </c>
      <c r="F44" s="247">
        <f>[6]Exhibit!F44</f>
        <v>17529.3</v>
      </c>
      <c r="G44" s="247">
        <f>[6]Exhibit!G44</f>
        <v>10896.75</v>
      </c>
      <c r="H44" s="247">
        <f>[6]Exhibit!H44</f>
        <v>8885.0499999999993</v>
      </c>
      <c r="I44" s="247">
        <f>[6]Exhibit!I44</f>
        <v>11632.64</v>
      </c>
      <c r="J44" s="247">
        <f>[6]Exhibit!J44</f>
        <v>39414.019999999997</v>
      </c>
      <c r="K44" s="247">
        <f>[6]Exhibit!K44</f>
        <v>18382.77</v>
      </c>
      <c r="L44" s="247">
        <f>[6]Exhibit!L44</f>
        <v>18988.990000000002</v>
      </c>
      <c r="M44" s="247">
        <f>[6]Exhibit!M44</f>
        <v>26793.01</v>
      </c>
      <c r="N44" s="247">
        <f>[6]Exhibit!N44</f>
        <v>13480.17</v>
      </c>
      <c r="O44" s="247">
        <f>[6]Exhibit!O44</f>
        <v>5047.38</v>
      </c>
      <c r="P44" s="283">
        <f>[6]Exhibit!P44</f>
        <v>3560.06</v>
      </c>
      <c r="Q44" s="274">
        <f t="shared" ref="Q44:Q51" si="12">SUM(E44:P44)</f>
        <v>197641.18000000002</v>
      </c>
      <c r="R44" s="242" t="b">
        <f>Q44=[6]Exhibit!Q44</f>
        <v>1</v>
      </c>
    </row>
    <row r="45" spans="2:18" x14ac:dyDescent="0.2">
      <c r="B45" s="427"/>
      <c r="C45" s="430"/>
      <c r="D45" s="246" t="s">
        <v>70</v>
      </c>
      <c r="E45" s="247">
        <f>[6]Exhibit!E45</f>
        <v>0</v>
      </c>
      <c r="F45" s="247">
        <f>[6]Exhibit!F45</f>
        <v>0</v>
      </c>
      <c r="G45" s="247">
        <f>[6]Exhibit!G45</f>
        <v>0</v>
      </c>
      <c r="H45" s="247">
        <f>[6]Exhibit!H45</f>
        <v>0</v>
      </c>
      <c r="I45" s="247">
        <f>[6]Exhibit!I45</f>
        <v>3208.66</v>
      </c>
      <c r="J45" s="247">
        <f>[6]Exhibit!J45</f>
        <v>3419.68</v>
      </c>
      <c r="K45" s="247">
        <f>[6]Exhibit!K45</f>
        <v>3208.66</v>
      </c>
      <c r="L45" s="247">
        <f>[6]Exhibit!L45</f>
        <v>1377.34</v>
      </c>
      <c r="M45" s="247">
        <f>[6]Exhibit!M45</f>
        <v>17303.490000000002</v>
      </c>
      <c r="N45" s="247">
        <f>[6]Exhibit!N45</f>
        <v>5343.75</v>
      </c>
      <c r="O45" s="247">
        <f>[6]Exhibit!O45</f>
        <v>6648.57</v>
      </c>
      <c r="P45" s="283">
        <f>[6]Exhibit!P45</f>
        <v>0</v>
      </c>
      <c r="Q45" s="274">
        <f t="shared" si="12"/>
        <v>40510.15</v>
      </c>
      <c r="R45" s="242" t="b">
        <f>Q45=[6]Exhibit!Q45</f>
        <v>1</v>
      </c>
    </row>
    <row r="46" spans="2:18" ht="16.5" thickBot="1" x14ac:dyDescent="0.25">
      <c r="B46" s="427"/>
      <c r="C46" s="430"/>
      <c r="D46" s="249" t="s">
        <v>273</v>
      </c>
      <c r="E46" s="250">
        <f>[6]Exhibit!E46</f>
        <v>446344.44</v>
      </c>
      <c r="F46" s="250">
        <f>[6]Exhibit!F46</f>
        <v>450337.01</v>
      </c>
      <c r="G46" s="250">
        <f>[6]Exhibit!G46</f>
        <v>524404.22</v>
      </c>
      <c r="H46" s="250">
        <f>[6]Exhibit!H46</f>
        <v>488971.95</v>
      </c>
      <c r="I46" s="250">
        <f>[6]Exhibit!I46</f>
        <v>500374.87</v>
      </c>
      <c r="J46" s="250">
        <f>[6]Exhibit!J46</f>
        <v>493332.96</v>
      </c>
      <c r="K46" s="250">
        <f>[6]Exhibit!K46</f>
        <v>482464.63</v>
      </c>
      <c r="L46" s="250">
        <f>[6]Exhibit!L46</f>
        <v>502387.01</v>
      </c>
      <c r="M46" s="250">
        <f>[6]Exhibit!M46</f>
        <v>519291.09</v>
      </c>
      <c r="N46" s="250">
        <f>[6]Exhibit!N46</f>
        <v>489246.82</v>
      </c>
      <c r="O46" s="250">
        <f>[6]Exhibit!O46</f>
        <v>380141.69</v>
      </c>
      <c r="P46" s="284">
        <f>[6]Exhibit!P46</f>
        <v>311797.59000000003</v>
      </c>
      <c r="Q46" s="275">
        <f t="shared" si="12"/>
        <v>5589094.2800000003</v>
      </c>
      <c r="R46" s="242" t="b">
        <f>Q46=[6]Exhibit!Q46</f>
        <v>1</v>
      </c>
    </row>
    <row r="47" spans="2:18" ht="17.25" hidden="1" customHeight="1" thickTop="1" thickBot="1" x14ac:dyDescent="0.25">
      <c r="B47" s="427"/>
      <c r="C47" s="430"/>
      <c r="D47" s="252" t="s">
        <v>75</v>
      </c>
      <c r="E47" s="253">
        <v>0</v>
      </c>
      <c r="F47" s="253">
        <v>0</v>
      </c>
      <c r="G47" s="253">
        <v>0</v>
      </c>
      <c r="H47" s="253">
        <v>0</v>
      </c>
      <c r="I47" s="253">
        <v>0</v>
      </c>
      <c r="J47" s="253">
        <v>0</v>
      </c>
      <c r="K47" s="253">
        <v>0</v>
      </c>
      <c r="L47" s="253">
        <v>0</v>
      </c>
      <c r="M47" s="253">
        <v>0</v>
      </c>
      <c r="N47" s="253">
        <v>0</v>
      </c>
      <c r="O47" s="253">
        <v>0</v>
      </c>
      <c r="P47" s="285">
        <v>0</v>
      </c>
      <c r="Q47" s="276">
        <f t="shared" si="12"/>
        <v>0</v>
      </c>
      <c r="R47" s="242" t="b">
        <f>Q47=[6]Exhibit!Q47</f>
        <v>1</v>
      </c>
    </row>
    <row r="48" spans="2:18" ht="17.25" thickTop="1" thickBot="1" x14ac:dyDescent="0.25">
      <c r="B48" s="427"/>
      <c r="C48" s="431"/>
      <c r="D48" s="265" t="s">
        <v>274</v>
      </c>
      <c r="E48" s="255">
        <f t="shared" ref="E48:P48" si="13">SUM(E43:E47)</f>
        <v>10990580.279999999</v>
      </c>
      <c r="F48" s="266">
        <f t="shared" si="13"/>
        <v>12053008.320000002</v>
      </c>
      <c r="G48" s="266">
        <f t="shared" si="13"/>
        <v>16159707.969999999</v>
      </c>
      <c r="H48" s="266">
        <f t="shared" si="13"/>
        <v>13081672.389999999</v>
      </c>
      <c r="I48" s="266">
        <f t="shared" si="13"/>
        <v>14730353.49</v>
      </c>
      <c r="J48" s="266">
        <f t="shared" si="13"/>
        <v>17413034.100000001</v>
      </c>
      <c r="K48" s="266">
        <f t="shared" si="13"/>
        <v>15424744.239999998</v>
      </c>
      <c r="L48" s="266">
        <f t="shared" si="13"/>
        <v>16847445.110000003</v>
      </c>
      <c r="M48" s="266">
        <f t="shared" si="13"/>
        <v>20044414.909999996</v>
      </c>
      <c r="N48" s="266">
        <f t="shared" si="13"/>
        <v>14629577.489999998</v>
      </c>
      <c r="O48" s="266">
        <f t="shared" si="13"/>
        <v>11224069.640000001</v>
      </c>
      <c r="P48" s="291">
        <f t="shared" si="13"/>
        <v>8653524.3199999984</v>
      </c>
      <c r="Q48" s="280">
        <f>SUM(E48:P48)</f>
        <v>171252132.25999999</v>
      </c>
      <c r="R48" s="242" t="b">
        <f>Q48=[6]Exhibit!Q48</f>
        <v>1</v>
      </c>
    </row>
    <row r="49" spans="2:18" x14ac:dyDescent="0.2">
      <c r="B49" s="427"/>
      <c r="C49" s="432" t="s">
        <v>275</v>
      </c>
      <c r="D49" s="433"/>
      <c r="E49" s="247">
        <f>[6]Exhibit!E49</f>
        <v>232727.94</v>
      </c>
      <c r="F49" s="256">
        <f>[6]Exhibit!F49</f>
        <v>132988.91</v>
      </c>
      <c r="G49" s="256">
        <f>[6]Exhibit!G49</f>
        <v>47831.03</v>
      </c>
      <c r="H49" s="256">
        <f>[6]Exhibit!H49</f>
        <v>0</v>
      </c>
      <c r="I49" s="256">
        <f>[6]Exhibit!I49</f>
        <v>0</v>
      </c>
      <c r="J49" s="256">
        <f>[6]Exhibit!J49</f>
        <v>0</v>
      </c>
      <c r="K49" s="256">
        <f>[6]Exhibit!K49</f>
        <v>0</v>
      </c>
      <c r="L49" s="256">
        <f>[6]Exhibit!L49</f>
        <v>0</v>
      </c>
      <c r="M49" s="256">
        <f>[6]Exhibit!M49</f>
        <v>-4241.03</v>
      </c>
      <c r="N49" s="256">
        <f>[6]Exhibit!N49</f>
        <v>0</v>
      </c>
      <c r="O49" s="256">
        <f>[6]Exhibit!O49</f>
        <v>0</v>
      </c>
      <c r="P49" s="287">
        <f>[6]Exhibit!P49</f>
        <v>-120.42</v>
      </c>
      <c r="Q49" s="278">
        <f t="shared" si="12"/>
        <v>409186.43</v>
      </c>
      <c r="R49" s="242" t="b">
        <f>Q49=[6]Exhibit!Q49</f>
        <v>1</v>
      </c>
    </row>
    <row r="50" spans="2:18" ht="16.5" thickBot="1" x14ac:dyDescent="0.25">
      <c r="B50" s="427"/>
      <c r="C50" s="434" t="s">
        <v>276</v>
      </c>
      <c r="D50" s="435"/>
      <c r="E50" s="250">
        <f>[6]Exhibit!E50</f>
        <v>360</v>
      </c>
      <c r="F50" s="250">
        <f>[6]Exhibit!F50</f>
        <v>0</v>
      </c>
      <c r="G50" s="250">
        <f>[6]Exhibit!G50</f>
        <v>4636.32</v>
      </c>
      <c r="H50" s="250">
        <f>[6]Exhibit!H50</f>
        <v>400</v>
      </c>
      <c r="I50" s="250">
        <f>[6]Exhibit!I50</f>
        <v>2434.16</v>
      </c>
      <c r="J50" s="250">
        <f>[6]Exhibit!J50</f>
        <v>4737.3599999999997</v>
      </c>
      <c r="K50" s="250">
        <f>[6]Exhibit!K50</f>
        <v>3463.2</v>
      </c>
      <c r="L50" s="250">
        <f>[6]Exhibit!L50</f>
        <v>2866.95</v>
      </c>
      <c r="M50" s="250">
        <f>[6]Exhibit!M50</f>
        <v>3411.72</v>
      </c>
      <c r="N50" s="250">
        <f>[6]Exhibit!N50</f>
        <v>3676.01</v>
      </c>
      <c r="O50" s="250">
        <f>[6]Exhibit!O50</f>
        <v>18270.759999999998</v>
      </c>
      <c r="P50" s="284">
        <f>[6]Exhibit!P50</f>
        <v>3199.88</v>
      </c>
      <c r="Q50" s="275">
        <f t="shared" si="12"/>
        <v>47456.359999999993</v>
      </c>
      <c r="R50" s="242" t="b">
        <f>Q50=[6]Exhibit!Q50</f>
        <v>1</v>
      </c>
    </row>
    <row r="51" spans="2:18" ht="16.5" thickTop="1" x14ac:dyDescent="0.2">
      <c r="B51" s="427"/>
      <c r="C51" s="432" t="s">
        <v>121</v>
      </c>
      <c r="D51" s="433"/>
      <c r="E51" s="258">
        <f t="shared" ref="E51" si="14">E48+E49+E50</f>
        <v>11223668.219999999</v>
      </c>
      <c r="F51" s="258">
        <f t="shared" ref="F51:P51" si="15">F48+F49+F50</f>
        <v>12185997.230000002</v>
      </c>
      <c r="G51" s="258">
        <f t="shared" si="15"/>
        <v>16212175.319999998</v>
      </c>
      <c r="H51" s="258">
        <f t="shared" si="15"/>
        <v>13082072.389999999</v>
      </c>
      <c r="I51" s="258">
        <f t="shared" si="15"/>
        <v>14732787.65</v>
      </c>
      <c r="J51" s="258">
        <f t="shared" si="15"/>
        <v>17417771.460000001</v>
      </c>
      <c r="K51" s="258">
        <f t="shared" si="15"/>
        <v>15428207.439999998</v>
      </c>
      <c r="L51" s="258">
        <f t="shared" si="15"/>
        <v>16850312.060000002</v>
      </c>
      <c r="M51" s="258">
        <f t="shared" si="15"/>
        <v>20043585.599999994</v>
      </c>
      <c r="N51" s="258">
        <f t="shared" si="15"/>
        <v>14633253.499999998</v>
      </c>
      <c r="O51" s="258">
        <f t="shared" si="15"/>
        <v>11242340.4</v>
      </c>
      <c r="P51" s="288">
        <f t="shared" si="15"/>
        <v>8656603.7799999993</v>
      </c>
      <c r="Q51" s="278">
        <f t="shared" si="12"/>
        <v>171708775.05000001</v>
      </c>
      <c r="R51" s="242" t="b">
        <f>Q51=[6]Exhibit!Q51</f>
        <v>1</v>
      </c>
    </row>
    <row r="52" spans="2:18" x14ac:dyDescent="0.2">
      <c r="B52" s="427"/>
      <c r="C52" s="436" t="s">
        <v>111</v>
      </c>
      <c r="D52" s="437"/>
      <c r="E52" s="259">
        <f>[6]Exhibit!E52</f>
        <v>57057</v>
      </c>
      <c r="F52" s="259">
        <f>[6]Exhibit!F52</f>
        <v>57086</v>
      </c>
      <c r="G52" s="259">
        <f>[6]Exhibit!G52</f>
        <v>60380</v>
      </c>
      <c r="H52" s="259">
        <f>[6]Exhibit!H52</f>
        <v>60321</v>
      </c>
      <c r="I52" s="259">
        <f>[6]Exhibit!I52</f>
        <v>65052</v>
      </c>
      <c r="J52" s="259">
        <f>[6]Exhibit!J52</f>
        <v>68416</v>
      </c>
      <c r="K52" s="259">
        <f>[6]Exhibit!K52</f>
        <v>65196</v>
      </c>
      <c r="L52" s="259">
        <f>[6]Exhibit!L52</f>
        <v>73234</v>
      </c>
      <c r="M52" s="259">
        <f>[6]Exhibit!M52</f>
        <v>72226</v>
      </c>
      <c r="N52" s="259">
        <f>[6]Exhibit!N52</f>
        <v>63800</v>
      </c>
      <c r="O52" s="259">
        <f>[6]Exhibit!O52</f>
        <v>50488</v>
      </c>
      <c r="P52" s="289">
        <f>[6]Exhibit!P52</f>
        <v>63482</v>
      </c>
      <c r="Q52" s="279">
        <f>AVERAGE(E52:P52)</f>
        <v>63061.5</v>
      </c>
      <c r="R52" s="242" t="b">
        <f>Q52=[6]Exhibit!Q52</f>
        <v>1</v>
      </c>
    </row>
    <row r="53" spans="2:18" ht="16.5" thickBot="1" x14ac:dyDescent="0.25">
      <c r="B53" s="428"/>
      <c r="C53" s="438" t="s">
        <v>277</v>
      </c>
      <c r="D53" s="439"/>
      <c r="E53" s="263">
        <f>[6]Exhibit!E53</f>
        <v>196.70975024975021</v>
      </c>
      <c r="F53" s="262">
        <f>[6]Exhibit!F53</f>
        <v>213.46735153978213</v>
      </c>
      <c r="G53" s="262">
        <f>[6]Exhibit!G53</f>
        <v>268.50240675720437</v>
      </c>
      <c r="H53" s="262">
        <f>[6]Exhibit!H53</f>
        <v>216.87426252880422</v>
      </c>
      <c r="I53" s="262">
        <f>[6]Exhibit!I53</f>
        <v>226.47708986656829</v>
      </c>
      <c r="J53" s="262">
        <f>[6]Exhibit!J53</f>
        <v>254.58622924462117</v>
      </c>
      <c r="K53" s="263">
        <f>[6]Exhibit!K53</f>
        <v>236.64346647033557</v>
      </c>
      <c r="L53" s="263">
        <f>[6]Exhibit!L53</f>
        <v>230.08864816888334</v>
      </c>
      <c r="M53" s="263">
        <f>[6]Exhibit!M53</f>
        <v>277.5120538310303</v>
      </c>
      <c r="N53" s="263">
        <f>[6]Exhibit!N53</f>
        <v>229.36134012539182</v>
      </c>
      <c r="O53" s="263">
        <f>[6]Exhibit!O53</f>
        <v>222.67351449849471</v>
      </c>
      <c r="P53" s="290">
        <f>[6]Exhibit!P53</f>
        <v>136.36312309000976</v>
      </c>
      <c r="Q53" s="292">
        <f t="shared" ref="Q53" si="16">Q51/Q52</f>
        <v>2722.8780642705933</v>
      </c>
      <c r="R53" s="242" t="b">
        <f>Q53=[6]Exhibit!Q53</f>
        <v>1</v>
      </c>
    </row>
    <row r="54" spans="2:18" x14ac:dyDescent="0.2">
      <c r="B54" s="426" t="s">
        <v>131</v>
      </c>
      <c r="C54" s="429" t="s">
        <v>271</v>
      </c>
      <c r="D54" s="243" t="s">
        <v>50</v>
      </c>
      <c r="E54" s="244">
        <f>[6]Exhibit!E54</f>
        <v>56430010.25</v>
      </c>
      <c r="F54" s="244">
        <f>[6]Exhibit!F54</f>
        <v>62761944.829999991</v>
      </c>
      <c r="G54" s="244">
        <f>[6]Exhibit!G54</f>
        <v>81075480.409999996</v>
      </c>
      <c r="H54" s="244">
        <f>[6]Exhibit!H54</f>
        <v>62411649.480000012</v>
      </c>
      <c r="I54" s="244">
        <f>[6]Exhibit!I54</f>
        <v>71194220.799999997</v>
      </c>
      <c r="J54" s="244">
        <f>[6]Exhibit!J54</f>
        <v>83632427.960000008</v>
      </c>
      <c r="K54" s="244">
        <f>[6]Exhibit!K54</f>
        <v>73653258.140000001</v>
      </c>
      <c r="L54" s="244">
        <f>[6]Exhibit!L54</f>
        <v>82350182.660000026</v>
      </c>
      <c r="M54" s="244">
        <f>[6]Exhibit!M54</f>
        <v>99473678.299999997</v>
      </c>
      <c r="N54" s="244">
        <f>[6]Exhibit!N54</f>
        <v>84240550.25999999</v>
      </c>
      <c r="O54" s="244">
        <f>[6]Exhibit!O54</f>
        <v>93655776.040000007</v>
      </c>
      <c r="P54" s="282">
        <f>[6]Exhibit!P54</f>
        <v>120756203.25999999</v>
      </c>
      <c r="Q54" s="273">
        <f>SUM(E54:P54)</f>
        <v>971635382.38999987</v>
      </c>
      <c r="R54" s="242" t="b">
        <f>Q54=[6]Exhibit!Q54</f>
        <v>1</v>
      </c>
    </row>
    <row r="55" spans="2:18" x14ac:dyDescent="0.2">
      <c r="B55" s="427"/>
      <c r="C55" s="430"/>
      <c r="D55" s="246" t="s">
        <v>272</v>
      </c>
      <c r="E55" s="247">
        <f>[6]Exhibit!E55</f>
        <v>189936.38</v>
      </c>
      <c r="F55" s="247">
        <f>[6]Exhibit!F55</f>
        <v>150435.92000000001</v>
      </c>
      <c r="G55" s="247">
        <f>[6]Exhibit!G55</f>
        <v>246471.26</v>
      </c>
      <c r="H55" s="247">
        <f>[6]Exhibit!H55</f>
        <v>229524.43999999997</v>
      </c>
      <c r="I55" s="247">
        <f>[6]Exhibit!I55</f>
        <v>188685.4</v>
      </c>
      <c r="J55" s="247">
        <f>[6]Exhibit!J55</f>
        <v>215599.18</v>
      </c>
      <c r="K55" s="247">
        <f>[6]Exhibit!K55</f>
        <v>234261.79</v>
      </c>
      <c r="L55" s="247">
        <f>[6]Exhibit!L55</f>
        <v>197098.47</v>
      </c>
      <c r="M55" s="247">
        <f>[6]Exhibit!M55</f>
        <v>264124.79999999999</v>
      </c>
      <c r="N55" s="247">
        <f>[6]Exhibit!N55</f>
        <v>284300.26</v>
      </c>
      <c r="O55" s="247">
        <f>[6]Exhibit!O55</f>
        <v>250403.5</v>
      </c>
      <c r="P55" s="283">
        <f>[6]Exhibit!P55</f>
        <v>294829.24</v>
      </c>
      <c r="Q55" s="274">
        <f t="shared" ref="Q55:Q62" si="17">SUM(E55:P55)</f>
        <v>2745670.6400000006</v>
      </c>
      <c r="R55" s="242" t="b">
        <f>Q55=[6]Exhibit!Q55</f>
        <v>1</v>
      </c>
    </row>
    <row r="56" spans="2:18" x14ac:dyDescent="0.2">
      <c r="B56" s="427"/>
      <c r="C56" s="430"/>
      <c r="D56" s="246" t="s">
        <v>70</v>
      </c>
      <c r="E56" s="247">
        <f>[6]Exhibit!E56</f>
        <v>101087.55</v>
      </c>
      <c r="F56" s="247">
        <f>[6]Exhibit!F56</f>
        <v>79024.789999999994</v>
      </c>
      <c r="G56" s="247">
        <f>[6]Exhibit!G56</f>
        <v>117758.34</v>
      </c>
      <c r="H56" s="247">
        <f>[6]Exhibit!H56</f>
        <v>162896.26999999999</v>
      </c>
      <c r="I56" s="247">
        <f>[6]Exhibit!I56</f>
        <v>141408.59</v>
      </c>
      <c r="J56" s="247">
        <f>[6]Exhibit!J56</f>
        <v>119792.31</v>
      </c>
      <c r="K56" s="247">
        <f>[6]Exhibit!K56</f>
        <v>185185.92000000001</v>
      </c>
      <c r="L56" s="247">
        <f>[6]Exhibit!L56</f>
        <v>147677.29</v>
      </c>
      <c r="M56" s="247">
        <f>[6]Exhibit!M56</f>
        <v>120704.03</v>
      </c>
      <c r="N56" s="247">
        <f>[6]Exhibit!N56</f>
        <v>99615.2</v>
      </c>
      <c r="O56" s="247">
        <f>[6]Exhibit!O56</f>
        <v>76993.06</v>
      </c>
      <c r="P56" s="283">
        <f>[6]Exhibit!P56</f>
        <v>214626.49</v>
      </c>
      <c r="Q56" s="274">
        <f t="shared" si="17"/>
        <v>1566769.8399999999</v>
      </c>
      <c r="R56" s="242" t="b">
        <f>Q56=[6]Exhibit!Q56</f>
        <v>1</v>
      </c>
    </row>
    <row r="57" spans="2:18" ht="16.5" thickBot="1" x14ac:dyDescent="0.25">
      <c r="B57" s="427"/>
      <c r="C57" s="430"/>
      <c r="D57" s="249" t="s">
        <v>273</v>
      </c>
      <c r="E57" s="250">
        <f>[6]Exhibit!E57</f>
        <v>1321931.1399999999</v>
      </c>
      <c r="F57" s="250">
        <f>[6]Exhibit!F57</f>
        <v>1389322.21</v>
      </c>
      <c r="G57" s="250">
        <f>[6]Exhibit!G57</f>
        <v>1538203.32</v>
      </c>
      <c r="H57" s="250">
        <f>[6]Exhibit!H57</f>
        <v>1491058.01</v>
      </c>
      <c r="I57" s="250">
        <f>[6]Exhibit!I57</f>
        <v>1501150.15</v>
      </c>
      <c r="J57" s="250">
        <f>[6]Exhibit!J57</f>
        <v>1488698.58</v>
      </c>
      <c r="K57" s="250">
        <f>[6]Exhibit!K57</f>
        <v>1527792.79</v>
      </c>
      <c r="L57" s="250">
        <f>[6]Exhibit!L57</f>
        <v>1569509.75</v>
      </c>
      <c r="M57" s="250">
        <f>[6]Exhibit!M57</f>
        <v>1663201.68</v>
      </c>
      <c r="N57" s="250">
        <f>[6]Exhibit!N57</f>
        <v>1816328.24</v>
      </c>
      <c r="O57" s="250">
        <f>[6]Exhibit!O57</f>
        <v>2055374.69</v>
      </c>
      <c r="P57" s="284">
        <f>[6]Exhibit!P57</f>
        <v>2172677.2799999998</v>
      </c>
      <c r="Q57" s="275">
        <f t="shared" si="17"/>
        <v>19535247.84</v>
      </c>
      <c r="R57" s="242" t="b">
        <f>Q57=[6]Exhibit!Q57</f>
        <v>1</v>
      </c>
    </row>
    <row r="58" spans="2:18" ht="17.25" hidden="1" thickTop="1" thickBot="1" x14ac:dyDescent="0.25">
      <c r="B58" s="427"/>
      <c r="C58" s="430"/>
      <c r="D58" s="252" t="s">
        <v>75</v>
      </c>
      <c r="E58" s="253">
        <v>0</v>
      </c>
      <c r="F58" s="253">
        <v>0</v>
      </c>
      <c r="G58" s="253">
        <v>0</v>
      </c>
      <c r="H58" s="253">
        <v>0</v>
      </c>
      <c r="I58" s="253">
        <v>0</v>
      </c>
      <c r="J58" s="253">
        <v>0</v>
      </c>
      <c r="K58" s="253">
        <v>0</v>
      </c>
      <c r="L58" s="253">
        <v>0</v>
      </c>
      <c r="M58" s="253">
        <v>0</v>
      </c>
      <c r="N58" s="253">
        <v>0</v>
      </c>
      <c r="O58" s="253">
        <v>0</v>
      </c>
      <c r="P58" s="285">
        <v>0</v>
      </c>
      <c r="Q58" s="276">
        <f t="shared" si="17"/>
        <v>0</v>
      </c>
      <c r="R58" s="242" t="b">
        <f>Q58=[6]Exhibit!Q58</f>
        <v>1</v>
      </c>
    </row>
    <row r="59" spans="2:18" ht="17.25" thickTop="1" thickBot="1" x14ac:dyDescent="0.25">
      <c r="B59" s="427"/>
      <c r="C59" s="431"/>
      <c r="D59" s="265" t="s">
        <v>274</v>
      </c>
      <c r="E59" s="255">
        <f t="shared" ref="E59" si="18">SUM(E54:E58)</f>
        <v>58042965.32</v>
      </c>
      <c r="F59" s="266">
        <f t="shared" ref="F59:P59" si="19">SUM(F54:F58)</f>
        <v>64380727.749999993</v>
      </c>
      <c r="G59" s="266">
        <f t="shared" si="19"/>
        <v>82977913.329999998</v>
      </c>
      <c r="H59" s="266">
        <f t="shared" si="19"/>
        <v>64295128.20000001</v>
      </c>
      <c r="I59" s="266">
        <f t="shared" si="19"/>
        <v>73025464.940000013</v>
      </c>
      <c r="J59" s="266">
        <f t="shared" si="19"/>
        <v>85456518.030000016</v>
      </c>
      <c r="K59" s="266">
        <f t="shared" si="19"/>
        <v>75600498.640000015</v>
      </c>
      <c r="L59" s="266">
        <f t="shared" si="19"/>
        <v>84264468.170000032</v>
      </c>
      <c r="M59" s="266">
        <f t="shared" si="19"/>
        <v>101521708.81</v>
      </c>
      <c r="N59" s="266">
        <f t="shared" si="19"/>
        <v>86440793.959999993</v>
      </c>
      <c r="O59" s="266">
        <f t="shared" si="19"/>
        <v>96038547.290000007</v>
      </c>
      <c r="P59" s="291">
        <f t="shared" si="19"/>
        <v>123438336.26999998</v>
      </c>
      <c r="Q59" s="280">
        <f t="shared" si="17"/>
        <v>995483070.71000004</v>
      </c>
      <c r="R59" s="242" t="b">
        <f>Q59=[6]Exhibit!Q59</f>
        <v>1</v>
      </c>
    </row>
    <row r="60" spans="2:18" x14ac:dyDescent="0.2">
      <c r="B60" s="427"/>
      <c r="C60" s="432" t="s">
        <v>275</v>
      </c>
      <c r="D60" s="433"/>
      <c r="E60" s="247">
        <f>[6]Exhibit!E60</f>
        <v>1347917.34</v>
      </c>
      <c r="F60" s="256">
        <f>[6]Exhibit!F60</f>
        <v>300323.59999999998</v>
      </c>
      <c r="G60" s="256">
        <f>[6]Exhibit!G60</f>
        <v>88468.1</v>
      </c>
      <c r="H60" s="256">
        <f>[6]Exhibit!H60</f>
        <v>0</v>
      </c>
      <c r="I60" s="256">
        <f>[6]Exhibit!I60</f>
        <v>0</v>
      </c>
      <c r="J60" s="256">
        <f>[6]Exhibit!J60</f>
        <v>0</v>
      </c>
      <c r="K60" s="256">
        <f>[6]Exhibit!K60</f>
        <v>0</v>
      </c>
      <c r="L60" s="256">
        <f>[6]Exhibit!L60</f>
        <v>0</v>
      </c>
      <c r="M60" s="256">
        <f>[6]Exhibit!M60</f>
        <v>-114734.05</v>
      </c>
      <c r="N60" s="256">
        <f>[6]Exhibit!N60</f>
        <v>0</v>
      </c>
      <c r="O60" s="256">
        <f>[6]Exhibit!O60</f>
        <v>0</v>
      </c>
      <c r="P60" s="287">
        <f>[6]Exhibit!P60</f>
        <v>-8389.17</v>
      </c>
      <c r="Q60" s="278">
        <f t="shared" si="17"/>
        <v>1613585.82</v>
      </c>
      <c r="R60" s="242" t="b">
        <f>Q60=[6]Exhibit!Q60</f>
        <v>1</v>
      </c>
    </row>
    <row r="61" spans="2:18" ht="16.5" thickBot="1" x14ac:dyDescent="0.25">
      <c r="B61" s="427"/>
      <c r="C61" s="434" t="s">
        <v>276</v>
      </c>
      <c r="D61" s="435"/>
      <c r="E61" s="250">
        <f>[6]Exhibit!E61</f>
        <v>67618.789999999994</v>
      </c>
      <c r="F61" s="250">
        <f>[6]Exhibit!F61</f>
        <v>75719.360000000001</v>
      </c>
      <c r="G61" s="250">
        <f>[6]Exhibit!G61</f>
        <v>94344.12</v>
      </c>
      <c r="H61" s="250">
        <f>[6]Exhibit!H61</f>
        <v>50475.35</v>
      </c>
      <c r="I61" s="250">
        <f>[6]Exhibit!I61</f>
        <v>100653.75999999999</v>
      </c>
      <c r="J61" s="250">
        <f>[6]Exhibit!J61</f>
        <v>127096.27</v>
      </c>
      <c r="K61" s="250">
        <f>[6]Exhibit!K61</f>
        <v>70911.37</v>
      </c>
      <c r="L61" s="250">
        <f>[6]Exhibit!L61</f>
        <v>110351.64</v>
      </c>
      <c r="M61" s="250">
        <f>[6]Exhibit!M61</f>
        <v>117585.95</v>
      </c>
      <c r="N61" s="250">
        <f>[6]Exhibit!N61</f>
        <v>122940.18</v>
      </c>
      <c r="O61" s="250">
        <f>[6]Exhibit!O61</f>
        <v>154102.35</v>
      </c>
      <c r="P61" s="284">
        <f>[6]Exhibit!P61</f>
        <v>118754.35</v>
      </c>
      <c r="Q61" s="275">
        <f t="shared" si="17"/>
        <v>1210553.4900000002</v>
      </c>
      <c r="R61" s="242" t="b">
        <f>Q61=[6]Exhibit!Q61</f>
        <v>1</v>
      </c>
    </row>
    <row r="62" spans="2:18" ht="16.5" thickTop="1" x14ac:dyDescent="0.2">
      <c r="B62" s="427"/>
      <c r="C62" s="432" t="s">
        <v>121</v>
      </c>
      <c r="D62" s="433"/>
      <c r="E62" s="258">
        <f t="shared" ref="E62" si="20">E59+E60+E61</f>
        <v>59458501.450000003</v>
      </c>
      <c r="F62" s="258">
        <f t="shared" ref="F62:P62" si="21">F59+F60+F61</f>
        <v>64756770.709999993</v>
      </c>
      <c r="G62" s="258">
        <f t="shared" si="21"/>
        <v>83160725.549999997</v>
      </c>
      <c r="H62" s="258">
        <f t="shared" si="21"/>
        <v>64345603.550000012</v>
      </c>
      <c r="I62" s="258">
        <f t="shared" si="21"/>
        <v>73126118.700000018</v>
      </c>
      <c r="J62" s="258">
        <f t="shared" si="21"/>
        <v>85583614.300000012</v>
      </c>
      <c r="K62" s="258">
        <f t="shared" si="21"/>
        <v>75671410.01000002</v>
      </c>
      <c r="L62" s="258">
        <f t="shared" si="21"/>
        <v>84374819.810000032</v>
      </c>
      <c r="M62" s="258">
        <f t="shared" si="21"/>
        <v>101524560.71000001</v>
      </c>
      <c r="N62" s="258">
        <f t="shared" si="21"/>
        <v>86563734.140000001</v>
      </c>
      <c r="O62" s="258">
        <f t="shared" si="21"/>
        <v>96192649.640000001</v>
      </c>
      <c r="P62" s="288">
        <f t="shared" si="21"/>
        <v>123548701.44999997</v>
      </c>
      <c r="Q62" s="278">
        <f t="shared" si="17"/>
        <v>998307210.0200001</v>
      </c>
      <c r="R62" s="242" t="b">
        <f>Q62=[6]Exhibit!Q62</f>
        <v>1</v>
      </c>
    </row>
    <row r="63" spans="2:18" x14ac:dyDescent="0.2">
      <c r="B63" s="427"/>
      <c r="C63" s="436" t="s">
        <v>111</v>
      </c>
      <c r="D63" s="437"/>
      <c r="E63" s="259">
        <f>[6]Exhibit!E63</f>
        <v>166313</v>
      </c>
      <c r="F63" s="259">
        <f>[6]Exhibit!F63</f>
        <v>164589</v>
      </c>
      <c r="G63" s="259">
        <f>[6]Exhibit!G63</f>
        <v>175924</v>
      </c>
      <c r="H63" s="259">
        <f>[6]Exhibit!H63</f>
        <v>180706</v>
      </c>
      <c r="I63" s="259">
        <f>[6]Exhibit!I63</f>
        <v>186477</v>
      </c>
      <c r="J63" s="259">
        <f>[6]Exhibit!J63</f>
        <v>195625</v>
      </c>
      <c r="K63" s="259">
        <f>[6]Exhibit!K63</f>
        <v>199866</v>
      </c>
      <c r="L63" s="259">
        <f>[6]Exhibit!L63</f>
        <v>217664</v>
      </c>
      <c r="M63" s="259">
        <f>[6]Exhibit!M63</f>
        <v>224449</v>
      </c>
      <c r="N63" s="259">
        <f>[6]Exhibit!N63</f>
        <v>235118</v>
      </c>
      <c r="O63" s="259">
        <f>[6]Exhibit!O63</f>
        <v>261360</v>
      </c>
      <c r="P63" s="289">
        <f>[6]Exhibit!P63</f>
        <v>292363</v>
      </c>
      <c r="Q63" s="279">
        <f>AVERAGE(E63:P63)</f>
        <v>208371.16666666666</v>
      </c>
      <c r="R63" s="242" t="b">
        <f>Q63=[6]Exhibit!Q63</f>
        <v>1</v>
      </c>
    </row>
    <row r="64" spans="2:18" ht="16.5" thickBot="1" x14ac:dyDescent="0.25">
      <c r="B64" s="428"/>
      <c r="C64" s="438" t="s">
        <v>277</v>
      </c>
      <c r="D64" s="439"/>
      <c r="E64" s="263">
        <f>[6]Exhibit!E64</f>
        <v>357.50964416491797</v>
      </c>
      <c r="F64" s="262">
        <f>[6]Exhibit!F64</f>
        <v>393.44531353857178</v>
      </c>
      <c r="G64" s="262">
        <f>[6]Exhibit!G64</f>
        <v>472.70824645869806</v>
      </c>
      <c r="H64" s="262">
        <f>[6]Exhibit!H64</f>
        <v>356.07895448961301</v>
      </c>
      <c r="I64" s="262">
        <f>[6]Exhibit!I64</f>
        <v>392.14551231519181</v>
      </c>
      <c r="J64" s="262">
        <f>[6]Exhibit!J64</f>
        <v>437.48812421725245</v>
      </c>
      <c r="K64" s="263">
        <f>[6]Exhibit!K64</f>
        <v>378.61071923188547</v>
      </c>
      <c r="L64" s="263">
        <f>[6]Exhibit!L64</f>
        <v>387.63791812150851</v>
      </c>
      <c r="M64" s="263">
        <f>[6]Exhibit!M64</f>
        <v>452.3279707639598</v>
      </c>
      <c r="N64" s="263">
        <f>[6]Exhibit!N64</f>
        <v>368.17144642264736</v>
      </c>
      <c r="O64" s="263">
        <f>[6]Exhibit!O64</f>
        <v>368.0465627486991</v>
      </c>
      <c r="P64" s="290">
        <f>[6]Exhibit!P64</f>
        <v>422.5866523807731</v>
      </c>
      <c r="Q64" s="292">
        <f t="shared" ref="Q64" si="22">Q62/Q63</f>
        <v>4791.0045616676016</v>
      </c>
      <c r="R64" s="242" t="b">
        <f>Q64=[6]Exhibit!Q64</f>
        <v>1</v>
      </c>
    </row>
    <row r="65" spans="2:18" x14ac:dyDescent="0.2">
      <c r="B65" s="427" t="s">
        <v>278</v>
      </c>
      <c r="C65" s="429" t="s">
        <v>271</v>
      </c>
      <c r="D65" s="243" t="s">
        <v>50</v>
      </c>
      <c r="E65" s="244">
        <f>[6]Exhibit!E65</f>
        <v>66951215.049999997</v>
      </c>
      <c r="F65" s="244">
        <f>[6]Exhibit!F65</f>
        <v>74347086.839999989</v>
      </c>
      <c r="G65" s="244">
        <f>[6]Exhibit!G65</f>
        <v>96699887.409999996</v>
      </c>
      <c r="H65" s="244">
        <f>[6]Exhibit!H65</f>
        <v>74995464.870000005</v>
      </c>
      <c r="I65" s="244">
        <f>[6]Exhibit!I65</f>
        <v>85409358.120000005</v>
      </c>
      <c r="J65" s="244">
        <f>[6]Exhibit!J65</f>
        <v>100509295.40000001</v>
      </c>
      <c r="K65" s="244">
        <f>[6]Exhibit!K65</f>
        <v>88573946.319999993</v>
      </c>
      <c r="L65" s="244">
        <f>[6]Exhibit!L65</f>
        <v>98674874.430000022</v>
      </c>
      <c r="M65" s="244">
        <f>[6]Exhibit!M65</f>
        <v>118954705.61999999</v>
      </c>
      <c r="N65" s="244">
        <f>[6]Exhibit!N65</f>
        <v>98362057.00999999</v>
      </c>
      <c r="O65" s="244">
        <f>[6]Exhibit!O65</f>
        <v>104488008.04000001</v>
      </c>
      <c r="P65" s="282">
        <f>[6]Exhibit!P65</f>
        <v>129094369.92999999</v>
      </c>
      <c r="Q65" s="273">
        <f>SUM(E65:P65)</f>
        <v>1137060269.04</v>
      </c>
      <c r="R65" s="242" t="b">
        <f>Q65=[6]Exhibit!Q65</f>
        <v>1</v>
      </c>
    </row>
    <row r="66" spans="2:18" x14ac:dyDescent="0.2">
      <c r="B66" s="427"/>
      <c r="C66" s="430"/>
      <c r="D66" s="246" t="s">
        <v>272</v>
      </c>
      <c r="E66" s="247">
        <f>[6]Exhibit!E66</f>
        <v>212967.42</v>
      </c>
      <c r="F66" s="247">
        <f>[6]Exhibit!F66</f>
        <v>167965.22</v>
      </c>
      <c r="G66" s="247">
        <f>[6]Exhibit!G66</f>
        <v>257368.01</v>
      </c>
      <c r="H66" s="247">
        <f>[6]Exhibit!H66</f>
        <v>238409.48999999996</v>
      </c>
      <c r="I66" s="247">
        <f>[6]Exhibit!I66</f>
        <v>200318.03999999998</v>
      </c>
      <c r="J66" s="247">
        <f>[6]Exhibit!J66</f>
        <v>255013.19999999998</v>
      </c>
      <c r="K66" s="247">
        <f>[6]Exhibit!K66</f>
        <v>252644.56</v>
      </c>
      <c r="L66" s="247">
        <f>[6]Exhibit!L66</f>
        <v>216087.46</v>
      </c>
      <c r="M66" s="247">
        <f>[6]Exhibit!M66</f>
        <v>290917.81</v>
      </c>
      <c r="N66" s="247">
        <f>[6]Exhibit!N66</f>
        <v>297780.43</v>
      </c>
      <c r="O66" s="247">
        <f>[6]Exhibit!O66</f>
        <v>255450.88</v>
      </c>
      <c r="P66" s="283">
        <f>[6]Exhibit!P66</f>
        <v>298389.3</v>
      </c>
      <c r="Q66" s="274">
        <f t="shared" ref="Q66:Q73" si="23">SUM(E66:P66)</f>
        <v>2943311.82</v>
      </c>
      <c r="R66" s="242" t="b">
        <f>Q66=[6]Exhibit!Q66</f>
        <v>1</v>
      </c>
    </row>
    <row r="67" spans="2:18" x14ac:dyDescent="0.2">
      <c r="B67" s="427"/>
      <c r="C67" s="430"/>
      <c r="D67" s="246" t="s">
        <v>70</v>
      </c>
      <c r="E67" s="247">
        <f>[6]Exhibit!E67</f>
        <v>101087.55</v>
      </c>
      <c r="F67" s="247">
        <f>[6]Exhibit!F67</f>
        <v>79024.789999999994</v>
      </c>
      <c r="G67" s="247">
        <f>[6]Exhibit!G67</f>
        <v>117758.34</v>
      </c>
      <c r="H67" s="247">
        <f>[6]Exhibit!H67</f>
        <v>162896.26999999999</v>
      </c>
      <c r="I67" s="247">
        <f>[6]Exhibit!I67</f>
        <v>144617.25</v>
      </c>
      <c r="J67" s="247">
        <f>[6]Exhibit!J67</f>
        <v>123211.98999999999</v>
      </c>
      <c r="K67" s="247">
        <f>[6]Exhibit!K67</f>
        <v>188394.58000000002</v>
      </c>
      <c r="L67" s="247">
        <f>[6]Exhibit!L67</f>
        <v>149054.63</v>
      </c>
      <c r="M67" s="247">
        <f>[6]Exhibit!M67</f>
        <v>138007.51999999999</v>
      </c>
      <c r="N67" s="247">
        <f>[6]Exhibit!N67</f>
        <v>104958.95</v>
      </c>
      <c r="O67" s="247">
        <f>[6]Exhibit!O67</f>
        <v>83641.63</v>
      </c>
      <c r="P67" s="283">
        <f>[6]Exhibit!P67</f>
        <v>214626.49</v>
      </c>
      <c r="Q67" s="274">
        <f t="shared" si="23"/>
        <v>1607279.99</v>
      </c>
      <c r="R67" s="242" t="b">
        <f>Q67=[6]Exhibit!Q67</f>
        <v>1</v>
      </c>
    </row>
    <row r="68" spans="2:18" ht="16.5" thickBot="1" x14ac:dyDescent="0.25">
      <c r="B68" s="427"/>
      <c r="C68" s="430"/>
      <c r="D68" s="249" t="s">
        <v>273</v>
      </c>
      <c r="E68" s="250">
        <f>[6]Exhibit!E68</f>
        <v>1768275.5799999998</v>
      </c>
      <c r="F68" s="250">
        <f>[6]Exhibit!F68</f>
        <v>1839659.22</v>
      </c>
      <c r="G68" s="250">
        <f>[6]Exhibit!G68</f>
        <v>2062607.54</v>
      </c>
      <c r="H68" s="250">
        <f>[6]Exhibit!H68</f>
        <v>1980029.96</v>
      </c>
      <c r="I68" s="250">
        <f>[6]Exhibit!I68</f>
        <v>2001525.02</v>
      </c>
      <c r="J68" s="250">
        <f>[6]Exhibit!J68</f>
        <v>1982031.54</v>
      </c>
      <c r="K68" s="250">
        <f>[6]Exhibit!K68</f>
        <v>2010257.42</v>
      </c>
      <c r="L68" s="250">
        <f>[6]Exhibit!L68</f>
        <v>2071896.76</v>
      </c>
      <c r="M68" s="250">
        <f>[6]Exhibit!M68</f>
        <v>2182492.77</v>
      </c>
      <c r="N68" s="250">
        <f>[6]Exhibit!N68</f>
        <v>2305575.06</v>
      </c>
      <c r="O68" s="250">
        <f>[6]Exhibit!O68</f>
        <v>2435516.38</v>
      </c>
      <c r="P68" s="284">
        <f>[6]Exhibit!P68</f>
        <v>2484474.8699999996</v>
      </c>
      <c r="Q68" s="275">
        <f t="shared" si="23"/>
        <v>25124342.119999997</v>
      </c>
      <c r="R68" s="242" t="b">
        <f>Q68=[6]Exhibit!Q68</f>
        <v>1</v>
      </c>
    </row>
    <row r="69" spans="2:18" ht="17.25" hidden="1" thickTop="1" thickBot="1" x14ac:dyDescent="0.25">
      <c r="B69" s="427"/>
      <c r="C69" s="430"/>
      <c r="D69" s="252" t="s">
        <v>75</v>
      </c>
      <c r="E69" s="253">
        <v>0</v>
      </c>
      <c r="F69" s="253">
        <v>0</v>
      </c>
      <c r="G69" s="253">
        <v>0</v>
      </c>
      <c r="H69" s="253">
        <v>0</v>
      </c>
      <c r="I69" s="253">
        <v>0</v>
      </c>
      <c r="J69" s="253">
        <v>0</v>
      </c>
      <c r="K69" s="253">
        <v>0</v>
      </c>
      <c r="L69" s="253">
        <v>0</v>
      </c>
      <c r="M69" s="253">
        <v>0</v>
      </c>
      <c r="N69" s="253">
        <v>0</v>
      </c>
      <c r="O69" s="253">
        <v>0</v>
      </c>
      <c r="P69" s="285">
        <v>0</v>
      </c>
      <c r="Q69" s="276">
        <f t="shared" si="23"/>
        <v>0</v>
      </c>
      <c r="R69" s="242" t="b">
        <f>Q69=[6]Exhibit!Q69</f>
        <v>1</v>
      </c>
    </row>
    <row r="70" spans="2:18" ht="17.25" thickTop="1" thickBot="1" x14ac:dyDescent="0.25">
      <c r="B70" s="427"/>
      <c r="C70" s="431"/>
      <c r="D70" s="265" t="s">
        <v>274</v>
      </c>
      <c r="E70" s="255">
        <f t="shared" ref="E70" si="24">SUM(E65:E69)</f>
        <v>69033545.599999994</v>
      </c>
      <c r="F70" s="266">
        <f t="shared" ref="F70:P70" si="25">SUM(F65:F69)</f>
        <v>76433736.069999993</v>
      </c>
      <c r="G70" s="266">
        <f t="shared" si="25"/>
        <v>99137621.300000012</v>
      </c>
      <c r="H70" s="266">
        <f t="shared" si="25"/>
        <v>77376800.589999989</v>
      </c>
      <c r="I70" s="266">
        <f t="shared" si="25"/>
        <v>87755818.430000007</v>
      </c>
      <c r="J70" s="266">
        <f t="shared" si="25"/>
        <v>102869552.13000001</v>
      </c>
      <c r="K70" s="266">
        <f t="shared" si="25"/>
        <v>91025242.879999995</v>
      </c>
      <c r="L70" s="266">
        <f t="shared" si="25"/>
        <v>101111913.28000002</v>
      </c>
      <c r="M70" s="266">
        <f t="shared" si="25"/>
        <v>121566123.71999998</v>
      </c>
      <c r="N70" s="266">
        <f t="shared" si="25"/>
        <v>101070371.45</v>
      </c>
      <c r="O70" s="266">
        <f t="shared" si="25"/>
        <v>107262616.92999999</v>
      </c>
      <c r="P70" s="291">
        <f t="shared" si="25"/>
        <v>132091860.58999999</v>
      </c>
      <c r="Q70" s="280">
        <f t="shared" si="23"/>
        <v>1166735202.97</v>
      </c>
      <c r="R70" s="242" t="b">
        <f>Q70=[6]Exhibit!Q70</f>
        <v>1</v>
      </c>
    </row>
    <row r="71" spans="2:18" x14ac:dyDescent="0.2">
      <c r="B71" s="427"/>
      <c r="C71" s="432" t="s">
        <v>275</v>
      </c>
      <c r="D71" s="433"/>
      <c r="E71" s="247">
        <f>[6]Exhibit!E71</f>
        <v>1580645.28</v>
      </c>
      <c r="F71" s="256">
        <f>[6]Exhibit!F71</f>
        <v>433312.51</v>
      </c>
      <c r="G71" s="256">
        <f>[6]Exhibit!G71</f>
        <v>136299.13</v>
      </c>
      <c r="H71" s="256">
        <f>[6]Exhibit!H71</f>
        <v>0</v>
      </c>
      <c r="I71" s="256">
        <f>[6]Exhibit!I71</f>
        <v>0</v>
      </c>
      <c r="J71" s="256">
        <f>[6]Exhibit!J71</f>
        <v>0</v>
      </c>
      <c r="K71" s="256">
        <f>[6]Exhibit!K71</f>
        <v>0</v>
      </c>
      <c r="L71" s="256">
        <f>[6]Exhibit!L71</f>
        <v>0</v>
      </c>
      <c r="M71" s="256">
        <f>[6]Exhibit!M71</f>
        <v>-118975.08</v>
      </c>
      <c r="N71" s="256">
        <f>[6]Exhibit!N71</f>
        <v>0</v>
      </c>
      <c r="O71" s="256">
        <f>[6]Exhibit!O71</f>
        <v>0</v>
      </c>
      <c r="P71" s="287">
        <f>[6]Exhibit!P71</f>
        <v>-8509.59</v>
      </c>
      <c r="Q71" s="278">
        <f t="shared" si="23"/>
        <v>2022772.2499999998</v>
      </c>
      <c r="R71" s="242" t="b">
        <f>Q71=[6]Exhibit!Q71</f>
        <v>1</v>
      </c>
    </row>
    <row r="72" spans="2:18" ht="16.5" thickBot="1" x14ac:dyDescent="0.25">
      <c r="B72" s="427"/>
      <c r="C72" s="434" t="s">
        <v>276</v>
      </c>
      <c r="D72" s="435"/>
      <c r="E72" s="250">
        <f>[6]Exhibit!E72</f>
        <v>67978.789999999994</v>
      </c>
      <c r="F72" s="250">
        <f>[6]Exhibit!F72</f>
        <v>75719.360000000001</v>
      </c>
      <c r="G72" s="250">
        <f>[6]Exhibit!G72</f>
        <v>98980.44</v>
      </c>
      <c r="H72" s="250">
        <f>[6]Exhibit!H72</f>
        <v>50875.35</v>
      </c>
      <c r="I72" s="250">
        <f>[6]Exhibit!I72</f>
        <v>103087.92</v>
      </c>
      <c r="J72" s="250">
        <f>[6]Exhibit!J72</f>
        <v>131833.63</v>
      </c>
      <c r="K72" s="250">
        <f>[6]Exhibit!K72</f>
        <v>74374.569999999992</v>
      </c>
      <c r="L72" s="250">
        <f>[6]Exhibit!L72</f>
        <v>113218.59</v>
      </c>
      <c r="M72" s="250">
        <f>[6]Exhibit!M72</f>
        <v>120997.67</v>
      </c>
      <c r="N72" s="250">
        <f>[6]Exhibit!N72</f>
        <v>126616.18999999999</v>
      </c>
      <c r="O72" s="250">
        <f>[6]Exhibit!O72</f>
        <v>172373.11000000002</v>
      </c>
      <c r="P72" s="284">
        <f>[6]Exhibit!P72</f>
        <v>121954.23000000001</v>
      </c>
      <c r="Q72" s="275">
        <f t="shared" si="23"/>
        <v>1258009.8499999999</v>
      </c>
      <c r="R72" s="242" t="b">
        <f>Q72=[6]Exhibit!Q72</f>
        <v>1</v>
      </c>
    </row>
    <row r="73" spans="2:18" ht="16.5" thickTop="1" x14ac:dyDescent="0.2">
      <c r="B73" s="427"/>
      <c r="C73" s="432" t="s">
        <v>121</v>
      </c>
      <c r="D73" s="433"/>
      <c r="E73" s="258">
        <f t="shared" ref="E73" si="26">E70+E71+E72</f>
        <v>70682169.670000002</v>
      </c>
      <c r="F73" s="258">
        <f t="shared" ref="F73:P73" si="27">F70+F71+F72</f>
        <v>76942767.939999998</v>
      </c>
      <c r="G73" s="258">
        <f t="shared" si="27"/>
        <v>99372900.870000005</v>
      </c>
      <c r="H73" s="258">
        <f t="shared" si="27"/>
        <v>77427675.939999983</v>
      </c>
      <c r="I73" s="258">
        <f t="shared" si="27"/>
        <v>87858906.350000009</v>
      </c>
      <c r="J73" s="258">
        <f t="shared" si="27"/>
        <v>103001385.76000001</v>
      </c>
      <c r="K73" s="258">
        <f t="shared" si="27"/>
        <v>91099617.449999988</v>
      </c>
      <c r="L73" s="258">
        <f t="shared" si="27"/>
        <v>101225131.87000002</v>
      </c>
      <c r="M73" s="258">
        <f t="shared" si="27"/>
        <v>121568146.30999999</v>
      </c>
      <c r="N73" s="258">
        <f t="shared" si="27"/>
        <v>101196987.64</v>
      </c>
      <c r="O73" s="258">
        <f t="shared" si="27"/>
        <v>107434990.03999999</v>
      </c>
      <c r="P73" s="288">
        <f t="shared" si="27"/>
        <v>132205305.22999999</v>
      </c>
      <c r="Q73" s="278">
        <f t="shared" si="23"/>
        <v>1170015985.0699999</v>
      </c>
      <c r="R73" s="242" t="b">
        <f>Q73=[6]Exhibit!Q73</f>
        <v>1</v>
      </c>
    </row>
    <row r="74" spans="2:18" x14ac:dyDescent="0.2">
      <c r="B74" s="427"/>
      <c r="C74" s="436" t="s">
        <v>111</v>
      </c>
      <c r="D74" s="437"/>
      <c r="E74" s="259">
        <f>[6]Exhibit!E74</f>
        <v>223370</v>
      </c>
      <c r="F74" s="259">
        <f>[6]Exhibit!F74</f>
        <v>221675</v>
      </c>
      <c r="G74" s="259">
        <f>[6]Exhibit!G74</f>
        <v>236304</v>
      </c>
      <c r="H74" s="259">
        <f>[6]Exhibit!H74</f>
        <v>241027</v>
      </c>
      <c r="I74" s="259">
        <f>[6]Exhibit!I74</f>
        <v>251529</v>
      </c>
      <c r="J74" s="259">
        <f>[6]Exhibit!J74</f>
        <v>264041</v>
      </c>
      <c r="K74" s="259">
        <f>[6]Exhibit!K74</f>
        <v>265062</v>
      </c>
      <c r="L74" s="259">
        <f>[6]Exhibit!L74</f>
        <v>290898</v>
      </c>
      <c r="M74" s="259">
        <f>[6]Exhibit!M74</f>
        <v>296675</v>
      </c>
      <c r="N74" s="259">
        <f>[6]Exhibit!N74</f>
        <v>298918</v>
      </c>
      <c r="O74" s="259">
        <f>[6]Exhibit!O74</f>
        <v>311848</v>
      </c>
      <c r="P74" s="289">
        <f>[6]Exhibit!P74</f>
        <v>355845</v>
      </c>
      <c r="Q74" s="279">
        <f>AVERAGE(E74:P74)</f>
        <v>271432.66666666669</v>
      </c>
      <c r="R74" s="242" t="b">
        <f>Q74=[6]Exhibit!Q74</f>
        <v>1</v>
      </c>
    </row>
    <row r="75" spans="2:18" ht="16.5" thickBot="1" x14ac:dyDescent="0.25">
      <c r="B75" s="428"/>
      <c r="C75" s="438" t="s">
        <v>277</v>
      </c>
      <c r="D75" s="439"/>
      <c r="E75" s="263">
        <f>[6]Exhibit!E75</f>
        <v>316.43537480413664</v>
      </c>
      <c r="F75" s="262">
        <f>[6]Exhibit!F75</f>
        <v>347.0971825420097</v>
      </c>
      <c r="G75" s="262">
        <f>[6]Exhibit!G75</f>
        <v>420.52991430530165</v>
      </c>
      <c r="H75" s="262">
        <f>[6]Exhibit!H75</f>
        <v>321.24067403236972</v>
      </c>
      <c r="I75" s="262">
        <f>[6]Exhibit!I75</f>
        <v>349.29931081505515</v>
      </c>
      <c r="J75" s="262">
        <f>[6]Exhibit!J75</f>
        <v>390.09618112338615</v>
      </c>
      <c r="K75" s="263">
        <f>[6]Exhibit!K75</f>
        <v>343.69173042533441</v>
      </c>
      <c r="L75" s="263">
        <f>[6]Exhibit!L75</f>
        <v>347.97465733693605</v>
      </c>
      <c r="M75" s="263">
        <f>[6]Exhibit!M75</f>
        <v>409.76875810230047</v>
      </c>
      <c r="N75" s="263">
        <f>[6]Exhibit!N75</f>
        <v>338.54430860637365</v>
      </c>
      <c r="O75" s="263">
        <f>[6]Exhibit!O75</f>
        <v>344.51075536799976</v>
      </c>
      <c r="P75" s="290">
        <f>[6]Exhibit!P75</f>
        <v>371.52497640826761</v>
      </c>
      <c r="Q75" s="292">
        <f t="shared" ref="Q75" si="28">Q73/Q74</f>
        <v>4310.5201722342426</v>
      </c>
      <c r="R75" s="242" t="b">
        <f>Q75=[6]Exhibit!Q75</f>
        <v>1</v>
      </c>
    </row>
    <row r="76" spans="2:18" x14ac:dyDescent="0.2">
      <c r="B76" s="440" t="s">
        <v>24</v>
      </c>
      <c r="C76" s="440"/>
      <c r="D76" s="440"/>
      <c r="E76" s="440"/>
      <c r="F76" s="440"/>
      <c r="G76" s="440"/>
      <c r="H76" s="440"/>
      <c r="I76" s="440"/>
      <c r="J76" s="440"/>
      <c r="K76" s="440"/>
      <c r="L76" s="440"/>
      <c r="M76" s="440"/>
      <c r="N76" s="440"/>
      <c r="O76" s="440"/>
      <c r="P76" s="440"/>
      <c r="Q76" s="440"/>
    </row>
    <row r="77" spans="2:18" ht="15.75" customHeight="1" x14ac:dyDescent="0.2">
      <c r="B77" s="441" t="s">
        <v>279</v>
      </c>
      <c r="C77" s="441"/>
      <c r="D77" s="441"/>
      <c r="E77" s="441"/>
      <c r="F77" s="441"/>
      <c r="G77" s="441"/>
      <c r="H77" s="441"/>
      <c r="I77" s="441"/>
      <c r="J77" s="441"/>
      <c r="K77" s="441"/>
      <c r="L77" s="441"/>
      <c r="M77" s="441"/>
      <c r="N77" s="441"/>
      <c r="O77" s="441"/>
      <c r="P77" s="441"/>
      <c r="Q77" s="441"/>
    </row>
    <row r="78" spans="2:18" ht="15.75" customHeight="1" x14ac:dyDescent="0.2">
      <c r="B78" s="442" t="s">
        <v>284</v>
      </c>
      <c r="C78" s="442"/>
      <c r="D78" s="442"/>
      <c r="E78" s="442"/>
      <c r="F78" s="442"/>
      <c r="G78" s="442"/>
      <c r="H78" s="442"/>
      <c r="I78" s="442"/>
      <c r="J78" s="442"/>
      <c r="K78" s="442"/>
      <c r="L78" s="442"/>
      <c r="M78" s="442"/>
      <c r="N78" s="442"/>
      <c r="O78" s="442"/>
      <c r="P78" s="442"/>
      <c r="Q78" s="442"/>
    </row>
    <row r="80" spans="2:18" ht="16.5" thickBot="1" x14ac:dyDescent="0.25">
      <c r="B80" s="423" t="s">
        <v>283</v>
      </c>
      <c r="C80" s="423"/>
      <c r="D80" s="423"/>
      <c r="E80" s="423"/>
      <c r="F80" s="423"/>
      <c r="G80" s="423"/>
      <c r="H80" s="423"/>
      <c r="I80" s="423"/>
      <c r="J80" s="423"/>
      <c r="K80" s="423"/>
      <c r="L80" s="423"/>
      <c r="M80" s="423"/>
      <c r="N80" s="423"/>
      <c r="O80" s="423"/>
      <c r="P80" s="423"/>
      <c r="Q80" s="423"/>
    </row>
    <row r="81" spans="2:17" ht="16.5" thickBot="1" x14ac:dyDescent="0.25">
      <c r="B81" s="238" t="s">
        <v>268</v>
      </c>
      <c r="C81" s="424" t="s">
        <v>49</v>
      </c>
      <c r="D81" s="425"/>
      <c r="E81" s="239">
        <v>42186</v>
      </c>
      <c r="F81" s="240">
        <v>42217</v>
      </c>
      <c r="G81" s="240">
        <v>42248</v>
      </c>
      <c r="H81" s="240">
        <v>42278</v>
      </c>
      <c r="I81" s="240">
        <v>42309</v>
      </c>
      <c r="J81" s="240">
        <v>42339</v>
      </c>
      <c r="K81" s="240">
        <v>42370</v>
      </c>
      <c r="L81" s="240">
        <v>42401</v>
      </c>
      <c r="M81" s="240">
        <v>42430</v>
      </c>
      <c r="N81" s="240">
        <v>42461</v>
      </c>
      <c r="O81" s="240">
        <v>42491</v>
      </c>
      <c r="P81" s="240">
        <v>42522</v>
      </c>
      <c r="Q81" s="241" t="s">
        <v>246</v>
      </c>
    </row>
    <row r="82" spans="2:17" x14ac:dyDescent="0.2">
      <c r="B82" s="426" t="s">
        <v>270</v>
      </c>
      <c r="C82" s="429" t="s">
        <v>271</v>
      </c>
      <c r="D82" s="267" t="s">
        <v>50</v>
      </c>
      <c r="E82" s="244"/>
      <c r="F82" s="244">
        <v>8566874.1500000004</v>
      </c>
      <c r="G82" s="244">
        <v>6861785.040000001</v>
      </c>
      <c r="H82" s="244">
        <v>7141601.4100000001</v>
      </c>
      <c r="I82" s="244"/>
      <c r="J82" s="244"/>
      <c r="K82" s="244"/>
      <c r="L82" s="244"/>
      <c r="M82" s="244"/>
      <c r="N82" s="244"/>
      <c r="O82" s="244"/>
      <c r="P82" s="244"/>
      <c r="Q82" s="245">
        <f>SUM(E82:P82)</f>
        <v>22570260.600000001</v>
      </c>
    </row>
    <row r="83" spans="2:17" x14ac:dyDescent="0.2">
      <c r="B83" s="427"/>
      <c r="C83" s="430"/>
      <c r="D83" s="268" t="s">
        <v>272</v>
      </c>
      <c r="E83" s="247"/>
      <c r="F83" s="247">
        <v>359.25</v>
      </c>
      <c r="G83" s="247">
        <v>491.29</v>
      </c>
      <c r="H83" s="247">
        <v>2271</v>
      </c>
      <c r="I83" s="247"/>
      <c r="J83" s="247"/>
      <c r="K83" s="247"/>
      <c r="L83" s="247"/>
      <c r="M83" s="247"/>
      <c r="N83" s="247"/>
      <c r="O83" s="247"/>
      <c r="P83" s="247"/>
      <c r="Q83" s="248">
        <f t="shared" ref="Q83:Q90" si="29">SUM(E83:P83)</f>
        <v>3121.54</v>
      </c>
    </row>
    <row r="84" spans="2:17" x14ac:dyDescent="0.2">
      <c r="B84" s="427"/>
      <c r="C84" s="430"/>
      <c r="D84" s="268" t="s">
        <v>70</v>
      </c>
      <c r="E84" s="247"/>
      <c r="F84" s="247">
        <v>0</v>
      </c>
      <c r="G84" s="247">
        <v>0</v>
      </c>
      <c r="H84" s="247">
        <v>0</v>
      </c>
      <c r="I84" s="247"/>
      <c r="J84" s="247"/>
      <c r="K84" s="247"/>
      <c r="L84" s="247"/>
      <c r="M84" s="247"/>
      <c r="N84" s="247"/>
      <c r="O84" s="247"/>
      <c r="P84" s="247"/>
      <c r="Q84" s="248">
        <f t="shared" si="29"/>
        <v>0</v>
      </c>
    </row>
    <row r="85" spans="2:17" x14ac:dyDescent="0.2">
      <c r="B85" s="427"/>
      <c r="C85" s="430"/>
      <c r="D85" s="268" t="s">
        <v>273</v>
      </c>
      <c r="E85" s="247"/>
      <c r="F85" s="247">
        <v>247224.83</v>
      </c>
      <c r="G85" s="247">
        <v>265894.2</v>
      </c>
      <c r="H85" s="247">
        <v>277106.90999999997</v>
      </c>
      <c r="I85" s="247"/>
      <c r="J85" s="247"/>
      <c r="K85" s="247"/>
      <c r="L85" s="247"/>
      <c r="M85" s="247"/>
      <c r="N85" s="247"/>
      <c r="O85" s="247"/>
      <c r="P85" s="247"/>
      <c r="Q85" s="248">
        <f t="shared" si="29"/>
        <v>790225.94</v>
      </c>
    </row>
    <row r="86" spans="2:17" ht="16.5" thickBot="1" x14ac:dyDescent="0.25">
      <c r="B86" s="427"/>
      <c r="C86" s="430"/>
      <c r="D86" s="269" t="s">
        <v>75</v>
      </c>
      <c r="E86" s="250"/>
      <c r="F86" s="250">
        <v>0</v>
      </c>
      <c r="G86" s="250">
        <v>0</v>
      </c>
      <c r="H86" s="250">
        <v>0</v>
      </c>
      <c r="I86" s="250"/>
      <c r="J86" s="250"/>
      <c r="K86" s="250"/>
      <c r="L86" s="250"/>
      <c r="M86" s="250"/>
      <c r="N86" s="250"/>
      <c r="O86" s="250"/>
      <c r="P86" s="250"/>
      <c r="Q86" s="251">
        <f t="shared" si="29"/>
        <v>0</v>
      </c>
    </row>
    <row r="87" spans="2:17" ht="16.5" thickTop="1" x14ac:dyDescent="0.2">
      <c r="B87" s="427"/>
      <c r="C87" s="445"/>
      <c r="D87" s="270" t="s">
        <v>274</v>
      </c>
      <c r="E87" s="258">
        <f>SUM(E82:E86)</f>
        <v>0</v>
      </c>
      <c r="F87" s="258">
        <f t="shared" ref="F87:P87" si="30">SUM(F82:F86)</f>
        <v>8814458.2300000004</v>
      </c>
      <c r="G87" s="258">
        <f t="shared" si="30"/>
        <v>7128170.5300000012</v>
      </c>
      <c r="H87" s="258">
        <f t="shared" si="30"/>
        <v>7420979.3200000003</v>
      </c>
      <c r="I87" s="258">
        <f t="shared" si="30"/>
        <v>0</v>
      </c>
      <c r="J87" s="258">
        <f t="shared" si="30"/>
        <v>0</v>
      </c>
      <c r="K87" s="258">
        <f t="shared" si="30"/>
        <v>0</v>
      </c>
      <c r="L87" s="258">
        <f t="shared" si="30"/>
        <v>0</v>
      </c>
      <c r="M87" s="258">
        <f t="shared" si="30"/>
        <v>0</v>
      </c>
      <c r="N87" s="258">
        <f t="shared" si="30"/>
        <v>0</v>
      </c>
      <c r="O87" s="258">
        <f t="shared" si="30"/>
        <v>0</v>
      </c>
      <c r="P87" s="258">
        <f t="shared" si="30"/>
        <v>0</v>
      </c>
      <c r="Q87" s="257">
        <f t="shared" si="29"/>
        <v>23363608.080000002</v>
      </c>
    </row>
    <row r="88" spans="2:17" x14ac:dyDescent="0.2">
      <c r="B88" s="427"/>
      <c r="C88" s="443" t="s">
        <v>275</v>
      </c>
      <c r="D88" s="444"/>
      <c r="E88" s="247"/>
      <c r="F88" s="247">
        <v>2054738.57</v>
      </c>
      <c r="G88" s="247">
        <v>2097869.7599999998</v>
      </c>
      <c r="H88" s="247">
        <v>2139782.15</v>
      </c>
      <c r="I88" s="247"/>
      <c r="J88" s="247"/>
      <c r="K88" s="247"/>
      <c r="L88" s="247"/>
      <c r="M88" s="247"/>
      <c r="N88" s="247"/>
      <c r="O88" s="247"/>
      <c r="P88" s="247"/>
      <c r="Q88" s="248">
        <f t="shared" si="29"/>
        <v>6292390.4800000004</v>
      </c>
    </row>
    <row r="89" spans="2:17" ht="16.5" thickBot="1" x14ac:dyDescent="0.25">
      <c r="B89" s="427"/>
      <c r="C89" s="434" t="s">
        <v>276</v>
      </c>
      <c r="D89" s="435"/>
      <c r="E89" s="250"/>
      <c r="F89" s="250">
        <v>8299.52</v>
      </c>
      <c r="G89" s="250">
        <v>2138.1</v>
      </c>
      <c r="H89" s="250">
        <v>6520.7</v>
      </c>
      <c r="I89" s="250"/>
      <c r="J89" s="250"/>
      <c r="K89" s="250"/>
      <c r="L89" s="250"/>
      <c r="M89" s="250"/>
      <c r="N89" s="250"/>
      <c r="O89" s="250"/>
      <c r="P89" s="250"/>
      <c r="Q89" s="251">
        <f t="shared" si="29"/>
        <v>16958.32</v>
      </c>
    </row>
    <row r="90" spans="2:17" ht="16.5" thickTop="1" x14ac:dyDescent="0.2">
      <c r="B90" s="427"/>
      <c r="C90" s="432" t="s">
        <v>121</v>
      </c>
      <c r="D90" s="433"/>
      <c r="E90" s="258">
        <f>E87+E88+E89</f>
        <v>0</v>
      </c>
      <c r="F90" s="258">
        <f t="shared" ref="F90:P90" si="31">F87+F88+F89</f>
        <v>10877496.32</v>
      </c>
      <c r="G90" s="258">
        <f t="shared" si="31"/>
        <v>9228178.3900000006</v>
      </c>
      <c r="H90" s="258">
        <f t="shared" si="31"/>
        <v>9567282.1699999999</v>
      </c>
      <c r="I90" s="258">
        <f t="shared" si="31"/>
        <v>0</v>
      </c>
      <c r="J90" s="258">
        <f t="shared" si="31"/>
        <v>0</v>
      </c>
      <c r="K90" s="258">
        <f t="shared" si="31"/>
        <v>0</v>
      </c>
      <c r="L90" s="258">
        <f t="shared" si="31"/>
        <v>0</v>
      </c>
      <c r="M90" s="258">
        <f t="shared" si="31"/>
        <v>0</v>
      </c>
      <c r="N90" s="258">
        <f t="shared" si="31"/>
        <v>0</v>
      </c>
      <c r="O90" s="258">
        <f t="shared" si="31"/>
        <v>0</v>
      </c>
      <c r="P90" s="258">
        <f t="shared" si="31"/>
        <v>0</v>
      </c>
      <c r="Q90" s="257">
        <f t="shared" si="29"/>
        <v>29672956.880000003</v>
      </c>
    </row>
    <row r="91" spans="2:17" x14ac:dyDescent="0.2">
      <c r="B91" s="427"/>
      <c r="C91" s="443" t="s">
        <v>111</v>
      </c>
      <c r="D91" s="444"/>
      <c r="E91" s="259"/>
      <c r="F91" s="259"/>
      <c r="G91" s="259"/>
      <c r="H91" s="259"/>
      <c r="I91" s="259"/>
      <c r="J91" s="259"/>
      <c r="K91" s="259"/>
      <c r="L91" s="259"/>
      <c r="M91" s="259"/>
      <c r="N91" s="259"/>
      <c r="O91" s="259"/>
      <c r="P91" s="259"/>
      <c r="Q91" s="260" t="e">
        <f>AVERAGE(E91:P91)</f>
        <v>#DIV/0!</v>
      </c>
    </row>
    <row r="92" spans="2:17" ht="16.5" thickBot="1" x14ac:dyDescent="0.25">
      <c r="B92" s="428"/>
      <c r="C92" s="438" t="s">
        <v>277</v>
      </c>
      <c r="D92" s="439"/>
      <c r="E92" s="261" t="e">
        <f>E90/E91</f>
        <v>#DIV/0!</v>
      </c>
      <c r="F92" s="262" t="e">
        <f t="shared" ref="F92:Q92" si="32">F90/F91</f>
        <v>#DIV/0!</v>
      </c>
      <c r="G92" s="262" t="e">
        <f t="shared" si="32"/>
        <v>#DIV/0!</v>
      </c>
      <c r="H92" s="262" t="e">
        <f t="shared" si="32"/>
        <v>#DIV/0!</v>
      </c>
      <c r="I92" s="262" t="e">
        <f t="shared" si="32"/>
        <v>#DIV/0!</v>
      </c>
      <c r="J92" s="262" t="e">
        <f t="shared" si="32"/>
        <v>#DIV/0!</v>
      </c>
      <c r="K92" s="263" t="e">
        <f t="shared" si="32"/>
        <v>#DIV/0!</v>
      </c>
      <c r="L92" s="263" t="e">
        <f t="shared" si="32"/>
        <v>#DIV/0!</v>
      </c>
      <c r="M92" s="263" t="e">
        <f t="shared" si="32"/>
        <v>#DIV/0!</v>
      </c>
      <c r="N92" s="263" t="e">
        <f t="shared" si="32"/>
        <v>#DIV/0!</v>
      </c>
      <c r="O92" s="263" t="e">
        <f t="shared" si="32"/>
        <v>#DIV/0!</v>
      </c>
      <c r="P92" s="263" t="e">
        <f t="shared" si="32"/>
        <v>#DIV/0!</v>
      </c>
      <c r="Q92" s="264" t="e">
        <f t="shared" si="32"/>
        <v>#DIV/0!</v>
      </c>
    </row>
    <row r="93" spans="2:17" x14ac:dyDescent="0.2">
      <c r="B93" s="426" t="s">
        <v>131</v>
      </c>
      <c r="C93" s="429" t="s">
        <v>271</v>
      </c>
      <c r="D93" s="267" t="s">
        <v>50</v>
      </c>
      <c r="E93" s="244"/>
      <c r="F93" s="244">
        <v>130421150.50999999</v>
      </c>
      <c r="G93" s="244">
        <v>108251703.80000001</v>
      </c>
      <c r="H93" s="244">
        <v>105164817.40999998</v>
      </c>
      <c r="I93" s="244"/>
      <c r="J93" s="244"/>
      <c r="K93" s="244"/>
      <c r="L93" s="244"/>
      <c r="M93" s="244"/>
      <c r="N93" s="244"/>
      <c r="O93" s="244"/>
      <c r="P93" s="244"/>
      <c r="Q93" s="245">
        <f>SUM(E93:P93)</f>
        <v>343837671.71999997</v>
      </c>
    </row>
    <row r="94" spans="2:17" x14ac:dyDescent="0.2">
      <c r="B94" s="427"/>
      <c r="C94" s="430"/>
      <c r="D94" s="268" t="s">
        <v>272</v>
      </c>
      <c r="E94" s="247"/>
      <c r="F94" s="247">
        <v>557663.2300000001</v>
      </c>
      <c r="G94" s="247">
        <v>405434.5</v>
      </c>
      <c r="H94" s="247">
        <v>386007.94</v>
      </c>
      <c r="I94" s="247"/>
      <c r="J94" s="247"/>
      <c r="K94" s="247"/>
      <c r="L94" s="247"/>
      <c r="M94" s="247"/>
      <c r="N94" s="247"/>
      <c r="O94" s="247"/>
      <c r="P94" s="247"/>
      <c r="Q94" s="248">
        <f t="shared" ref="Q94:Q101" si="33">SUM(E94:P94)</f>
        <v>1349105.6700000002</v>
      </c>
    </row>
    <row r="95" spans="2:17" x14ac:dyDescent="0.2">
      <c r="B95" s="427"/>
      <c r="C95" s="430"/>
      <c r="D95" s="268" t="s">
        <v>70</v>
      </c>
      <c r="E95" s="247"/>
      <c r="F95" s="247">
        <v>418115.25</v>
      </c>
      <c r="G95" s="247">
        <v>151718.98000000001</v>
      </c>
      <c r="H95" s="247">
        <v>284390.23</v>
      </c>
      <c r="I95" s="247"/>
      <c r="J95" s="247"/>
      <c r="K95" s="247"/>
      <c r="L95" s="247"/>
      <c r="M95" s="247"/>
      <c r="N95" s="247"/>
      <c r="O95" s="247"/>
      <c r="P95" s="247"/>
      <c r="Q95" s="248">
        <f t="shared" si="33"/>
        <v>854224.46</v>
      </c>
    </row>
    <row r="96" spans="2:17" x14ac:dyDescent="0.2">
      <c r="B96" s="427"/>
      <c r="C96" s="430"/>
      <c r="D96" s="268" t="s">
        <v>273</v>
      </c>
      <c r="E96" s="247"/>
      <c r="F96" s="247">
        <v>2407902.4500000002</v>
      </c>
      <c r="G96" s="247">
        <v>2653267.9500000002</v>
      </c>
      <c r="H96" s="247">
        <v>2718511.28</v>
      </c>
      <c r="I96" s="247"/>
      <c r="J96" s="247"/>
      <c r="K96" s="247"/>
      <c r="L96" s="247"/>
      <c r="M96" s="247"/>
      <c r="N96" s="247"/>
      <c r="O96" s="247"/>
      <c r="P96" s="247"/>
      <c r="Q96" s="248">
        <f t="shared" si="33"/>
        <v>7779681.6799999997</v>
      </c>
    </row>
    <row r="97" spans="2:17" ht="16.5" thickBot="1" x14ac:dyDescent="0.25">
      <c r="B97" s="427"/>
      <c r="C97" s="430"/>
      <c r="D97" s="269" t="s">
        <v>75</v>
      </c>
      <c r="E97" s="250"/>
      <c r="F97" s="250">
        <v>0</v>
      </c>
      <c r="G97" s="250">
        <v>0</v>
      </c>
      <c r="H97" s="250">
        <v>0</v>
      </c>
      <c r="I97" s="250"/>
      <c r="J97" s="250"/>
      <c r="K97" s="250"/>
      <c r="L97" s="250"/>
      <c r="M97" s="250"/>
      <c r="N97" s="250"/>
      <c r="O97" s="250"/>
      <c r="P97" s="250"/>
      <c r="Q97" s="251">
        <f t="shared" si="33"/>
        <v>0</v>
      </c>
    </row>
    <row r="98" spans="2:17" ht="16.5" thickTop="1" x14ac:dyDescent="0.2">
      <c r="B98" s="427"/>
      <c r="C98" s="445"/>
      <c r="D98" s="270" t="s">
        <v>274</v>
      </c>
      <c r="E98" s="258">
        <f>SUM(E93:E97)</f>
        <v>0</v>
      </c>
      <c r="F98" s="258">
        <f t="shared" ref="F98:P98" si="34">SUM(F93:F97)</f>
        <v>133804831.44</v>
      </c>
      <c r="G98" s="258">
        <f t="shared" si="34"/>
        <v>111462125.23000002</v>
      </c>
      <c r="H98" s="258">
        <f t="shared" si="34"/>
        <v>108553726.85999998</v>
      </c>
      <c r="I98" s="258">
        <f t="shared" si="34"/>
        <v>0</v>
      </c>
      <c r="J98" s="258">
        <f t="shared" si="34"/>
        <v>0</v>
      </c>
      <c r="K98" s="258">
        <f t="shared" si="34"/>
        <v>0</v>
      </c>
      <c r="L98" s="258">
        <f t="shared" si="34"/>
        <v>0</v>
      </c>
      <c r="M98" s="258">
        <f t="shared" si="34"/>
        <v>0</v>
      </c>
      <c r="N98" s="258">
        <f t="shared" si="34"/>
        <v>0</v>
      </c>
      <c r="O98" s="258">
        <f t="shared" si="34"/>
        <v>0</v>
      </c>
      <c r="P98" s="258">
        <f t="shared" si="34"/>
        <v>0</v>
      </c>
      <c r="Q98" s="257">
        <f t="shared" si="33"/>
        <v>353820683.52999997</v>
      </c>
    </row>
    <row r="99" spans="2:17" x14ac:dyDescent="0.2">
      <c r="B99" s="427"/>
      <c r="C99" s="443" t="s">
        <v>275</v>
      </c>
      <c r="D99" s="444"/>
      <c r="E99" s="247"/>
      <c r="F99" s="247">
        <v>19674016.100000001</v>
      </c>
      <c r="G99" s="247">
        <v>20238774.77</v>
      </c>
      <c r="H99" s="247">
        <v>20313196.379999999</v>
      </c>
      <c r="I99" s="247"/>
      <c r="J99" s="247"/>
      <c r="K99" s="247"/>
      <c r="L99" s="247"/>
      <c r="M99" s="247"/>
      <c r="N99" s="247"/>
      <c r="O99" s="247"/>
      <c r="P99" s="247"/>
      <c r="Q99" s="248">
        <f t="shared" si="33"/>
        <v>60225987.25</v>
      </c>
    </row>
    <row r="100" spans="2:17" ht="16.5" thickBot="1" x14ac:dyDescent="0.25">
      <c r="B100" s="427"/>
      <c r="C100" s="434" t="s">
        <v>276</v>
      </c>
      <c r="D100" s="435"/>
      <c r="E100" s="250"/>
      <c r="F100" s="250">
        <v>179155.64</v>
      </c>
      <c r="G100" s="250">
        <v>90850.59</v>
      </c>
      <c r="H100" s="250">
        <v>169150.83</v>
      </c>
      <c r="I100" s="250"/>
      <c r="J100" s="250"/>
      <c r="K100" s="250"/>
      <c r="L100" s="250"/>
      <c r="M100" s="250"/>
      <c r="N100" s="250"/>
      <c r="O100" s="250"/>
      <c r="P100" s="250"/>
      <c r="Q100" s="251">
        <f t="shared" si="33"/>
        <v>439157.05999999994</v>
      </c>
    </row>
    <row r="101" spans="2:17" ht="16.5" thickTop="1" x14ac:dyDescent="0.2">
      <c r="B101" s="427"/>
      <c r="C101" s="432" t="s">
        <v>121</v>
      </c>
      <c r="D101" s="433"/>
      <c r="E101" s="258">
        <f>E98+E99+E100</f>
        <v>0</v>
      </c>
      <c r="F101" s="258">
        <f t="shared" ref="F101:P101" si="35">F98+F99+F100</f>
        <v>153658003.17999998</v>
      </c>
      <c r="G101" s="258">
        <f t="shared" si="35"/>
        <v>131791750.59000002</v>
      </c>
      <c r="H101" s="258">
        <f t="shared" si="35"/>
        <v>129036074.06999998</v>
      </c>
      <c r="I101" s="258">
        <f t="shared" si="35"/>
        <v>0</v>
      </c>
      <c r="J101" s="258">
        <f t="shared" si="35"/>
        <v>0</v>
      </c>
      <c r="K101" s="258">
        <f t="shared" si="35"/>
        <v>0</v>
      </c>
      <c r="L101" s="258">
        <f t="shared" si="35"/>
        <v>0</v>
      </c>
      <c r="M101" s="258">
        <f t="shared" si="35"/>
        <v>0</v>
      </c>
      <c r="N101" s="258">
        <f t="shared" si="35"/>
        <v>0</v>
      </c>
      <c r="O101" s="258">
        <f t="shared" si="35"/>
        <v>0</v>
      </c>
      <c r="P101" s="258">
        <f t="shared" si="35"/>
        <v>0</v>
      </c>
      <c r="Q101" s="257">
        <f t="shared" si="33"/>
        <v>414485827.83999997</v>
      </c>
    </row>
    <row r="102" spans="2:17" x14ac:dyDescent="0.2">
      <c r="B102" s="427"/>
      <c r="C102" s="443" t="s">
        <v>111</v>
      </c>
      <c r="D102" s="444"/>
      <c r="E102" s="259"/>
      <c r="F102" s="259"/>
      <c r="G102" s="259"/>
      <c r="H102" s="259"/>
      <c r="I102" s="259"/>
      <c r="J102" s="259"/>
      <c r="K102" s="259"/>
      <c r="L102" s="259"/>
      <c r="M102" s="259"/>
      <c r="N102" s="259"/>
      <c r="O102" s="259"/>
      <c r="P102" s="259"/>
      <c r="Q102" s="260" t="e">
        <f>AVERAGE(E102:P102)</f>
        <v>#DIV/0!</v>
      </c>
    </row>
    <row r="103" spans="2:17" ht="16.5" thickBot="1" x14ac:dyDescent="0.25">
      <c r="B103" s="428"/>
      <c r="C103" s="446" t="s">
        <v>277</v>
      </c>
      <c r="D103" s="447"/>
      <c r="E103" s="261" t="e">
        <f>E101/E102</f>
        <v>#DIV/0!</v>
      </c>
      <c r="F103" s="262" t="e">
        <f t="shared" ref="F103:Q103" si="36">F101/F102</f>
        <v>#DIV/0!</v>
      </c>
      <c r="G103" s="262" t="e">
        <f t="shared" si="36"/>
        <v>#DIV/0!</v>
      </c>
      <c r="H103" s="262" t="e">
        <f t="shared" si="36"/>
        <v>#DIV/0!</v>
      </c>
      <c r="I103" s="262" t="e">
        <f t="shared" si="36"/>
        <v>#DIV/0!</v>
      </c>
      <c r="J103" s="262" t="e">
        <f t="shared" si="36"/>
        <v>#DIV/0!</v>
      </c>
      <c r="K103" s="263" t="e">
        <f t="shared" si="36"/>
        <v>#DIV/0!</v>
      </c>
      <c r="L103" s="263" t="e">
        <f t="shared" si="36"/>
        <v>#DIV/0!</v>
      </c>
      <c r="M103" s="263" t="e">
        <f t="shared" si="36"/>
        <v>#DIV/0!</v>
      </c>
      <c r="N103" s="263" t="e">
        <f t="shared" si="36"/>
        <v>#DIV/0!</v>
      </c>
      <c r="O103" s="263" t="e">
        <f t="shared" si="36"/>
        <v>#DIV/0!</v>
      </c>
      <c r="P103" s="263" t="e">
        <f t="shared" si="36"/>
        <v>#DIV/0!</v>
      </c>
      <c r="Q103" s="264" t="e">
        <f t="shared" si="36"/>
        <v>#DIV/0!</v>
      </c>
    </row>
    <row r="104" spans="2:17" x14ac:dyDescent="0.2">
      <c r="B104" s="427" t="s">
        <v>278</v>
      </c>
      <c r="C104" s="429" t="s">
        <v>271</v>
      </c>
      <c r="D104" s="270" t="s">
        <v>50</v>
      </c>
      <c r="E104" s="244">
        <f>E82+E93</f>
        <v>0</v>
      </c>
      <c r="F104" s="244">
        <f t="shared" ref="F104:J104" si="37">F82+F93</f>
        <v>138988024.66</v>
      </c>
      <c r="G104" s="244">
        <f t="shared" si="37"/>
        <v>115113488.84000002</v>
      </c>
      <c r="H104" s="244">
        <f t="shared" si="37"/>
        <v>112306418.81999998</v>
      </c>
      <c r="I104" s="244">
        <f t="shared" si="37"/>
        <v>0</v>
      </c>
      <c r="J104" s="244">
        <f t="shared" si="37"/>
        <v>0</v>
      </c>
      <c r="K104" s="244">
        <f>K82+K93</f>
        <v>0</v>
      </c>
      <c r="L104" s="244">
        <f t="shared" ref="L104:P104" si="38">L82+L93</f>
        <v>0</v>
      </c>
      <c r="M104" s="244">
        <f t="shared" si="38"/>
        <v>0</v>
      </c>
      <c r="N104" s="244">
        <f t="shared" si="38"/>
        <v>0</v>
      </c>
      <c r="O104" s="244">
        <f t="shared" si="38"/>
        <v>0</v>
      </c>
      <c r="P104" s="244">
        <f t="shared" si="38"/>
        <v>0</v>
      </c>
      <c r="Q104" s="245">
        <f>SUM(E104:P104)</f>
        <v>366407932.31999999</v>
      </c>
    </row>
    <row r="105" spans="2:17" x14ac:dyDescent="0.2">
      <c r="B105" s="427"/>
      <c r="C105" s="430"/>
      <c r="D105" s="268" t="s">
        <v>272</v>
      </c>
      <c r="E105" s="247">
        <f t="shared" ref="E105:P108" si="39">E83+E94</f>
        <v>0</v>
      </c>
      <c r="F105" s="247">
        <f t="shared" si="39"/>
        <v>558022.4800000001</v>
      </c>
      <c r="G105" s="247">
        <f t="shared" si="39"/>
        <v>405925.79</v>
      </c>
      <c r="H105" s="247">
        <f t="shared" si="39"/>
        <v>388278.94</v>
      </c>
      <c r="I105" s="247">
        <f t="shared" si="39"/>
        <v>0</v>
      </c>
      <c r="J105" s="247">
        <f t="shared" si="39"/>
        <v>0</v>
      </c>
      <c r="K105" s="247">
        <f t="shared" si="39"/>
        <v>0</v>
      </c>
      <c r="L105" s="247">
        <f t="shared" si="39"/>
        <v>0</v>
      </c>
      <c r="M105" s="247">
        <f t="shared" si="39"/>
        <v>0</v>
      </c>
      <c r="N105" s="247">
        <f t="shared" si="39"/>
        <v>0</v>
      </c>
      <c r="O105" s="247">
        <f t="shared" si="39"/>
        <v>0</v>
      </c>
      <c r="P105" s="247">
        <f t="shared" si="39"/>
        <v>0</v>
      </c>
      <c r="Q105" s="248">
        <f t="shared" ref="Q105:Q112" si="40">SUM(E105:P105)</f>
        <v>1352227.21</v>
      </c>
    </row>
    <row r="106" spans="2:17" x14ac:dyDescent="0.2">
      <c r="B106" s="427"/>
      <c r="C106" s="430"/>
      <c r="D106" s="268" t="s">
        <v>70</v>
      </c>
      <c r="E106" s="247">
        <f t="shared" si="39"/>
        <v>0</v>
      </c>
      <c r="F106" s="247">
        <f t="shared" si="39"/>
        <v>418115.25</v>
      </c>
      <c r="G106" s="247">
        <f t="shared" si="39"/>
        <v>151718.98000000001</v>
      </c>
      <c r="H106" s="247">
        <f t="shared" si="39"/>
        <v>284390.23</v>
      </c>
      <c r="I106" s="247">
        <f t="shared" si="39"/>
        <v>0</v>
      </c>
      <c r="J106" s="247">
        <f t="shared" si="39"/>
        <v>0</v>
      </c>
      <c r="K106" s="247">
        <f t="shared" si="39"/>
        <v>0</v>
      </c>
      <c r="L106" s="247">
        <f t="shared" si="39"/>
        <v>0</v>
      </c>
      <c r="M106" s="247">
        <f t="shared" si="39"/>
        <v>0</v>
      </c>
      <c r="N106" s="247">
        <f t="shared" si="39"/>
        <v>0</v>
      </c>
      <c r="O106" s="247">
        <f t="shared" si="39"/>
        <v>0</v>
      </c>
      <c r="P106" s="247">
        <f t="shared" si="39"/>
        <v>0</v>
      </c>
      <c r="Q106" s="248">
        <f t="shared" si="40"/>
        <v>854224.46</v>
      </c>
    </row>
    <row r="107" spans="2:17" x14ac:dyDescent="0.2">
      <c r="B107" s="427"/>
      <c r="C107" s="430"/>
      <c r="D107" s="268" t="s">
        <v>273</v>
      </c>
      <c r="E107" s="247">
        <f t="shared" si="39"/>
        <v>0</v>
      </c>
      <c r="F107" s="247">
        <f t="shared" si="39"/>
        <v>2655127.2800000003</v>
      </c>
      <c r="G107" s="247">
        <f t="shared" si="39"/>
        <v>2919162.1500000004</v>
      </c>
      <c r="H107" s="247">
        <f t="shared" si="39"/>
        <v>2995618.19</v>
      </c>
      <c r="I107" s="247">
        <f t="shared" si="39"/>
        <v>0</v>
      </c>
      <c r="J107" s="247">
        <f t="shared" si="39"/>
        <v>0</v>
      </c>
      <c r="K107" s="247">
        <f t="shared" si="39"/>
        <v>0</v>
      </c>
      <c r="L107" s="247">
        <f t="shared" si="39"/>
        <v>0</v>
      </c>
      <c r="M107" s="247">
        <f t="shared" si="39"/>
        <v>0</v>
      </c>
      <c r="N107" s="247">
        <f t="shared" si="39"/>
        <v>0</v>
      </c>
      <c r="O107" s="247">
        <f t="shared" si="39"/>
        <v>0</v>
      </c>
      <c r="P107" s="247">
        <f t="shared" si="39"/>
        <v>0</v>
      </c>
      <c r="Q107" s="248">
        <f t="shared" si="40"/>
        <v>8569907.620000001</v>
      </c>
    </row>
    <row r="108" spans="2:17" ht="16.5" thickBot="1" x14ac:dyDescent="0.25">
      <c r="B108" s="427"/>
      <c r="C108" s="430"/>
      <c r="D108" s="269" t="s">
        <v>75</v>
      </c>
      <c r="E108" s="250">
        <f t="shared" si="39"/>
        <v>0</v>
      </c>
      <c r="F108" s="250">
        <f t="shared" si="39"/>
        <v>0</v>
      </c>
      <c r="G108" s="250">
        <f t="shared" si="39"/>
        <v>0</v>
      </c>
      <c r="H108" s="250">
        <f t="shared" si="39"/>
        <v>0</v>
      </c>
      <c r="I108" s="250">
        <f t="shared" si="39"/>
        <v>0</v>
      </c>
      <c r="J108" s="250">
        <f t="shared" si="39"/>
        <v>0</v>
      </c>
      <c r="K108" s="250">
        <f t="shared" si="39"/>
        <v>0</v>
      </c>
      <c r="L108" s="250">
        <f t="shared" si="39"/>
        <v>0</v>
      </c>
      <c r="M108" s="250">
        <f t="shared" si="39"/>
        <v>0</v>
      </c>
      <c r="N108" s="250">
        <f t="shared" si="39"/>
        <v>0</v>
      </c>
      <c r="O108" s="250">
        <f t="shared" si="39"/>
        <v>0</v>
      </c>
      <c r="P108" s="250">
        <f t="shared" si="39"/>
        <v>0</v>
      </c>
      <c r="Q108" s="251">
        <f t="shared" si="40"/>
        <v>0</v>
      </c>
    </row>
    <row r="109" spans="2:17" ht="16.5" thickTop="1" x14ac:dyDescent="0.2">
      <c r="B109" s="427"/>
      <c r="C109" s="445"/>
      <c r="D109" s="270" t="s">
        <v>274</v>
      </c>
      <c r="E109" s="258">
        <f>SUM(E104:E108)</f>
        <v>0</v>
      </c>
      <c r="F109" s="258">
        <f t="shared" ref="F109:P109" si="41">SUM(F104:F108)</f>
        <v>142619289.66999999</v>
      </c>
      <c r="G109" s="258">
        <f t="shared" si="41"/>
        <v>118590295.76000004</v>
      </c>
      <c r="H109" s="258">
        <f t="shared" si="41"/>
        <v>115974706.17999998</v>
      </c>
      <c r="I109" s="258">
        <f t="shared" si="41"/>
        <v>0</v>
      </c>
      <c r="J109" s="258">
        <f t="shared" si="41"/>
        <v>0</v>
      </c>
      <c r="K109" s="258">
        <f t="shared" si="41"/>
        <v>0</v>
      </c>
      <c r="L109" s="258">
        <f t="shared" si="41"/>
        <v>0</v>
      </c>
      <c r="M109" s="258">
        <f t="shared" si="41"/>
        <v>0</v>
      </c>
      <c r="N109" s="258">
        <f t="shared" si="41"/>
        <v>0</v>
      </c>
      <c r="O109" s="258">
        <f t="shared" si="41"/>
        <v>0</v>
      </c>
      <c r="P109" s="258">
        <f t="shared" si="41"/>
        <v>0</v>
      </c>
      <c r="Q109" s="257">
        <f t="shared" si="40"/>
        <v>377184291.61000001</v>
      </c>
    </row>
    <row r="110" spans="2:17" x14ac:dyDescent="0.2">
      <c r="B110" s="427"/>
      <c r="C110" s="443" t="s">
        <v>275</v>
      </c>
      <c r="D110" s="444"/>
      <c r="E110" s="247">
        <f>E88+E99</f>
        <v>0</v>
      </c>
      <c r="F110" s="247">
        <f t="shared" ref="F110:J111" si="42">F88+F99</f>
        <v>21728754.670000002</v>
      </c>
      <c r="G110" s="247">
        <f t="shared" si="42"/>
        <v>22336644.530000001</v>
      </c>
      <c r="H110" s="247">
        <f t="shared" si="42"/>
        <v>22452978.529999997</v>
      </c>
      <c r="I110" s="247">
        <f t="shared" si="42"/>
        <v>0</v>
      </c>
      <c r="J110" s="247">
        <f t="shared" si="42"/>
        <v>0</v>
      </c>
      <c r="K110" s="247">
        <f>K88+K99</f>
        <v>0</v>
      </c>
      <c r="L110" s="247">
        <f t="shared" ref="L110:P111" si="43">L88+L99</f>
        <v>0</v>
      </c>
      <c r="M110" s="247">
        <f t="shared" si="43"/>
        <v>0</v>
      </c>
      <c r="N110" s="247">
        <f t="shared" si="43"/>
        <v>0</v>
      </c>
      <c r="O110" s="247">
        <f t="shared" si="43"/>
        <v>0</v>
      </c>
      <c r="P110" s="247">
        <f t="shared" si="43"/>
        <v>0</v>
      </c>
      <c r="Q110" s="248">
        <f t="shared" si="40"/>
        <v>66518377.730000004</v>
      </c>
    </row>
    <row r="111" spans="2:17" ht="16.5" thickBot="1" x14ac:dyDescent="0.25">
      <c r="B111" s="427"/>
      <c r="C111" s="434" t="s">
        <v>276</v>
      </c>
      <c r="D111" s="435"/>
      <c r="E111" s="250">
        <f>E89+E100</f>
        <v>0</v>
      </c>
      <c r="F111" s="250">
        <f t="shared" si="42"/>
        <v>187455.16</v>
      </c>
      <c r="G111" s="250">
        <f t="shared" si="42"/>
        <v>92988.69</v>
      </c>
      <c r="H111" s="250">
        <f t="shared" si="42"/>
        <v>175671.53</v>
      </c>
      <c r="I111" s="250">
        <f t="shared" si="42"/>
        <v>0</v>
      </c>
      <c r="J111" s="250">
        <f t="shared" si="42"/>
        <v>0</v>
      </c>
      <c r="K111" s="250">
        <f>K89+K100</f>
        <v>0</v>
      </c>
      <c r="L111" s="250">
        <f t="shared" si="43"/>
        <v>0</v>
      </c>
      <c r="M111" s="250">
        <f t="shared" si="43"/>
        <v>0</v>
      </c>
      <c r="N111" s="250">
        <f t="shared" si="43"/>
        <v>0</v>
      </c>
      <c r="O111" s="250">
        <f t="shared" si="43"/>
        <v>0</v>
      </c>
      <c r="P111" s="250">
        <f t="shared" si="43"/>
        <v>0</v>
      </c>
      <c r="Q111" s="251">
        <f t="shared" si="40"/>
        <v>456115.38</v>
      </c>
    </row>
    <row r="112" spans="2:17" ht="16.5" thickTop="1" x14ac:dyDescent="0.2">
      <c r="B112" s="427"/>
      <c r="C112" s="432" t="s">
        <v>121</v>
      </c>
      <c r="D112" s="433"/>
      <c r="E112" s="258">
        <f>E109+E110+E111</f>
        <v>0</v>
      </c>
      <c r="F112" s="258">
        <f t="shared" ref="F112:P112" si="44">F109+F110+F111</f>
        <v>164535499.49999997</v>
      </c>
      <c r="G112" s="258">
        <f t="shared" si="44"/>
        <v>141019928.98000002</v>
      </c>
      <c r="H112" s="258">
        <f t="shared" si="44"/>
        <v>138603356.23999998</v>
      </c>
      <c r="I112" s="258">
        <f t="shared" si="44"/>
        <v>0</v>
      </c>
      <c r="J112" s="258">
        <f t="shared" si="44"/>
        <v>0</v>
      </c>
      <c r="K112" s="258">
        <f t="shared" si="44"/>
        <v>0</v>
      </c>
      <c r="L112" s="258">
        <f t="shared" si="44"/>
        <v>0</v>
      </c>
      <c r="M112" s="258">
        <f t="shared" si="44"/>
        <v>0</v>
      </c>
      <c r="N112" s="258">
        <f t="shared" si="44"/>
        <v>0</v>
      </c>
      <c r="O112" s="258">
        <f t="shared" si="44"/>
        <v>0</v>
      </c>
      <c r="P112" s="258">
        <f t="shared" si="44"/>
        <v>0</v>
      </c>
      <c r="Q112" s="257">
        <f t="shared" si="40"/>
        <v>444158784.72000003</v>
      </c>
    </row>
    <row r="113" spans="2:17" x14ac:dyDescent="0.2">
      <c r="B113" s="427"/>
      <c r="C113" s="443" t="s">
        <v>111</v>
      </c>
      <c r="D113" s="444"/>
      <c r="E113" s="259">
        <f>E91+E102</f>
        <v>0</v>
      </c>
      <c r="F113" s="259">
        <f t="shared" ref="F113:P113" si="45">F91+F102</f>
        <v>0</v>
      </c>
      <c r="G113" s="259">
        <f t="shared" si="45"/>
        <v>0</v>
      </c>
      <c r="H113" s="259">
        <f t="shared" si="45"/>
        <v>0</v>
      </c>
      <c r="I113" s="259">
        <f t="shared" si="45"/>
        <v>0</v>
      </c>
      <c r="J113" s="259">
        <f t="shared" si="45"/>
        <v>0</v>
      </c>
      <c r="K113" s="259">
        <f t="shared" si="45"/>
        <v>0</v>
      </c>
      <c r="L113" s="259">
        <f t="shared" si="45"/>
        <v>0</v>
      </c>
      <c r="M113" s="259">
        <f t="shared" si="45"/>
        <v>0</v>
      </c>
      <c r="N113" s="259">
        <f t="shared" si="45"/>
        <v>0</v>
      </c>
      <c r="O113" s="259">
        <f t="shared" si="45"/>
        <v>0</v>
      </c>
      <c r="P113" s="259">
        <f t="shared" si="45"/>
        <v>0</v>
      </c>
      <c r="Q113" s="260">
        <f>AVERAGE(E113:P113)</f>
        <v>0</v>
      </c>
    </row>
    <row r="114" spans="2:17" ht="16.5" thickBot="1" x14ac:dyDescent="0.25">
      <c r="B114" s="428"/>
      <c r="C114" s="446" t="s">
        <v>277</v>
      </c>
      <c r="D114" s="447"/>
      <c r="E114" s="261" t="e">
        <f>E112/E113</f>
        <v>#DIV/0!</v>
      </c>
      <c r="F114" s="262" t="e">
        <f t="shared" ref="F114:Q114" si="46">F112/F113</f>
        <v>#DIV/0!</v>
      </c>
      <c r="G114" s="262" t="e">
        <f t="shared" si="46"/>
        <v>#DIV/0!</v>
      </c>
      <c r="H114" s="262" t="e">
        <f t="shared" si="46"/>
        <v>#DIV/0!</v>
      </c>
      <c r="I114" s="262" t="e">
        <f t="shared" si="46"/>
        <v>#DIV/0!</v>
      </c>
      <c r="J114" s="262" t="e">
        <f t="shared" si="46"/>
        <v>#DIV/0!</v>
      </c>
      <c r="K114" s="263" t="e">
        <f t="shared" si="46"/>
        <v>#DIV/0!</v>
      </c>
      <c r="L114" s="263" t="e">
        <f t="shared" si="46"/>
        <v>#DIV/0!</v>
      </c>
      <c r="M114" s="263" t="e">
        <f t="shared" si="46"/>
        <v>#DIV/0!</v>
      </c>
      <c r="N114" s="263" t="e">
        <f t="shared" si="46"/>
        <v>#DIV/0!</v>
      </c>
      <c r="O114" s="263" t="e">
        <f t="shared" si="46"/>
        <v>#DIV/0!</v>
      </c>
      <c r="P114" s="263" t="e">
        <f t="shared" si="46"/>
        <v>#DIV/0!</v>
      </c>
      <c r="Q114" s="264" t="e">
        <f t="shared" si="46"/>
        <v>#DIV/0!</v>
      </c>
    </row>
    <row r="115" spans="2:17" x14ac:dyDescent="0.2">
      <c r="B115" s="440" t="s">
        <v>24</v>
      </c>
      <c r="C115" s="440"/>
      <c r="D115" s="440"/>
      <c r="E115" s="440"/>
      <c r="F115" s="440"/>
      <c r="G115" s="440"/>
      <c r="H115" s="440"/>
      <c r="I115" s="440"/>
      <c r="J115" s="440"/>
      <c r="K115" s="440"/>
      <c r="L115" s="440"/>
      <c r="M115" s="440"/>
      <c r="N115" s="440"/>
      <c r="O115" s="440"/>
      <c r="P115" s="440"/>
      <c r="Q115" s="440"/>
    </row>
    <row r="116" spans="2:17" x14ac:dyDescent="0.2">
      <c r="B116" s="441" t="s">
        <v>279</v>
      </c>
      <c r="C116" s="441"/>
      <c r="D116" s="441"/>
      <c r="E116" s="441"/>
      <c r="F116" s="441"/>
      <c r="G116" s="441"/>
      <c r="H116" s="441"/>
      <c r="I116" s="441"/>
      <c r="J116" s="441"/>
      <c r="K116" s="441"/>
      <c r="L116" s="441"/>
      <c r="M116" s="441"/>
      <c r="N116" s="441"/>
      <c r="O116" s="441"/>
      <c r="P116" s="441"/>
      <c r="Q116" s="441"/>
    </row>
    <row r="117" spans="2:17" x14ac:dyDescent="0.2">
      <c r="B117" s="441" t="s">
        <v>280</v>
      </c>
      <c r="C117" s="441"/>
      <c r="D117" s="441"/>
      <c r="E117" s="441"/>
      <c r="F117" s="441"/>
      <c r="G117" s="441"/>
      <c r="H117" s="441"/>
      <c r="I117" s="441"/>
      <c r="J117" s="441"/>
      <c r="K117" s="441"/>
      <c r="L117" s="441"/>
      <c r="M117" s="441"/>
      <c r="N117" s="441"/>
      <c r="O117" s="441"/>
      <c r="P117" s="441"/>
      <c r="Q117" s="441"/>
    </row>
  </sheetData>
  <mergeCells count="78">
    <mergeCell ref="B115:Q115"/>
    <mergeCell ref="B116:Q116"/>
    <mergeCell ref="B117:Q117"/>
    <mergeCell ref="B104:B114"/>
    <mergeCell ref="C104:C109"/>
    <mergeCell ref="C110:D110"/>
    <mergeCell ref="C111:D111"/>
    <mergeCell ref="C112:D112"/>
    <mergeCell ref="C113:D113"/>
    <mergeCell ref="C114:D114"/>
    <mergeCell ref="C91:D91"/>
    <mergeCell ref="C92:D92"/>
    <mergeCell ref="B93:B103"/>
    <mergeCell ref="C93:C98"/>
    <mergeCell ref="C99:D99"/>
    <mergeCell ref="C100:D100"/>
    <mergeCell ref="C101:D101"/>
    <mergeCell ref="C102:D102"/>
    <mergeCell ref="C103:D103"/>
    <mergeCell ref="B82:B92"/>
    <mergeCell ref="C82:C87"/>
    <mergeCell ref="C88:D88"/>
    <mergeCell ref="C89:D89"/>
    <mergeCell ref="C90:D90"/>
    <mergeCell ref="B76:Q76"/>
    <mergeCell ref="B77:Q77"/>
    <mergeCell ref="B78:Q78"/>
    <mergeCell ref="B80:Q80"/>
    <mergeCell ref="C81:D81"/>
    <mergeCell ref="B65:B75"/>
    <mergeCell ref="C65:C70"/>
    <mergeCell ref="C71:D71"/>
    <mergeCell ref="C72:D72"/>
    <mergeCell ref="C73:D73"/>
    <mergeCell ref="C74:D74"/>
    <mergeCell ref="C75:D75"/>
    <mergeCell ref="C52:D52"/>
    <mergeCell ref="C53:D53"/>
    <mergeCell ref="B54:B64"/>
    <mergeCell ref="C54:C59"/>
    <mergeCell ref="C60:D60"/>
    <mergeCell ref="C61:D61"/>
    <mergeCell ref="C62:D62"/>
    <mergeCell ref="C63:D63"/>
    <mergeCell ref="C64:D64"/>
    <mergeCell ref="B43:B53"/>
    <mergeCell ref="C43:C48"/>
    <mergeCell ref="C49:D49"/>
    <mergeCell ref="C50:D50"/>
    <mergeCell ref="C51:D51"/>
    <mergeCell ref="B37:Q37"/>
    <mergeCell ref="B38:Q38"/>
    <mergeCell ref="B39:Q39"/>
    <mergeCell ref="B41:Q41"/>
    <mergeCell ref="C42:D42"/>
    <mergeCell ref="B26:B36"/>
    <mergeCell ref="C26:C31"/>
    <mergeCell ref="C32:D32"/>
    <mergeCell ref="C33:D33"/>
    <mergeCell ref="C34:D34"/>
    <mergeCell ref="C35:D35"/>
    <mergeCell ref="C36:D36"/>
    <mergeCell ref="B15:B25"/>
    <mergeCell ref="C15:C20"/>
    <mergeCell ref="C21:D21"/>
    <mergeCell ref="C22:D22"/>
    <mergeCell ref="C23:D23"/>
    <mergeCell ref="C24:D24"/>
    <mergeCell ref="C25:D25"/>
    <mergeCell ref="B2:Q2"/>
    <mergeCell ref="C3:D3"/>
    <mergeCell ref="B4:B14"/>
    <mergeCell ref="C4:C9"/>
    <mergeCell ref="C10:D10"/>
    <mergeCell ref="C11:D11"/>
    <mergeCell ref="C12:D12"/>
    <mergeCell ref="C13:D13"/>
    <mergeCell ref="C14:D14"/>
  </mergeCells>
  <pageMargins left="0.7" right="0.7" top="0.75" bottom="0.75" header="0.3" footer="0.3"/>
  <pageSetup scale="45" orientation="landscape" r:id="rId1"/>
  <headerFooter>
    <oddHeader>&amp;C&amp;"Times New Roman,Bold"&amp;12Department of Health Care Policy and Financing
FY 2015-16 Medical Premiums Expenditure and Caseload Report</oddHeader>
    <oddFooter>&amp;L&amp;KFF0000Page # - UPDATE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view="pageBreakPreview" topLeftCell="A98" zoomScale="80" zoomScaleNormal="100" zoomScaleSheetLayoutView="80" workbookViewId="0">
      <selection activeCell="C4" sqref="C4"/>
    </sheetView>
  </sheetViews>
  <sheetFormatPr defaultColWidth="9.140625" defaultRowHeight="15.75" x14ac:dyDescent="0.2"/>
  <cols>
    <col min="1" max="1" width="9.140625" style="310"/>
    <col min="2" max="2" width="41.7109375" style="310" customWidth="1"/>
    <col min="3" max="3" width="14.140625" style="310" bestFit="1" customWidth="1"/>
    <col min="4" max="4" width="10.7109375" style="310" customWidth="1"/>
    <col min="5" max="5" width="12.42578125" style="310" customWidth="1"/>
    <col min="6" max="6" width="12.7109375" style="310" customWidth="1"/>
    <col min="7" max="8" width="15.140625" style="310" customWidth="1"/>
    <col min="9" max="9" width="10.5703125" style="310" customWidth="1"/>
    <col min="10" max="10" width="17.28515625" style="310" customWidth="1"/>
    <col min="11" max="11" width="11.7109375" style="310" customWidth="1"/>
    <col min="12" max="12" width="16" style="310" customWidth="1"/>
    <col min="13" max="13" width="10.7109375" style="310" bestFit="1" customWidth="1"/>
    <col min="14" max="15" width="10.5703125" style="310" customWidth="1"/>
    <col min="16" max="16" width="11.7109375" style="310" customWidth="1"/>
    <col min="17" max="17" width="10.28515625" style="310" customWidth="1"/>
    <col min="18" max="18" width="12.28515625" style="310" customWidth="1"/>
    <col min="19" max="16384" width="9.140625" style="310"/>
  </cols>
  <sheetData>
    <row r="1" spans="2:18" ht="22.5" customHeight="1" x14ac:dyDescent="0.2">
      <c r="B1" s="448" t="s">
        <v>149</v>
      </c>
      <c r="C1" s="449"/>
      <c r="D1" s="449"/>
      <c r="E1" s="449"/>
      <c r="F1" s="449"/>
      <c r="G1" s="449"/>
      <c r="H1" s="449"/>
      <c r="I1" s="449"/>
      <c r="J1" s="449"/>
      <c r="K1" s="449"/>
      <c r="L1" s="449"/>
      <c r="M1" s="449"/>
      <c r="N1" s="449"/>
      <c r="O1" s="449"/>
      <c r="P1" s="449"/>
      <c r="Q1" s="449"/>
      <c r="R1" s="450"/>
    </row>
    <row r="2" spans="2:18" s="84" customFormat="1" ht="62.25" customHeight="1" x14ac:dyDescent="0.2">
      <c r="B2" s="104"/>
      <c r="C2" s="58" t="s">
        <v>126</v>
      </c>
      <c r="D2" s="58" t="s">
        <v>127</v>
      </c>
      <c r="E2" s="58" t="s">
        <v>128</v>
      </c>
      <c r="F2" s="58" t="s">
        <v>107</v>
      </c>
      <c r="G2" s="58" t="s">
        <v>129</v>
      </c>
      <c r="H2" s="58" t="s">
        <v>130</v>
      </c>
      <c r="I2" s="58" t="s">
        <v>131</v>
      </c>
      <c r="J2" s="58" t="s">
        <v>19</v>
      </c>
      <c r="K2" s="58" t="s">
        <v>136</v>
      </c>
      <c r="L2" s="58" t="s">
        <v>132</v>
      </c>
      <c r="M2" s="58" t="s">
        <v>20</v>
      </c>
      <c r="N2" s="58" t="s">
        <v>133</v>
      </c>
      <c r="O2" s="58" t="s">
        <v>134</v>
      </c>
      <c r="P2" s="58" t="s">
        <v>135</v>
      </c>
      <c r="Q2" s="58" t="s">
        <v>32</v>
      </c>
      <c r="R2" s="105" t="s">
        <v>0</v>
      </c>
    </row>
    <row r="3" spans="2:18" s="84" customFormat="1" hidden="1" x14ac:dyDescent="0.2">
      <c r="B3" s="106">
        <v>39995</v>
      </c>
      <c r="C3" s="3">
        <v>38058</v>
      </c>
      <c r="D3" s="3">
        <v>6774</v>
      </c>
      <c r="E3" s="3">
        <v>52315</v>
      </c>
      <c r="F3" s="3"/>
      <c r="G3" s="55">
        <v>70356</v>
      </c>
      <c r="H3" s="3">
        <v>0</v>
      </c>
      <c r="I3" s="3"/>
      <c r="J3" s="3">
        <v>393</v>
      </c>
      <c r="K3" s="3">
        <v>259609</v>
      </c>
      <c r="L3" s="3"/>
      <c r="M3" s="3">
        <v>18285</v>
      </c>
      <c r="N3" s="3">
        <v>7745</v>
      </c>
      <c r="O3" s="3"/>
      <c r="P3" s="3">
        <v>3930</v>
      </c>
      <c r="Q3" s="3">
        <v>15434</v>
      </c>
      <c r="R3" s="107">
        <f t="shared" ref="R3:R13" si="0">SUM(C3:Q3)</f>
        <v>472899</v>
      </c>
    </row>
    <row r="4" spans="2:18" s="84" customFormat="1" hidden="1" x14ac:dyDescent="0.2">
      <c r="B4" s="106">
        <v>40026</v>
      </c>
      <c r="C4" s="3">
        <v>38306</v>
      </c>
      <c r="D4" s="3">
        <v>6863</v>
      </c>
      <c r="E4" s="3">
        <v>52573</v>
      </c>
      <c r="F4" s="3"/>
      <c r="G4" s="55">
        <v>71467</v>
      </c>
      <c r="H4" s="57">
        <v>0</v>
      </c>
      <c r="I4" s="3"/>
      <c r="J4" s="3">
        <v>395</v>
      </c>
      <c r="K4" s="3">
        <v>263415</v>
      </c>
      <c r="L4" s="3"/>
      <c r="M4" s="3">
        <v>18325</v>
      </c>
      <c r="N4" s="3">
        <v>7849</v>
      </c>
      <c r="O4" s="3"/>
      <c r="P4" s="3">
        <v>3835</v>
      </c>
      <c r="Q4" s="3">
        <v>15522</v>
      </c>
      <c r="R4" s="107">
        <f t="shared" si="0"/>
        <v>478550</v>
      </c>
    </row>
    <row r="5" spans="2:18" s="84" customFormat="1" hidden="1" x14ac:dyDescent="0.2">
      <c r="B5" s="106">
        <v>40057</v>
      </c>
      <c r="C5" s="3">
        <v>38346</v>
      </c>
      <c r="D5" s="3">
        <v>6945</v>
      </c>
      <c r="E5" s="3">
        <v>52710</v>
      </c>
      <c r="F5" s="3"/>
      <c r="G5" s="55">
        <v>72192</v>
      </c>
      <c r="H5" s="57">
        <v>0</v>
      </c>
      <c r="I5" s="3"/>
      <c r="J5" s="3">
        <v>402</v>
      </c>
      <c r="K5" s="3">
        <v>266381</v>
      </c>
      <c r="L5" s="3"/>
      <c r="M5" s="3">
        <v>18200</v>
      </c>
      <c r="N5" s="3">
        <v>7775</v>
      </c>
      <c r="O5" s="3"/>
      <c r="P5" s="3">
        <v>3724</v>
      </c>
      <c r="Q5" s="3">
        <v>15513</v>
      </c>
      <c r="R5" s="107">
        <f t="shared" si="0"/>
        <v>482188</v>
      </c>
    </row>
    <row r="6" spans="2:18" s="84" customFormat="1" hidden="1" x14ac:dyDescent="0.2">
      <c r="B6" s="106">
        <v>40087</v>
      </c>
      <c r="C6" s="3">
        <v>38480</v>
      </c>
      <c r="D6" s="3">
        <v>6985</v>
      </c>
      <c r="E6" s="3">
        <v>52847</v>
      </c>
      <c r="F6" s="3"/>
      <c r="G6" s="55">
        <v>73474</v>
      </c>
      <c r="H6" s="57">
        <v>0</v>
      </c>
      <c r="I6" s="3"/>
      <c r="J6" s="3">
        <v>406</v>
      </c>
      <c r="K6" s="3">
        <v>270514</v>
      </c>
      <c r="L6" s="3"/>
      <c r="M6" s="3">
        <v>18169</v>
      </c>
      <c r="N6" s="3">
        <v>7713</v>
      </c>
      <c r="O6" s="3"/>
      <c r="P6" s="3">
        <v>3650</v>
      </c>
      <c r="Q6" s="3">
        <v>15638</v>
      </c>
      <c r="R6" s="107">
        <f t="shared" si="0"/>
        <v>487876</v>
      </c>
    </row>
    <row r="7" spans="2:18" s="84" customFormat="1" hidden="1" x14ac:dyDescent="0.2">
      <c r="B7" s="106">
        <v>40118</v>
      </c>
      <c r="C7" s="3">
        <v>38387</v>
      </c>
      <c r="D7" s="3">
        <v>6986</v>
      </c>
      <c r="E7" s="3">
        <v>52982</v>
      </c>
      <c r="F7" s="3"/>
      <c r="G7" s="55">
        <v>73957</v>
      </c>
      <c r="H7" s="57">
        <v>0</v>
      </c>
      <c r="I7" s="3"/>
      <c r="J7" s="3">
        <v>418</v>
      </c>
      <c r="K7" s="3">
        <v>272453</v>
      </c>
      <c r="L7" s="3"/>
      <c r="M7" s="3">
        <v>17992</v>
      </c>
      <c r="N7" s="3">
        <v>7674</v>
      </c>
      <c r="O7" s="3"/>
      <c r="P7" s="3">
        <v>3644</v>
      </c>
      <c r="Q7" s="3">
        <v>15743</v>
      </c>
      <c r="R7" s="107">
        <f t="shared" si="0"/>
        <v>490236</v>
      </c>
    </row>
    <row r="8" spans="2:18" s="84" customFormat="1" hidden="1" x14ac:dyDescent="0.2">
      <c r="B8" s="106">
        <v>40148</v>
      </c>
      <c r="C8" s="3">
        <v>38410</v>
      </c>
      <c r="D8" s="3">
        <v>7025</v>
      </c>
      <c r="E8" s="3">
        <v>53000</v>
      </c>
      <c r="F8" s="3"/>
      <c r="G8" s="55">
        <v>75120</v>
      </c>
      <c r="H8" s="57">
        <v>0</v>
      </c>
      <c r="I8" s="3"/>
      <c r="J8" s="3">
        <v>411</v>
      </c>
      <c r="K8" s="3">
        <v>275867</v>
      </c>
      <c r="L8" s="3"/>
      <c r="M8" s="3">
        <v>18371</v>
      </c>
      <c r="N8" s="3">
        <v>7627</v>
      </c>
      <c r="O8" s="3"/>
      <c r="P8" s="3">
        <v>3632</v>
      </c>
      <c r="Q8" s="3">
        <v>15846</v>
      </c>
      <c r="R8" s="107">
        <f t="shared" si="0"/>
        <v>495309</v>
      </c>
    </row>
    <row r="9" spans="2:18" s="84" customFormat="1" hidden="1" x14ac:dyDescent="0.2">
      <c r="B9" s="106">
        <v>40179</v>
      </c>
      <c r="C9" s="3">
        <v>38452</v>
      </c>
      <c r="D9" s="3">
        <v>7047</v>
      </c>
      <c r="E9" s="3">
        <v>53255</v>
      </c>
      <c r="F9" s="3"/>
      <c r="G9" s="55">
        <v>76403</v>
      </c>
      <c r="H9" s="57">
        <v>0</v>
      </c>
      <c r="I9" s="3"/>
      <c r="J9" s="3">
        <v>416</v>
      </c>
      <c r="K9" s="3">
        <v>279000</v>
      </c>
      <c r="L9" s="3"/>
      <c r="M9" s="3">
        <v>18400</v>
      </c>
      <c r="N9" s="3">
        <v>7796</v>
      </c>
      <c r="O9" s="3"/>
      <c r="P9" s="3">
        <v>3610</v>
      </c>
      <c r="Q9" s="3">
        <v>15954</v>
      </c>
      <c r="R9" s="107">
        <f t="shared" si="0"/>
        <v>500333</v>
      </c>
    </row>
    <row r="10" spans="2:18" s="84" customFormat="1" hidden="1" x14ac:dyDescent="0.2">
      <c r="B10" s="106">
        <v>40210</v>
      </c>
      <c r="C10" s="3">
        <v>38432</v>
      </c>
      <c r="D10" s="3">
        <v>7049</v>
      </c>
      <c r="E10" s="3">
        <v>53298</v>
      </c>
      <c r="F10" s="3"/>
      <c r="G10" s="55">
        <v>77214</v>
      </c>
      <c r="H10" s="57">
        <v>0</v>
      </c>
      <c r="I10" s="3"/>
      <c r="J10" s="3">
        <v>431</v>
      </c>
      <c r="K10" s="3">
        <v>279898</v>
      </c>
      <c r="L10" s="3"/>
      <c r="M10" s="3">
        <v>18467</v>
      </c>
      <c r="N10" s="3">
        <v>7779</v>
      </c>
      <c r="O10" s="3"/>
      <c r="P10" s="3">
        <v>3550</v>
      </c>
      <c r="Q10" s="3">
        <v>16076</v>
      </c>
      <c r="R10" s="107">
        <f t="shared" si="0"/>
        <v>502194</v>
      </c>
    </row>
    <row r="11" spans="2:18" s="84" customFormat="1" hidden="1" x14ac:dyDescent="0.2">
      <c r="B11" s="106">
        <v>40238</v>
      </c>
      <c r="C11" s="3">
        <v>38597</v>
      </c>
      <c r="D11" s="3">
        <v>7152</v>
      </c>
      <c r="E11" s="3">
        <v>53629</v>
      </c>
      <c r="F11" s="3"/>
      <c r="G11" s="55">
        <v>79286</v>
      </c>
      <c r="H11" s="57">
        <v>0</v>
      </c>
      <c r="I11" s="3"/>
      <c r="J11" s="3">
        <v>449</v>
      </c>
      <c r="K11" s="3">
        <v>283625</v>
      </c>
      <c r="L11" s="3"/>
      <c r="M11" s="3">
        <v>18486</v>
      </c>
      <c r="N11" s="3">
        <v>7996</v>
      </c>
      <c r="O11" s="3"/>
      <c r="P11" s="3">
        <v>3768</v>
      </c>
      <c r="Q11" s="3">
        <v>16212</v>
      </c>
      <c r="R11" s="107">
        <f t="shared" si="0"/>
        <v>509200</v>
      </c>
    </row>
    <row r="12" spans="2:18" s="84" customFormat="1" hidden="1" x14ac:dyDescent="0.2">
      <c r="B12" s="106">
        <v>40269</v>
      </c>
      <c r="C12" s="3">
        <v>38727</v>
      </c>
      <c r="D12" s="3">
        <v>7212</v>
      </c>
      <c r="E12" s="3">
        <v>53904</v>
      </c>
      <c r="F12" s="3"/>
      <c r="G12" s="55">
        <v>80192</v>
      </c>
      <c r="H12" s="57">
        <v>0</v>
      </c>
      <c r="I12" s="3"/>
      <c r="J12" s="3">
        <v>452</v>
      </c>
      <c r="K12" s="3">
        <v>285746</v>
      </c>
      <c r="L12" s="3"/>
      <c r="M12" s="3">
        <v>18552</v>
      </c>
      <c r="N12" s="3">
        <v>8054</v>
      </c>
      <c r="O12" s="3"/>
      <c r="P12" s="3">
        <v>3831</v>
      </c>
      <c r="Q12" s="3">
        <v>16308</v>
      </c>
      <c r="R12" s="107">
        <f t="shared" si="0"/>
        <v>512978</v>
      </c>
    </row>
    <row r="13" spans="2:18" s="84" customFormat="1" hidden="1" x14ac:dyDescent="0.2">
      <c r="B13" s="106">
        <v>40299</v>
      </c>
      <c r="C13" s="3">
        <v>38754</v>
      </c>
      <c r="D13" s="3">
        <v>7228</v>
      </c>
      <c r="E13" s="3">
        <v>54164</v>
      </c>
      <c r="F13" s="3"/>
      <c r="G13" s="55">
        <v>75804</v>
      </c>
      <c r="H13" s="55">
        <v>18253</v>
      </c>
      <c r="I13" s="3"/>
      <c r="J13" s="3">
        <v>455</v>
      </c>
      <c r="K13" s="3">
        <v>285779</v>
      </c>
      <c r="L13" s="3"/>
      <c r="M13" s="3">
        <v>18651</v>
      </c>
      <c r="N13" s="3">
        <v>8039</v>
      </c>
      <c r="O13" s="3"/>
      <c r="P13" s="3">
        <v>3615</v>
      </c>
      <c r="Q13" s="3">
        <v>16285</v>
      </c>
      <c r="R13" s="107">
        <f t="shared" si="0"/>
        <v>527027</v>
      </c>
    </row>
    <row r="14" spans="2:18" s="84" customFormat="1" hidden="1" x14ac:dyDescent="0.2">
      <c r="B14" s="106">
        <v>40330</v>
      </c>
      <c r="C14" s="3">
        <v>38900</v>
      </c>
      <c r="D14" s="3">
        <v>7326</v>
      </c>
      <c r="E14" s="3">
        <v>54493</v>
      </c>
      <c r="F14" s="3"/>
      <c r="G14" s="55">
        <v>72608</v>
      </c>
      <c r="H14" s="55">
        <v>20607</v>
      </c>
      <c r="I14" s="3"/>
      <c r="J14" s="3">
        <v>466</v>
      </c>
      <c r="K14" s="3">
        <v>285778</v>
      </c>
      <c r="L14" s="3"/>
      <c r="M14" s="3">
        <v>18678</v>
      </c>
      <c r="N14" s="3">
        <v>7903</v>
      </c>
      <c r="O14" s="3"/>
      <c r="P14" s="3">
        <v>3522</v>
      </c>
      <c r="Q14" s="3">
        <v>16495</v>
      </c>
      <c r="R14" s="107">
        <f>SUM(C14:Q14)</f>
        <v>526776</v>
      </c>
    </row>
    <row r="15" spans="2:18" s="85" customFormat="1" hidden="1" x14ac:dyDescent="0.2">
      <c r="B15" s="108" t="s">
        <v>101</v>
      </c>
      <c r="C15" s="7">
        <f t="shared" ref="C15:M15" si="1">ROUND(AVERAGE(C3:C14),0)</f>
        <v>38487</v>
      </c>
      <c r="D15" s="7">
        <f t="shared" si="1"/>
        <v>7049</v>
      </c>
      <c r="E15" s="7">
        <f t="shared" si="1"/>
        <v>53264</v>
      </c>
      <c r="F15" s="7"/>
      <c r="G15" s="7">
        <f t="shared" si="1"/>
        <v>74839</v>
      </c>
      <c r="H15" s="7">
        <f t="shared" si="1"/>
        <v>3238</v>
      </c>
      <c r="I15" s="7"/>
      <c r="J15" s="7">
        <f>ROUND(AVERAGE(J3:J14),0)</f>
        <v>425</v>
      </c>
      <c r="K15" s="7">
        <f>ROUND(AVERAGE(K3:K14),0)</f>
        <v>275672</v>
      </c>
      <c r="L15" s="7"/>
      <c r="M15" s="7">
        <f t="shared" si="1"/>
        <v>18381</v>
      </c>
      <c r="N15" s="7">
        <f>ROUNDUP(AVERAGE(N3:N14),0)</f>
        <v>7830</v>
      </c>
      <c r="O15" s="7"/>
      <c r="P15" s="7">
        <f>ROUND(AVERAGE(P3:P14),0)</f>
        <v>3693</v>
      </c>
      <c r="Q15" s="7">
        <f>ROUND(AVERAGE(Q3:Q14),0)</f>
        <v>15919</v>
      </c>
      <c r="R15" s="109">
        <f>SUM(C15:Q15)</f>
        <v>498797</v>
      </c>
    </row>
    <row r="16" spans="2:18" s="84" customFormat="1" hidden="1" x14ac:dyDescent="0.2">
      <c r="B16" s="106">
        <v>40360</v>
      </c>
      <c r="C16" s="3"/>
      <c r="D16" s="3">
        <v>7395</v>
      </c>
      <c r="E16" s="4">
        <v>54740</v>
      </c>
      <c r="F16" s="4">
        <v>0</v>
      </c>
      <c r="G16" s="55">
        <v>73769</v>
      </c>
      <c r="H16" s="55">
        <v>21446</v>
      </c>
      <c r="I16" s="4">
        <v>0</v>
      </c>
      <c r="J16" s="3">
        <v>471</v>
      </c>
      <c r="K16" s="4">
        <v>287674</v>
      </c>
      <c r="L16" s="4">
        <v>0</v>
      </c>
      <c r="M16" s="3">
        <v>18628</v>
      </c>
      <c r="N16" s="3">
        <v>7909</v>
      </c>
      <c r="O16" s="4">
        <v>0</v>
      </c>
      <c r="P16" s="3">
        <v>3492</v>
      </c>
      <c r="Q16" s="4">
        <v>16539</v>
      </c>
      <c r="R16" s="107">
        <f t="shared" ref="R16:R40" si="2">SUM(C16:Q16)</f>
        <v>492063</v>
      </c>
    </row>
    <row r="17" spans="2:18" s="84" customFormat="1" hidden="1" x14ac:dyDescent="0.2">
      <c r="B17" s="106">
        <v>40391</v>
      </c>
      <c r="C17" s="3">
        <v>38648</v>
      </c>
      <c r="D17" s="3">
        <v>7492</v>
      </c>
      <c r="E17" s="4">
        <v>55032</v>
      </c>
      <c r="F17" s="4">
        <v>0</v>
      </c>
      <c r="G17" s="55">
        <v>75863</v>
      </c>
      <c r="H17" s="55">
        <v>24193</v>
      </c>
      <c r="I17" s="4">
        <v>0</v>
      </c>
      <c r="J17" s="3">
        <v>493</v>
      </c>
      <c r="K17" s="4">
        <f>218121+72750</f>
        <v>290871</v>
      </c>
      <c r="L17" s="4">
        <v>0</v>
      </c>
      <c r="M17" s="3">
        <v>18455</v>
      </c>
      <c r="N17" s="3">
        <f>7448+566</f>
        <v>8014</v>
      </c>
      <c r="O17" s="4">
        <v>0</v>
      </c>
      <c r="P17" s="3">
        <v>3378</v>
      </c>
      <c r="Q17" s="4">
        <f>11132+5502</f>
        <v>16634</v>
      </c>
      <c r="R17" s="107">
        <f t="shared" si="2"/>
        <v>539073</v>
      </c>
    </row>
    <row r="18" spans="2:18" s="84" customFormat="1" hidden="1" x14ac:dyDescent="0.2">
      <c r="B18" s="106">
        <v>40422</v>
      </c>
      <c r="C18" s="3">
        <v>38774</v>
      </c>
      <c r="D18" s="3">
        <v>7562</v>
      </c>
      <c r="E18" s="4">
        <v>55223</v>
      </c>
      <c r="F18" s="4">
        <v>0</v>
      </c>
      <c r="G18" s="55">
        <v>76255</v>
      </c>
      <c r="H18" s="55">
        <v>25071</v>
      </c>
      <c r="I18" s="4">
        <v>0</v>
      </c>
      <c r="J18" s="3">
        <v>503</v>
      </c>
      <c r="K18" s="4">
        <f>223315+68277</f>
        <v>291592</v>
      </c>
      <c r="L18" s="4">
        <v>0</v>
      </c>
      <c r="M18" s="3">
        <v>18451</v>
      </c>
      <c r="N18" s="3">
        <f>7410+561</f>
        <v>7971</v>
      </c>
      <c r="O18" s="4">
        <v>0</v>
      </c>
      <c r="P18" s="3">
        <v>3231</v>
      </c>
      <c r="Q18" s="4">
        <f>11140+5512</f>
        <v>16652</v>
      </c>
      <c r="R18" s="107">
        <f t="shared" si="2"/>
        <v>541285</v>
      </c>
    </row>
    <row r="19" spans="2:18" s="84" customFormat="1" hidden="1" x14ac:dyDescent="0.2">
      <c r="B19" s="106">
        <v>40452</v>
      </c>
      <c r="C19" s="3">
        <v>38901</v>
      </c>
      <c r="D19" s="3">
        <v>7602</v>
      </c>
      <c r="E19" s="4">
        <v>55508</v>
      </c>
      <c r="F19" s="4">
        <v>0</v>
      </c>
      <c r="G19" s="55">
        <v>77291</v>
      </c>
      <c r="H19" s="55">
        <v>26016</v>
      </c>
      <c r="I19" s="4">
        <v>0</v>
      </c>
      <c r="J19" s="3">
        <v>505</v>
      </c>
      <c r="K19" s="4">
        <v>294155</v>
      </c>
      <c r="L19" s="4">
        <v>0</v>
      </c>
      <c r="M19" s="3">
        <v>18464</v>
      </c>
      <c r="N19" s="3">
        <v>7985</v>
      </c>
      <c r="O19" s="4">
        <v>0</v>
      </c>
      <c r="P19" s="3">
        <v>3080</v>
      </c>
      <c r="Q19" s="4">
        <v>16794</v>
      </c>
      <c r="R19" s="107">
        <f t="shared" si="2"/>
        <v>546301</v>
      </c>
    </row>
    <row r="20" spans="2:18" s="84" customFormat="1" hidden="1" x14ac:dyDescent="0.2">
      <c r="B20" s="106">
        <v>40483</v>
      </c>
      <c r="C20" s="3">
        <v>39009</v>
      </c>
      <c r="D20" s="3">
        <v>7682</v>
      </c>
      <c r="E20" s="4">
        <v>55804</v>
      </c>
      <c r="F20" s="4">
        <v>0</v>
      </c>
      <c r="G20" s="55">
        <v>78278</v>
      </c>
      <c r="H20" s="55">
        <v>26924</v>
      </c>
      <c r="I20" s="4">
        <v>0</v>
      </c>
      <c r="J20" s="3">
        <v>511</v>
      </c>
      <c r="K20" s="4">
        <v>296482</v>
      </c>
      <c r="L20" s="4">
        <v>0</v>
      </c>
      <c r="M20" s="3">
        <v>18597</v>
      </c>
      <c r="N20" s="3">
        <v>7891</v>
      </c>
      <c r="O20" s="4">
        <v>0</v>
      </c>
      <c r="P20" s="3">
        <v>3049</v>
      </c>
      <c r="Q20" s="4">
        <v>16941</v>
      </c>
      <c r="R20" s="107">
        <f t="shared" si="2"/>
        <v>551168</v>
      </c>
    </row>
    <row r="21" spans="2:18" s="84" customFormat="1" hidden="1" x14ac:dyDescent="0.2">
      <c r="B21" s="106">
        <v>40513</v>
      </c>
      <c r="C21" s="3">
        <v>38769</v>
      </c>
      <c r="D21" s="3">
        <v>7721</v>
      </c>
      <c r="E21" s="4">
        <v>55937</v>
      </c>
      <c r="F21" s="4">
        <v>0</v>
      </c>
      <c r="G21" s="55">
        <v>79773</v>
      </c>
      <c r="H21" s="55">
        <v>27596</v>
      </c>
      <c r="I21" s="4">
        <v>0</v>
      </c>
      <c r="J21" s="3">
        <v>526</v>
      </c>
      <c r="K21" s="4">
        <v>299499</v>
      </c>
      <c r="L21" s="4">
        <v>0</v>
      </c>
      <c r="M21" s="3">
        <v>18510</v>
      </c>
      <c r="N21" s="3">
        <v>7764</v>
      </c>
      <c r="O21" s="4">
        <v>0</v>
      </c>
      <c r="P21" s="3">
        <v>3023</v>
      </c>
      <c r="Q21" s="3">
        <v>17002</v>
      </c>
      <c r="R21" s="107">
        <f t="shared" si="2"/>
        <v>556120</v>
      </c>
    </row>
    <row r="22" spans="2:18" s="84" customFormat="1" hidden="1" x14ac:dyDescent="0.2">
      <c r="B22" s="106">
        <v>40544</v>
      </c>
      <c r="C22" s="3">
        <v>38813</v>
      </c>
      <c r="D22" s="3">
        <v>7781</v>
      </c>
      <c r="E22" s="4">
        <v>56417</v>
      </c>
      <c r="F22" s="4">
        <v>0</v>
      </c>
      <c r="G22" s="56">
        <v>82824</v>
      </c>
      <c r="H22" s="55">
        <v>27188</v>
      </c>
      <c r="I22" s="3">
        <v>0</v>
      </c>
      <c r="J22" s="3">
        <v>532</v>
      </c>
      <c r="K22" s="4">
        <v>304042</v>
      </c>
      <c r="L22" s="3">
        <v>0</v>
      </c>
      <c r="M22" s="3">
        <v>18386</v>
      </c>
      <c r="N22" s="3">
        <v>7806</v>
      </c>
      <c r="O22" s="3">
        <v>0</v>
      </c>
      <c r="P22" s="3">
        <v>3116</v>
      </c>
      <c r="Q22" s="3">
        <v>17210</v>
      </c>
      <c r="R22" s="107">
        <f t="shared" si="2"/>
        <v>564115</v>
      </c>
    </row>
    <row r="23" spans="2:18" s="84" customFormat="1" hidden="1" x14ac:dyDescent="0.2">
      <c r="B23" s="106">
        <v>40575</v>
      </c>
      <c r="C23" s="3">
        <v>38823</v>
      </c>
      <c r="D23" s="3">
        <v>7870</v>
      </c>
      <c r="E23" s="3">
        <v>56671</v>
      </c>
      <c r="F23" s="3">
        <v>0</v>
      </c>
      <c r="G23" s="55">
        <v>83547</v>
      </c>
      <c r="H23" s="55">
        <v>28323</v>
      </c>
      <c r="I23" s="3">
        <v>0</v>
      </c>
      <c r="J23" s="3">
        <v>535</v>
      </c>
      <c r="K23" s="3">
        <v>307032</v>
      </c>
      <c r="L23" s="3">
        <v>0</v>
      </c>
      <c r="M23" s="3">
        <v>18200</v>
      </c>
      <c r="N23" s="3">
        <v>7677</v>
      </c>
      <c r="O23" s="3">
        <v>0</v>
      </c>
      <c r="P23" s="3">
        <v>3161</v>
      </c>
      <c r="Q23" s="3">
        <v>17249</v>
      </c>
      <c r="R23" s="107">
        <f t="shared" si="2"/>
        <v>569088</v>
      </c>
    </row>
    <row r="24" spans="2:18" s="84" customFormat="1" hidden="1" x14ac:dyDescent="0.2">
      <c r="B24" s="106">
        <v>40603</v>
      </c>
      <c r="C24" s="3">
        <v>38939</v>
      </c>
      <c r="D24" s="3">
        <v>7966</v>
      </c>
      <c r="E24" s="4">
        <v>57103</v>
      </c>
      <c r="F24" s="4">
        <v>0</v>
      </c>
      <c r="G24" s="55">
        <v>85574</v>
      </c>
      <c r="H24" s="55">
        <v>28968</v>
      </c>
      <c r="I24" s="4">
        <v>0</v>
      </c>
      <c r="J24" s="3">
        <v>556</v>
      </c>
      <c r="K24" s="4">
        <v>312300</v>
      </c>
      <c r="L24" s="4">
        <v>0</v>
      </c>
      <c r="M24" s="3">
        <v>18244</v>
      </c>
      <c r="N24" s="3">
        <v>7881</v>
      </c>
      <c r="O24" s="4">
        <v>0</v>
      </c>
      <c r="P24" s="3">
        <v>3271</v>
      </c>
      <c r="Q24" s="4">
        <v>17390</v>
      </c>
      <c r="R24" s="107">
        <f t="shared" si="2"/>
        <v>578192</v>
      </c>
    </row>
    <row r="25" spans="2:18" s="84" customFormat="1" hidden="1" x14ac:dyDescent="0.2">
      <c r="B25" s="106">
        <v>40634</v>
      </c>
      <c r="C25" s="3">
        <v>38861</v>
      </c>
      <c r="D25" s="3">
        <v>7987</v>
      </c>
      <c r="E25" s="4">
        <v>57385</v>
      </c>
      <c r="F25" s="4">
        <v>0</v>
      </c>
      <c r="G25" s="55">
        <v>85763</v>
      </c>
      <c r="H25" s="55">
        <v>29451</v>
      </c>
      <c r="I25" s="4">
        <v>0</v>
      </c>
      <c r="J25" s="3">
        <v>569</v>
      </c>
      <c r="K25" s="4">
        <v>312603</v>
      </c>
      <c r="L25" s="4">
        <v>0</v>
      </c>
      <c r="M25" s="3">
        <v>18280</v>
      </c>
      <c r="N25" s="3">
        <v>7864</v>
      </c>
      <c r="O25" s="4">
        <v>0</v>
      </c>
      <c r="P25" s="3">
        <v>3274</v>
      </c>
      <c r="Q25" s="4">
        <v>17399</v>
      </c>
      <c r="R25" s="107">
        <f t="shared" si="2"/>
        <v>579436</v>
      </c>
    </row>
    <row r="26" spans="2:18" s="84" customFormat="1" hidden="1" x14ac:dyDescent="0.2">
      <c r="B26" s="106">
        <v>40664</v>
      </c>
      <c r="C26" s="3">
        <v>38981</v>
      </c>
      <c r="D26" s="3">
        <v>8051</v>
      </c>
      <c r="E26" s="4">
        <v>57608</v>
      </c>
      <c r="F26" s="4">
        <v>0</v>
      </c>
      <c r="G26" s="55">
        <v>86596</v>
      </c>
      <c r="H26" s="55">
        <v>30102</v>
      </c>
      <c r="I26" s="4">
        <v>0</v>
      </c>
      <c r="J26" s="3">
        <v>587</v>
      </c>
      <c r="K26" s="4">
        <v>315116</v>
      </c>
      <c r="L26" s="4">
        <v>0</v>
      </c>
      <c r="M26" s="3">
        <v>18279</v>
      </c>
      <c r="N26" s="3">
        <v>7830</v>
      </c>
      <c r="O26" s="4">
        <v>0</v>
      </c>
      <c r="P26" s="3">
        <v>3255</v>
      </c>
      <c r="Q26" s="4">
        <v>17546</v>
      </c>
      <c r="R26" s="107">
        <f t="shared" si="2"/>
        <v>583951</v>
      </c>
    </row>
    <row r="27" spans="2:18" s="84" customFormat="1" hidden="1" x14ac:dyDescent="0.2">
      <c r="B27" s="106">
        <v>40695</v>
      </c>
      <c r="C27" s="3">
        <v>39154</v>
      </c>
      <c r="D27" s="3">
        <v>8089</v>
      </c>
      <c r="E27" s="4">
        <v>57986</v>
      </c>
      <c r="F27" s="4">
        <v>0</v>
      </c>
      <c r="G27" s="55">
        <v>87827</v>
      </c>
      <c r="H27" s="55">
        <v>30724</v>
      </c>
      <c r="I27" s="4">
        <v>0</v>
      </c>
      <c r="J27" s="3">
        <v>589</v>
      </c>
      <c r="K27" s="4">
        <v>317551</v>
      </c>
      <c r="L27" s="4">
        <v>0</v>
      </c>
      <c r="M27" s="3">
        <v>18221</v>
      </c>
      <c r="N27" s="3">
        <v>7828</v>
      </c>
      <c r="O27" s="4">
        <v>0</v>
      </c>
      <c r="P27" s="3">
        <v>3229</v>
      </c>
      <c r="Q27" s="4">
        <v>17727</v>
      </c>
      <c r="R27" s="107">
        <f t="shared" si="2"/>
        <v>588925</v>
      </c>
    </row>
    <row r="28" spans="2:18" s="85" customFormat="1" hidden="1" x14ac:dyDescent="0.2">
      <c r="B28" s="108" t="s">
        <v>106</v>
      </c>
      <c r="C28" s="7">
        <f>ROUND(AVERAGE(C16:C27),0)</f>
        <v>38879</v>
      </c>
      <c r="D28" s="7">
        <f t="shared" ref="D28:P28" si="3">ROUND(AVERAGE(D16:D27),0)</f>
        <v>7767</v>
      </c>
      <c r="E28" s="7">
        <f t="shared" si="3"/>
        <v>56285</v>
      </c>
      <c r="F28" s="7">
        <v>0</v>
      </c>
      <c r="G28" s="7">
        <f>ROUND(AVERAGE(G16:G27),0)+1</f>
        <v>81114</v>
      </c>
      <c r="H28" s="7">
        <f t="shared" si="3"/>
        <v>27167</v>
      </c>
      <c r="I28" s="7">
        <v>0</v>
      </c>
      <c r="J28" s="7">
        <f>ROUND(AVERAGE(J16:J27),0)</f>
        <v>531</v>
      </c>
      <c r="K28" s="7">
        <f>ROUND(AVERAGE(K16:K27),0)</f>
        <v>302410</v>
      </c>
      <c r="L28" s="7">
        <v>0</v>
      </c>
      <c r="M28" s="7">
        <f t="shared" si="3"/>
        <v>18393</v>
      </c>
      <c r="N28" s="7">
        <f t="shared" si="3"/>
        <v>7868</v>
      </c>
      <c r="O28" s="7">
        <v>0</v>
      </c>
      <c r="P28" s="7">
        <f t="shared" si="3"/>
        <v>3213</v>
      </c>
      <c r="Q28" s="7">
        <f>ROUND(AVERAGE(Q16:Q27),0)</f>
        <v>17090</v>
      </c>
      <c r="R28" s="109">
        <f>SUM(C28:Q28)</f>
        <v>560717</v>
      </c>
    </row>
    <row r="29" spans="2:18" s="85" customFormat="1" hidden="1" x14ac:dyDescent="0.2">
      <c r="B29" s="106">
        <v>40725</v>
      </c>
      <c r="C29" s="3">
        <v>39341</v>
      </c>
      <c r="D29" s="3">
        <v>8133</v>
      </c>
      <c r="E29" s="3">
        <v>58294</v>
      </c>
      <c r="F29" s="3">
        <v>0</v>
      </c>
      <c r="G29" s="55">
        <v>87556</v>
      </c>
      <c r="H29" s="55">
        <v>31920</v>
      </c>
      <c r="I29" s="3">
        <v>0</v>
      </c>
      <c r="J29" s="3">
        <v>587</v>
      </c>
      <c r="K29" s="3">
        <v>319065</v>
      </c>
      <c r="L29" s="3">
        <v>0</v>
      </c>
      <c r="M29" s="3">
        <v>18125</v>
      </c>
      <c r="N29" s="3">
        <v>7810</v>
      </c>
      <c r="O29" s="3">
        <v>0</v>
      </c>
      <c r="P29" s="3">
        <v>3089</v>
      </c>
      <c r="Q29" s="3">
        <v>17923</v>
      </c>
      <c r="R29" s="107">
        <f t="shared" si="2"/>
        <v>591843</v>
      </c>
    </row>
    <row r="30" spans="2:18" s="85" customFormat="1" hidden="1" x14ac:dyDescent="0.2">
      <c r="B30" s="106">
        <v>40756</v>
      </c>
      <c r="C30" s="3">
        <v>39537</v>
      </c>
      <c r="D30" s="3">
        <v>8222</v>
      </c>
      <c r="E30" s="3">
        <v>58712</v>
      </c>
      <c r="F30" s="3">
        <v>0</v>
      </c>
      <c r="G30" s="55">
        <v>88518</v>
      </c>
      <c r="H30" s="55">
        <v>32462</v>
      </c>
      <c r="I30" s="3">
        <v>0</v>
      </c>
      <c r="J30" s="3">
        <v>586</v>
      </c>
      <c r="K30" s="3">
        <v>322779</v>
      </c>
      <c r="L30" s="3">
        <v>0</v>
      </c>
      <c r="M30" s="3">
        <v>18084</v>
      </c>
      <c r="N30" s="3">
        <v>7786</v>
      </c>
      <c r="O30" s="3">
        <v>0</v>
      </c>
      <c r="P30" s="3">
        <v>2973</v>
      </c>
      <c r="Q30" s="3">
        <v>18046</v>
      </c>
      <c r="R30" s="107">
        <f t="shared" si="2"/>
        <v>597705</v>
      </c>
    </row>
    <row r="31" spans="2:18" s="85" customFormat="1" hidden="1" x14ac:dyDescent="0.2">
      <c r="B31" s="106">
        <v>40787</v>
      </c>
      <c r="C31" s="3">
        <v>39600</v>
      </c>
      <c r="D31" s="3">
        <v>8280</v>
      </c>
      <c r="E31" s="3">
        <v>58937</v>
      </c>
      <c r="F31" s="3">
        <v>0</v>
      </c>
      <c r="G31" s="55">
        <v>90001</v>
      </c>
      <c r="H31" s="55">
        <v>33152</v>
      </c>
      <c r="I31" s="3">
        <v>0</v>
      </c>
      <c r="J31" s="3">
        <v>590</v>
      </c>
      <c r="K31" s="3">
        <v>325673</v>
      </c>
      <c r="L31" s="3">
        <v>0</v>
      </c>
      <c r="M31" s="3">
        <v>18119</v>
      </c>
      <c r="N31" s="3">
        <v>7628</v>
      </c>
      <c r="O31" s="3">
        <v>0</v>
      </c>
      <c r="P31" s="3">
        <v>2774</v>
      </c>
      <c r="Q31" s="3">
        <v>18156</v>
      </c>
      <c r="R31" s="107">
        <f t="shared" si="2"/>
        <v>602910</v>
      </c>
    </row>
    <row r="32" spans="2:18" s="85" customFormat="1" hidden="1" x14ac:dyDescent="0.2">
      <c r="B32" s="106">
        <v>40817</v>
      </c>
      <c r="C32" s="3">
        <v>39697</v>
      </c>
      <c r="D32" s="3">
        <v>8328</v>
      </c>
      <c r="E32" s="3">
        <v>59159</v>
      </c>
      <c r="F32" s="3">
        <v>0</v>
      </c>
      <c r="G32" s="55">
        <v>91662</v>
      </c>
      <c r="H32" s="55">
        <v>33838</v>
      </c>
      <c r="I32" s="3">
        <v>0</v>
      </c>
      <c r="J32" s="3">
        <v>592</v>
      </c>
      <c r="K32" s="3">
        <v>328632</v>
      </c>
      <c r="L32" s="3">
        <v>0</v>
      </c>
      <c r="M32" s="3">
        <v>18096</v>
      </c>
      <c r="N32" s="3">
        <v>7558</v>
      </c>
      <c r="O32" s="3">
        <v>0</v>
      </c>
      <c r="P32" s="3">
        <v>2657</v>
      </c>
      <c r="Q32" s="3">
        <v>18314</v>
      </c>
      <c r="R32" s="107">
        <f t="shared" si="2"/>
        <v>608533</v>
      </c>
    </row>
    <row r="33" spans="1:18" s="85" customFormat="1" hidden="1" x14ac:dyDescent="0.2">
      <c r="B33" s="106">
        <v>40848</v>
      </c>
      <c r="C33" s="3">
        <v>39789</v>
      </c>
      <c r="D33" s="3">
        <v>8343</v>
      </c>
      <c r="E33" s="3">
        <v>59298</v>
      </c>
      <c r="F33" s="3">
        <v>0</v>
      </c>
      <c r="G33" s="55">
        <v>92441</v>
      </c>
      <c r="H33" s="55">
        <v>34915</v>
      </c>
      <c r="I33" s="3">
        <v>0</v>
      </c>
      <c r="J33" s="3">
        <v>602</v>
      </c>
      <c r="K33" s="3">
        <v>332183</v>
      </c>
      <c r="L33" s="3">
        <v>0</v>
      </c>
      <c r="M33" s="3">
        <v>18077</v>
      </c>
      <c r="N33" s="3">
        <v>7371</v>
      </c>
      <c r="O33" s="3">
        <v>0</v>
      </c>
      <c r="P33" s="3">
        <v>2543</v>
      </c>
      <c r="Q33" s="3">
        <v>18584</v>
      </c>
      <c r="R33" s="107">
        <f t="shared" si="2"/>
        <v>614146</v>
      </c>
    </row>
    <row r="34" spans="1:18" s="85" customFormat="1" hidden="1" x14ac:dyDescent="0.2">
      <c r="B34" s="106">
        <v>40878</v>
      </c>
      <c r="C34" s="3">
        <v>39843</v>
      </c>
      <c r="D34" s="3">
        <v>8355</v>
      </c>
      <c r="E34" s="3">
        <v>59384</v>
      </c>
      <c r="F34" s="3">
        <v>0</v>
      </c>
      <c r="G34" s="55">
        <v>94778</v>
      </c>
      <c r="H34" s="55">
        <v>34886</v>
      </c>
      <c r="I34" s="3">
        <v>0</v>
      </c>
      <c r="J34" s="3">
        <v>606</v>
      </c>
      <c r="K34" s="3">
        <v>336053</v>
      </c>
      <c r="L34" s="3">
        <v>0</v>
      </c>
      <c r="M34" s="3">
        <v>18172</v>
      </c>
      <c r="N34" s="3">
        <v>7333</v>
      </c>
      <c r="O34" s="3">
        <v>0</v>
      </c>
      <c r="P34" s="3">
        <v>2591</v>
      </c>
      <c r="Q34" s="3">
        <v>18798</v>
      </c>
      <c r="R34" s="107">
        <f t="shared" si="2"/>
        <v>620799</v>
      </c>
    </row>
    <row r="35" spans="1:18" s="85" customFormat="1" hidden="1" x14ac:dyDescent="0.2">
      <c r="B35" s="106">
        <v>40909</v>
      </c>
      <c r="C35" s="3">
        <v>39742</v>
      </c>
      <c r="D35" s="3">
        <v>8373</v>
      </c>
      <c r="E35" s="3">
        <v>59709</v>
      </c>
      <c r="F35" s="3">
        <v>0</v>
      </c>
      <c r="G35" s="55">
        <v>93523</v>
      </c>
      <c r="H35" s="55">
        <v>35481</v>
      </c>
      <c r="I35" s="3">
        <v>0</v>
      </c>
      <c r="J35" s="3">
        <v>603</v>
      </c>
      <c r="K35" s="3">
        <v>336096</v>
      </c>
      <c r="L35" s="3">
        <v>0</v>
      </c>
      <c r="M35" s="3">
        <v>17968</v>
      </c>
      <c r="N35" s="3">
        <v>7445</v>
      </c>
      <c r="O35" s="3">
        <v>0</v>
      </c>
      <c r="P35" s="3">
        <v>2617</v>
      </c>
      <c r="Q35" s="3">
        <v>18985</v>
      </c>
      <c r="R35" s="107">
        <f t="shared" si="2"/>
        <v>620542</v>
      </c>
    </row>
    <row r="36" spans="1:18" s="85" customFormat="1" hidden="1" x14ac:dyDescent="0.2">
      <c r="B36" s="106">
        <v>40940</v>
      </c>
      <c r="C36" s="3">
        <v>39800</v>
      </c>
      <c r="D36" s="3">
        <v>8401</v>
      </c>
      <c r="E36" s="3">
        <v>59635</v>
      </c>
      <c r="F36" s="3">
        <v>0</v>
      </c>
      <c r="G36" s="55">
        <v>94868</v>
      </c>
      <c r="H36" s="55">
        <v>35962</v>
      </c>
      <c r="I36" s="3">
        <v>0</v>
      </c>
      <c r="J36" s="3">
        <v>604</v>
      </c>
      <c r="K36" s="3">
        <v>339523</v>
      </c>
      <c r="L36" s="3">
        <v>0</v>
      </c>
      <c r="M36" s="3">
        <v>17863</v>
      </c>
      <c r="N36" s="3">
        <v>7594</v>
      </c>
      <c r="O36" s="3">
        <v>0</v>
      </c>
      <c r="P36" s="3">
        <v>2636</v>
      </c>
      <c r="Q36" s="3">
        <v>19220</v>
      </c>
      <c r="R36" s="107">
        <f t="shared" si="2"/>
        <v>626106</v>
      </c>
    </row>
    <row r="37" spans="1:18" s="85" customFormat="1" hidden="1" x14ac:dyDescent="0.2">
      <c r="B37" s="106">
        <v>40969</v>
      </c>
      <c r="C37" s="3">
        <v>39849</v>
      </c>
      <c r="D37" s="3">
        <v>8445</v>
      </c>
      <c r="E37" s="3">
        <v>59847</v>
      </c>
      <c r="F37" s="3">
        <v>51</v>
      </c>
      <c r="G37" s="55">
        <v>97318</v>
      </c>
      <c r="H37" s="55">
        <v>37141</v>
      </c>
      <c r="I37" s="3">
        <v>0</v>
      </c>
      <c r="J37" s="3">
        <v>604</v>
      </c>
      <c r="K37" s="3">
        <v>341274</v>
      </c>
      <c r="L37" s="3">
        <v>0</v>
      </c>
      <c r="M37" s="3">
        <v>17930</v>
      </c>
      <c r="N37" s="3">
        <v>7734</v>
      </c>
      <c r="O37" s="3">
        <v>0</v>
      </c>
      <c r="P37" s="3">
        <v>2852</v>
      </c>
      <c r="Q37" s="3">
        <v>19466</v>
      </c>
      <c r="R37" s="107">
        <f t="shared" si="2"/>
        <v>632511</v>
      </c>
    </row>
    <row r="38" spans="1:18" s="85" customFormat="1" hidden="1" x14ac:dyDescent="0.2">
      <c r="B38" s="106">
        <v>41000</v>
      </c>
      <c r="C38" s="3">
        <v>39837</v>
      </c>
      <c r="D38" s="3">
        <v>8507</v>
      </c>
      <c r="E38" s="3">
        <v>59970</v>
      </c>
      <c r="F38" s="3">
        <v>133</v>
      </c>
      <c r="G38" s="55">
        <v>94317</v>
      </c>
      <c r="H38" s="55">
        <v>37902</v>
      </c>
      <c r="I38" s="3">
        <v>0</v>
      </c>
      <c r="J38" s="3">
        <v>596</v>
      </c>
      <c r="K38" s="3">
        <v>341546</v>
      </c>
      <c r="L38" s="3">
        <v>0</v>
      </c>
      <c r="M38" s="3">
        <v>17944</v>
      </c>
      <c r="N38" s="3">
        <v>7705</v>
      </c>
      <c r="O38" s="3">
        <v>0</v>
      </c>
      <c r="P38" s="3">
        <v>2846</v>
      </c>
      <c r="Q38" s="3">
        <v>19396</v>
      </c>
      <c r="R38" s="107">
        <f t="shared" si="2"/>
        <v>630699</v>
      </c>
    </row>
    <row r="39" spans="1:18" s="85" customFormat="1" hidden="1" x14ac:dyDescent="0.2">
      <c r="B39" s="106">
        <v>41030</v>
      </c>
      <c r="C39" s="3">
        <v>39924</v>
      </c>
      <c r="D39" s="3">
        <v>8600</v>
      </c>
      <c r="E39" s="3">
        <v>60167</v>
      </c>
      <c r="F39" s="3">
        <v>202</v>
      </c>
      <c r="G39" s="55">
        <v>95581</v>
      </c>
      <c r="H39" s="55">
        <v>38955</v>
      </c>
      <c r="I39" s="3">
        <v>5860</v>
      </c>
      <c r="J39" s="3">
        <v>597</v>
      </c>
      <c r="K39" s="3">
        <v>344523</v>
      </c>
      <c r="L39" s="3">
        <v>0</v>
      </c>
      <c r="M39" s="3">
        <v>18012</v>
      </c>
      <c r="N39" s="3">
        <v>7744</v>
      </c>
      <c r="O39" s="3">
        <v>0</v>
      </c>
      <c r="P39" s="3">
        <v>2844</v>
      </c>
      <c r="Q39" s="3">
        <v>19640</v>
      </c>
      <c r="R39" s="107">
        <f t="shared" si="2"/>
        <v>642649</v>
      </c>
    </row>
    <row r="40" spans="1:18" s="85" customFormat="1" hidden="1" x14ac:dyDescent="0.2">
      <c r="B40" s="106">
        <v>41061</v>
      </c>
      <c r="C40" s="3">
        <v>39923</v>
      </c>
      <c r="D40" s="3">
        <v>8605</v>
      </c>
      <c r="E40" s="3">
        <v>60091</v>
      </c>
      <c r="F40" s="3">
        <v>240</v>
      </c>
      <c r="G40" s="55">
        <v>98120</v>
      </c>
      <c r="H40" s="55">
        <v>38921</v>
      </c>
      <c r="I40" s="3">
        <v>7753</v>
      </c>
      <c r="J40" s="3">
        <v>601</v>
      </c>
      <c r="K40" s="3">
        <v>348253</v>
      </c>
      <c r="L40" s="3">
        <v>0</v>
      </c>
      <c r="M40" s="3">
        <v>18022</v>
      </c>
      <c r="N40" s="3">
        <v>7846</v>
      </c>
      <c r="O40" s="3">
        <v>0</v>
      </c>
      <c r="P40" s="3">
        <v>2818</v>
      </c>
      <c r="Q40" s="3">
        <v>19929</v>
      </c>
      <c r="R40" s="107">
        <f t="shared" si="2"/>
        <v>651122</v>
      </c>
    </row>
    <row r="41" spans="1:18" s="86" customFormat="1" hidden="1" x14ac:dyDescent="0.2">
      <c r="B41" s="110" t="s">
        <v>113</v>
      </c>
      <c r="C41" s="7">
        <f>ROUND(AVERAGE(C29:C40),0)</f>
        <v>39740</v>
      </c>
      <c r="D41" s="7">
        <f t="shared" ref="D41:Q41" si="4">ROUND(AVERAGE(D29:D40),0)</f>
        <v>8383</v>
      </c>
      <c r="E41" s="7">
        <f t="shared" si="4"/>
        <v>59434</v>
      </c>
      <c r="F41" s="7">
        <f t="shared" si="4"/>
        <v>52</v>
      </c>
      <c r="G41" s="7">
        <f t="shared" si="4"/>
        <v>93224</v>
      </c>
      <c r="H41" s="7">
        <f t="shared" si="4"/>
        <v>35461</v>
      </c>
      <c r="I41" s="7">
        <f>ROUND(AVERAGE(I29:I40),0)</f>
        <v>1134</v>
      </c>
      <c r="J41" s="7">
        <f>ROUND(AVERAGE(J29:J40),0)</f>
        <v>597</v>
      </c>
      <c r="K41" s="7">
        <f>ROUND(AVERAGE(K29:K40),0)</f>
        <v>334633</v>
      </c>
      <c r="L41" s="7">
        <f t="shared" si="4"/>
        <v>0</v>
      </c>
      <c r="M41" s="7">
        <f t="shared" si="4"/>
        <v>18034</v>
      </c>
      <c r="N41" s="7">
        <f t="shared" si="4"/>
        <v>7630</v>
      </c>
      <c r="O41" s="7">
        <f t="shared" si="4"/>
        <v>0</v>
      </c>
      <c r="P41" s="7">
        <f t="shared" si="4"/>
        <v>2770</v>
      </c>
      <c r="Q41" s="7">
        <f t="shared" si="4"/>
        <v>18871</v>
      </c>
      <c r="R41" s="111">
        <f t="shared" ref="R41:R67" si="5">SUM(C41:Q41)</f>
        <v>619963</v>
      </c>
    </row>
    <row r="42" spans="1:18" s="85" customFormat="1" hidden="1" x14ac:dyDescent="0.2">
      <c r="A42" s="214">
        <f>IF(C42="",0,1)</f>
        <v>1</v>
      </c>
      <c r="B42" s="106">
        <v>41091</v>
      </c>
      <c r="C42" s="3">
        <v>40117</v>
      </c>
      <c r="D42" s="3">
        <v>8689</v>
      </c>
      <c r="E42" s="3">
        <v>60389</v>
      </c>
      <c r="F42" s="3">
        <v>338</v>
      </c>
      <c r="G42" s="55">
        <v>93088</v>
      </c>
      <c r="H42" s="55">
        <v>38961</v>
      </c>
      <c r="I42" s="3">
        <v>9652</v>
      </c>
      <c r="J42" s="3">
        <v>607</v>
      </c>
      <c r="K42" s="3">
        <v>348510</v>
      </c>
      <c r="L42" s="3">
        <v>0</v>
      </c>
      <c r="M42" s="3">
        <v>17959</v>
      </c>
      <c r="N42" s="3">
        <v>7824</v>
      </c>
      <c r="O42" s="3">
        <v>0</v>
      </c>
      <c r="P42" s="3">
        <v>2764</v>
      </c>
      <c r="Q42" s="3">
        <v>20117</v>
      </c>
      <c r="R42" s="107">
        <f t="shared" si="5"/>
        <v>649015</v>
      </c>
    </row>
    <row r="43" spans="1:18" s="85" customFormat="1" hidden="1" x14ac:dyDescent="0.2">
      <c r="A43" s="214">
        <f t="shared" ref="A43:A105" si="6">IF(C43="",0,1)</f>
        <v>1</v>
      </c>
      <c r="B43" s="106">
        <v>41122</v>
      </c>
      <c r="C43" s="3">
        <v>40460</v>
      </c>
      <c r="D43" s="3">
        <v>8771</v>
      </c>
      <c r="E43" s="3">
        <v>60680</v>
      </c>
      <c r="F43" s="3">
        <v>445</v>
      </c>
      <c r="G43" s="55">
        <v>94777</v>
      </c>
      <c r="H43" s="55">
        <v>39881</v>
      </c>
      <c r="I43" s="3">
        <v>9675</v>
      </c>
      <c r="J43" s="3">
        <v>612</v>
      </c>
      <c r="K43" s="3">
        <v>351537</v>
      </c>
      <c r="L43" s="3">
        <v>0</v>
      </c>
      <c r="M43" s="3">
        <v>17932</v>
      </c>
      <c r="N43" s="3">
        <v>7864</v>
      </c>
      <c r="O43" s="3">
        <v>0</v>
      </c>
      <c r="P43" s="3">
        <v>2744</v>
      </c>
      <c r="Q43" s="3">
        <v>20418</v>
      </c>
      <c r="R43" s="107">
        <f t="shared" si="5"/>
        <v>655796</v>
      </c>
    </row>
    <row r="44" spans="1:18" s="85" customFormat="1" hidden="1" x14ac:dyDescent="0.2">
      <c r="A44" s="214">
        <f t="shared" si="6"/>
        <v>1</v>
      </c>
      <c r="B44" s="106">
        <v>41153</v>
      </c>
      <c r="C44" s="3">
        <v>40468</v>
      </c>
      <c r="D44" s="3">
        <v>8877</v>
      </c>
      <c r="E44" s="3">
        <v>60934</v>
      </c>
      <c r="F44" s="3">
        <v>539</v>
      </c>
      <c r="G44" s="55">
        <v>95151</v>
      </c>
      <c r="H44" s="55">
        <v>39689</v>
      </c>
      <c r="I44" s="3">
        <v>9880</v>
      </c>
      <c r="J44" s="3">
        <v>610</v>
      </c>
      <c r="K44" s="3">
        <v>355312</v>
      </c>
      <c r="L44" s="3">
        <v>0</v>
      </c>
      <c r="M44" s="3">
        <v>18004</v>
      </c>
      <c r="N44" s="3">
        <v>7677</v>
      </c>
      <c r="O44" s="3">
        <v>0</v>
      </c>
      <c r="P44" s="3">
        <v>2609</v>
      </c>
      <c r="Q44" s="3">
        <v>20615</v>
      </c>
      <c r="R44" s="107">
        <f t="shared" si="5"/>
        <v>660365</v>
      </c>
    </row>
    <row r="45" spans="1:18" s="85" customFormat="1" hidden="1" x14ac:dyDescent="0.2">
      <c r="A45" s="214">
        <f t="shared" si="6"/>
        <v>1</v>
      </c>
      <c r="B45" s="106">
        <v>41183</v>
      </c>
      <c r="C45" s="3">
        <v>40773</v>
      </c>
      <c r="D45" s="3">
        <v>8949</v>
      </c>
      <c r="E45" s="3">
        <v>61303</v>
      </c>
      <c r="F45" s="3">
        <v>640</v>
      </c>
      <c r="G45" s="55">
        <v>96113</v>
      </c>
      <c r="H45" s="55">
        <v>40302</v>
      </c>
      <c r="I45" s="3">
        <v>9969</v>
      </c>
      <c r="J45" s="3">
        <v>615</v>
      </c>
      <c r="K45" s="3">
        <v>353524</v>
      </c>
      <c r="L45" s="3">
        <v>0</v>
      </c>
      <c r="M45" s="3">
        <v>18000</v>
      </c>
      <c r="N45" s="3">
        <v>7691</v>
      </c>
      <c r="O45" s="3">
        <v>0</v>
      </c>
      <c r="P45" s="3">
        <v>2569</v>
      </c>
      <c r="Q45" s="3">
        <v>20766</v>
      </c>
      <c r="R45" s="107">
        <f t="shared" si="5"/>
        <v>661214</v>
      </c>
    </row>
    <row r="46" spans="1:18" s="85" customFormat="1" hidden="1" x14ac:dyDescent="0.2">
      <c r="A46" s="214">
        <f t="shared" si="6"/>
        <v>1</v>
      </c>
      <c r="B46" s="106">
        <v>41214</v>
      </c>
      <c r="C46" s="3">
        <v>41059</v>
      </c>
      <c r="D46" s="3">
        <v>8997</v>
      </c>
      <c r="E46" s="3">
        <v>61571</v>
      </c>
      <c r="F46" s="3">
        <v>753</v>
      </c>
      <c r="G46" s="55">
        <v>98333</v>
      </c>
      <c r="H46" s="55">
        <v>41895</v>
      </c>
      <c r="I46" s="3">
        <v>9972</v>
      </c>
      <c r="J46" s="3">
        <v>615</v>
      </c>
      <c r="K46" s="3">
        <v>356897</v>
      </c>
      <c r="L46" s="3">
        <v>0</v>
      </c>
      <c r="M46" s="3">
        <v>17967</v>
      </c>
      <c r="N46" s="3">
        <v>7600</v>
      </c>
      <c r="O46" s="3">
        <v>0</v>
      </c>
      <c r="P46" s="3">
        <v>2546</v>
      </c>
      <c r="Q46" s="3">
        <v>20998</v>
      </c>
      <c r="R46" s="107">
        <f t="shared" si="5"/>
        <v>669203</v>
      </c>
    </row>
    <row r="47" spans="1:18" s="85" customFormat="1" hidden="1" x14ac:dyDescent="0.2">
      <c r="A47" s="214">
        <f t="shared" si="6"/>
        <v>1</v>
      </c>
      <c r="B47" s="106">
        <v>41244</v>
      </c>
      <c r="C47" s="3">
        <v>41034</v>
      </c>
      <c r="D47" s="3">
        <v>9077</v>
      </c>
      <c r="E47" s="3">
        <v>61699</v>
      </c>
      <c r="F47" s="3">
        <v>857</v>
      </c>
      <c r="G47" s="55">
        <v>97784</v>
      </c>
      <c r="H47" s="55">
        <v>40442</v>
      </c>
      <c r="I47" s="3">
        <v>9798</v>
      </c>
      <c r="J47" s="3">
        <v>616</v>
      </c>
      <c r="K47" s="3">
        <v>361446</v>
      </c>
      <c r="L47" s="3">
        <v>0</v>
      </c>
      <c r="M47" s="3">
        <v>17898</v>
      </c>
      <c r="N47" s="3">
        <v>7466</v>
      </c>
      <c r="O47" s="3">
        <v>0</v>
      </c>
      <c r="P47" s="3">
        <v>2541</v>
      </c>
      <c r="Q47" s="3">
        <v>21221</v>
      </c>
      <c r="R47" s="107">
        <f t="shared" si="5"/>
        <v>671879</v>
      </c>
    </row>
    <row r="48" spans="1:18" s="85" customFormat="1" hidden="1" x14ac:dyDescent="0.2">
      <c r="A48" s="214">
        <f t="shared" si="6"/>
        <v>1</v>
      </c>
      <c r="B48" s="106">
        <v>41275</v>
      </c>
      <c r="C48" s="3">
        <v>41066</v>
      </c>
      <c r="D48" s="3">
        <v>9096</v>
      </c>
      <c r="E48" s="3">
        <v>61803</v>
      </c>
      <c r="F48" s="3">
        <v>988</v>
      </c>
      <c r="G48" s="55">
        <v>99404</v>
      </c>
      <c r="H48" s="55">
        <v>40895</v>
      </c>
      <c r="I48" s="3">
        <v>9777</v>
      </c>
      <c r="J48" s="3">
        <v>613</v>
      </c>
      <c r="K48" s="55">
        <v>361220</v>
      </c>
      <c r="L48" s="55">
        <v>5223</v>
      </c>
      <c r="M48" s="3">
        <v>17720</v>
      </c>
      <c r="N48" s="55">
        <v>8250</v>
      </c>
      <c r="O48" s="55">
        <v>437</v>
      </c>
      <c r="P48" s="3">
        <v>2655</v>
      </c>
      <c r="Q48" s="3">
        <v>21366</v>
      </c>
      <c r="R48" s="107">
        <f t="shared" si="5"/>
        <v>680513</v>
      </c>
    </row>
    <row r="49" spans="1:18" s="85" customFormat="1" hidden="1" x14ac:dyDescent="0.2">
      <c r="A49" s="214">
        <f t="shared" si="6"/>
        <v>1</v>
      </c>
      <c r="B49" s="106">
        <v>41306</v>
      </c>
      <c r="C49" s="3">
        <v>41093</v>
      </c>
      <c r="D49" s="3">
        <v>9152</v>
      </c>
      <c r="E49" s="3">
        <v>62245</v>
      </c>
      <c r="F49" s="3">
        <v>1056</v>
      </c>
      <c r="G49" s="55">
        <v>101305</v>
      </c>
      <c r="H49" s="55">
        <v>42236</v>
      </c>
      <c r="I49" s="3">
        <v>9959</v>
      </c>
      <c r="J49" s="3">
        <v>608</v>
      </c>
      <c r="K49" s="55">
        <v>362024</v>
      </c>
      <c r="L49" s="55">
        <v>13463</v>
      </c>
      <c r="M49" s="3">
        <v>17673</v>
      </c>
      <c r="N49" s="55">
        <v>8322</v>
      </c>
      <c r="O49" s="55">
        <v>531</v>
      </c>
      <c r="P49" s="3">
        <v>2666</v>
      </c>
      <c r="Q49" s="3">
        <v>21532</v>
      </c>
      <c r="R49" s="107">
        <f t="shared" si="5"/>
        <v>693865</v>
      </c>
    </row>
    <row r="50" spans="1:18" s="85" customFormat="1" hidden="1" x14ac:dyDescent="0.2">
      <c r="A50" s="214">
        <f t="shared" si="6"/>
        <v>1</v>
      </c>
      <c r="B50" s="106">
        <v>41334</v>
      </c>
      <c r="C50" s="3">
        <v>40697</v>
      </c>
      <c r="D50" s="3">
        <v>9130</v>
      </c>
      <c r="E50" s="3">
        <v>62485</v>
      </c>
      <c r="F50" s="3">
        <v>1125</v>
      </c>
      <c r="G50" s="55">
        <v>100247</v>
      </c>
      <c r="H50" s="55">
        <v>42110</v>
      </c>
      <c r="I50" s="3">
        <v>9621</v>
      </c>
      <c r="J50" s="3">
        <v>618</v>
      </c>
      <c r="K50" s="55">
        <v>363012</v>
      </c>
      <c r="L50" s="55">
        <v>18263</v>
      </c>
      <c r="M50" s="3">
        <v>17619</v>
      </c>
      <c r="N50" s="55">
        <v>8311</v>
      </c>
      <c r="O50" s="55">
        <v>636</v>
      </c>
      <c r="P50" s="3">
        <v>2733</v>
      </c>
      <c r="Q50" s="3">
        <v>21530</v>
      </c>
      <c r="R50" s="107">
        <f t="shared" si="5"/>
        <v>698137</v>
      </c>
    </row>
    <row r="51" spans="1:18" s="85" customFormat="1" hidden="1" x14ac:dyDescent="0.2">
      <c r="A51" s="214">
        <f t="shared" si="6"/>
        <v>1</v>
      </c>
      <c r="B51" s="106">
        <v>41365</v>
      </c>
      <c r="C51" s="3">
        <v>40898</v>
      </c>
      <c r="D51" s="3">
        <v>9222</v>
      </c>
      <c r="E51" s="3">
        <v>62976</v>
      </c>
      <c r="F51" s="3">
        <v>1232</v>
      </c>
      <c r="G51" s="55">
        <v>101576</v>
      </c>
      <c r="H51" s="55">
        <v>42997</v>
      </c>
      <c r="I51" s="3">
        <v>12076</v>
      </c>
      <c r="J51" s="3">
        <v>639</v>
      </c>
      <c r="K51" s="55">
        <v>364317</v>
      </c>
      <c r="L51" s="55">
        <v>20016</v>
      </c>
      <c r="M51" s="3">
        <v>17598</v>
      </c>
      <c r="N51" s="55">
        <v>8477</v>
      </c>
      <c r="O51" s="55">
        <v>730</v>
      </c>
      <c r="P51" s="3">
        <v>2798</v>
      </c>
      <c r="Q51" s="3">
        <v>21738</v>
      </c>
      <c r="R51" s="107">
        <f t="shared" si="5"/>
        <v>707290</v>
      </c>
    </row>
    <row r="52" spans="1:18" s="85" customFormat="1" hidden="1" x14ac:dyDescent="0.2">
      <c r="A52" s="214">
        <f t="shared" si="6"/>
        <v>1</v>
      </c>
      <c r="B52" s="106">
        <v>41395</v>
      </c>
      <c r="C52" s="3">
        <v>41108</v>
      </c>
      <c r="D52" s="3">
        <v>9295</v>
      </c>
      <c r="E52" s="3">
        <v>63416</v>
      </c>
      <c r="F52" s="3">
        <v>1318</v>
      </c>
      <c r="G52" s="55">
        <v>106147</v>
      </c>
      <c r="H52" s="55">
        <v>45535</v>
      </c>
      <c r="I52" s="3">
        <v>12462</v>
      </c>
      <c r="J52" s="3">
        <v>659</v>
      </c>
      <c r="K52" s="55">
        <v>366710</v>
      </c>
      <c r="L52" s="55">
        <v>21546</v>
      </c>
      <c r="M52" s="3">
        <v>17257</v>
      </c>
      <c r="N52" s="55">
        <v>8346</v>
      </c>
      <c r="O52" s="55">
        <v>938</v>
      </c>
      <c r="P52" s="3">
        <v>2848</v>
      </c>
      <c r="Q52" s="3">
        <v>22000</v>
      </c>
      <c r="R52" s="107">
        <f t="shared" si="5"/>
        <v>719585</v>
      </c>
    </row>
    <row r="53" spans="1:18" s="85" customFormat="1" hidden="1" x14ac:dyDescent="0.2">
      <c r="A53" s="214">
        <f t="shared" si="6"/>
        <v>1</v>
      </c>
      <c r="B53" s="106">
        <v>41426</v>
      </c>
      <c r="C53" s="3">
        <v>41153</v>
      </c>
      <c r="D53" s="3">
        <v>9358</v>
      </c>
      <c r="E53" s="3">
        <v>63540</v>
      </c>
      <c r="F53" s="3">
        <v>1368</v>
      </c>
      <c r="G53" s="55">
        <v>108773</v>
      </c>
      <c r="H53" s="55">
        <v>43600</v>
      </c>
      <c r="I53" s="3">
        <v>14772</v>
      </c>
      <c r="J53" s="3">
        <v>659</v>
      </c>
      <c r="K53" s="55">
        <v>373604</v>
      </c>
      <c r="L53" s="55">
        <v>20327</v>
      </c>
      <c r="M53" s="3">
        <v>17691</v>
      </c>
      <c r="N53" s="55">
        <v>8457</v>
      </c>
      <c r="O53" s="55">
        <v>863</v>
      </c>
      <c r="P53" s="3">
        <v>2739</v>
      </c>
      <c r="Q53" s="3">
        <v>22170</v>
      </c>
      <c r="R53" s="107">
        <f t="shared" si="5"/>
        <v>729074</v>
      </c>
    </row>
    <row r="54" spans="1:18" s="85" customFormat="1" hidden="1" x14ac:dyDescent="0.2">
      <c r="A54" s="214">
        <f t="shared" si="6"/>
        <v>1</v>
      </c>
      <c r="B54" s="110" t="s">
        <v>115</v>
      </c>
      <c r="C54" s="7">
        <f>ROUND(AVERAGE(C42:C53),0)</f>
        <v>40827</v>
      </c>
      <c r="D54" s="7">
        <f t="shared" ref="D54:Q54" si="7">ROUND(AVERAGE(D42:D53),0)</f>
        <v>9051</v>
      </c>
      <c r="E54" s="7">
        <f t="shared" si="7"/>
        <v>61920</v>
      </c>
      <c r="F54" s="7">
        <f t="shared" si="7"/>
        <v>888</v>
      </c>
      <c r="G54" s="7">
        <f t="shared" si="7"/>
        <v>99392</v>
      </c>
      <c r="H54" s="7">
        <f t="shared" si="7"/>
        <v>41545</v>
      </c>
      <c r="I54" s="7">
        <f>ROUND(AVERAGE(I42:I53),0)</f>
        <v>10634</v>
      </c>
      <c r="J54" s="7">
        <f>ROUND(AVERAGE(J42:J53),0)</f>
        <v>623</v>
      </c>
      <c r="K54" s="7">
        <f>ROUND(AVERAGE(K42:K53),0)</f>
        <v>359843</v>
      </c>
      <c r="L54" s="7">
        <f>ROUND(AVERAGE(L42:L53),0)-1</f>
        <v>8236</v>
      </c>
      <c r="M54" s="7">
        <f t="shared" si="7"/>
        <v>17777</v>
      </c>
      <c r="N54" s="7">
        <f t="shared" si="7"/>
        <v>8024</v>
      </c>
      <c r="O54" s="7">
        <f>ROUND(AVERAGE(O42:O53),0)-1</f>
        <v>344</v>
      </c>
      <c r="P54" s="7">
        <f t="shared" si="7"/>
        <v>2684</v>
      </c>
      <c r="Q54" s="7">
        <f t="shared" si="7"/>
        <v>21206</v>
      </c>
      <c r="R54" s="111">
        <f>SUM(C54:Q54)</f>
        <v>682994</v>
      </c>
    </row>
    <row r="55" spans="1:18" s="85" customFormat="1" hidden="1" x14ac:dyDescent="0.2">
      <c r="A55" s="214">
        <f t="shared" si="6"/>
        <v>1</v>
      </c>
      <c r="B55" s="112">
        <v>41456</v>
      </c>
      <c r="C55" s="101">
        <v>41243</v>
      </c>
      <c r="D55" s="101">
        <v>9466</v>
      </c>
      <c r="E55" s="101">
        <v>63919</v>
      </c>
      <c r="F55" s="101">
        <v>1494</v>
      </c>
      <c r="G55" s="102">
        <v>105843</v>
      </c>
      <c r="H55" s="102">
        <v>43321</v>
      </c>
      <c r="I55" s="102">
        <v>16073</v>
      </c>
      <c r="J55" s="102">
        <v>660</v>
      </c>
      <c r="K55" s="102">
        <v>379057</v>
      </c>
      <c r="L55" s="102">
        <v>11487</v>
      </c>
      <c r="M55" s="101">
        <v>17652</v>
      </c>
      <c r="N55" s="102">
        <v>9053</v>
      </c>
      <c r="O55" s="102">
        <v>334</v>
      </c>
      <c r="P55" s="101">
        <v>2754</v>
      </c>
      <c r="Q55" s="101">
        <v>22368</v>
      </c>
      <c r="R55" s="113">
        <f t="shared" si="5"/>
        <v>724724</v>
      </c>
    </row>
    <row r="56" spans="1:18" s="85" customFormat="1" hidden="1" x14ac:dyDescent="0.2">
      <c r="A56" s="214">
        <f t="shared" si="6"/>
        <v>1</v>
      </c>
      <c r="B56" s="106">
        <v>41487</v>
      </c>
      <c r="C56" s="3">
        <v>41540</v>
      </c>
      <c r="D56" s="3">
        <v>9538</v>
      </c>
      <c r="E56" s="3">
        <v>64281</v>
      </c>
      <c r="F56" s="3">
        <v>1616</v>
      </c>
      <c r="G56" s="55">
        <v>106672</v>
      </c>
      <c r="H56" s="55">
        <v>45336</v>
      </c>
      <c r="I56" s="55">
        <v>17388</v>
      </c>
      <c r="J56" s="55">
        <v>648</v>
      </c>
      <c r="K56" s="55">
        <v>382925</v>
      </c>
      <c r="L56" s="55">
        <v>8984</v>
      </c>
      <c r="M56" s="3">
        <v>17659</v>
      </c>
      <c r="N56" s="55">
        <v>9219</v>
      </c>
      <c r="O56" s="55">
        <v>186</v>
      </c>
      <c r="P56" s="3">
        <v>2562</v>
      </c>
      <c r="Q56" s="3">
        <v>22539</v>
      </c>
      <c r="R56" s="107">
        <f t="shared" si="5"/>
        <v>731093</v>
      </c>
    </row>
    <row r="57" spans="1:18" s="85" customFormat="1" hidden="1" x14ac:dyDescent="0.2">
      <c r="A57" s="214">
        <f t="shared" si="6"/>
        <v>1</v>
      </c>
      <c r="B57" s="106">
        <v>41518</v>
      </c>
      <c r="C57" s="3">
        <v>41696</v>
      </c>
      <c r="D57" s="3">
        <v>9641</v>
      </c>
      <c r="E57" s="3">
        <v>64309</v>
      </c>
      <c r="F57" s="3">
        <v>1692</v>
      </c>
      <c r="G57" s="55">
        <v>110929</v>
      </c>
      <c r="H57" s="55">
        <v>43247</v>
      </c>
      <c r="I57" s="55">
        <v>20951</v>
      </c>
      <c r="J57" s="55">
        <v>645</v>
      </c>
      <c r="K57" s="55">
        <v>394462</v>
      </c>
      <c r="L57" s="55">
        <v>4348</v>
      </c>
      <c r="M57" s="3">
        <v>17619</v>
      </c>
      <c r="N57" s="55">
        <v>9240</v>
      </c>
      <c r="O57" s="55">
        <v>105</v>
      </c>
      <c r="P57" s="3">
        <v>2511</v>
      </c>
      <c r="Q57" s="3">
        <v>22690</v>
      </c>
      <c r="R57" s="107">
        <f t="shared" si="5"/>
        <v>744085</v>
      </c>
    </row>
    <row r="58" spans="1:18" s="85" customFormat="1" hidden="1" x14ac:dyDescent="0.2">
      <c r="A58" s="214">
        <f t="shared" si="6"/>
        <v>1</v>
      </c>
      <c r="B58" s="106">
        <v>41548</v>
      </c>
      <c r="C58" s="3">
        <v>41861</v>
      </c>
      <c r="D58" s="3">
        <v>9709</v>
      </c>
      <c r="E58" s="3">
        <v>64151</v>
      </c>
      <c r="F58" s="3">
        <v>2200</v>
      </c>
      <c r="G58" s="55">
        <v>111274</v>
      </c>
      <c r="H58" s="55">
        <v>37094</v>
      </c>
      <c r="I58" s="55">
        <v>19168</v>
      </c>
      <c r="J58" s="55">
        <v>639</v>
      </c>
      <c r="K58" s="55">
        <v>382709</v>
      </c>
      <c r="L58" s="55">
        <v>11153</v>
      </c>
      <c r="M58" s="3">
        <v>17675</v>
      </c>
      <c r="N58" s="55">
        <v>13079</v>
      </c>
      <c r="O58" s="3">
        <v>549</v>
      </c>
      <c r="P58" s="3">
        <v>2392</v>
      </c>
      <c r="Q58" s="3">
        <v>22299</v>
      </c>
      <c r="R58" s="107">
        <f t="shared" si="5"/>
        <v>735952</v>
      </c>
    </row>
    <row r="59" spans="1:18" s="85" customFormat="1" hidden="1" x14ac:dyDescent="0.2">
      <c r="A59" s="214">
        <f t="shared" si="6"/>
        <v>1</v>
      </c>
      <c r="B59" s="106">
        <v>41579</v>
      </c>
      <c r="C59" s="3">
        <v>42098</v>
      </c>
      <c r="D59" s="3">
        <v>9748</v>
      </c>
      <c r="E59" s="3">
        <v>64396</v>
      </c>
      <c r="F59" s="3">
        <v>2749</v>
      </c>
      <c r="G59" s="55">
        <v>112290</v>
      </c>
      <c r="H59" s="55">
        <v>41332</v>
      </c>
      <c r="I59" s="55">
        <v>17976</v>
      </c>
      <c r="J59" s="55">
        <v>547</v>
      </c>
      <c r="K59" s="55">
        <v>386326</v>
      </c>
      <c r="L59" s="55">
        <v>18980</v>
      </c>
      <c r="M59" s="3">
        <v>17712</v>
      </c>
      <c r="N59" s="55">
        <v>13740</v>
      </c>
      <c r="O59" s="3">
        <v>1022</v>
      </c>
      <c r="P59" s="3">
        <v>2352</v>
      </c>
      <c r="Q59" s="3">
        <v>22539</v>
      </c>
      <c r="R59" s="107">
        <f t="shared" si="5"/>
        <v>753807</v>
      </c>
    </row>
    <row r="60" spans="1:18" s="85" customFormat="1" hidden="1" x14ac:dyDescent="0.2">
      <c r="A60" s="214">
        <f t="shared" si="6"/>
        <v>1</v>
      </c>
      <c r="B60" s="106">
        <v>41609</v>
      </c>
      <c r="C60" s="3">
        <v>42265</v>
      </c>
      <c r="D60" s="3">
        <v>9797</v>
      </c>
      <c r="E60" s="3">
        <v>64478</v>
      </c>
      <c r="F60" s="3">
        <v>2690</v>
      </c>
      <c r="G60" s="55">
        <v>119836</v>
      </c>
      <c r="H60" s="55">
        <v>40228</v>
      </c>
      <c r="I60" s="55">
        <v>17092</v>
      </c>
      <c r="J60" s="55">
        <v>540</v>
      </c>
      <c r="K60" s="55">
        <v>389900</v>
      </c>
      <c r="L60" s="55">
        <v>28057</v>
      </c>
      <c r="M60" s="3">
        <v>17793</v>
      </c>
      <c r="N60" s="55">
        <v>14140</v>
      </c>
      <c r="O60" s="3">
        <v>1293</v>
      </c>
      <c r="P60" s="3">
        <v>2311</v>
      </c>
      <c r="Q60" s="3">
        <v>22534</v>
      </c>
      <c r="R60" s="107">
        <f t="shared" si="5"/>
        <v>772954</v>
      </c>
    </row>
    <row r="61" spans="1:18" s="85" customFormat="1" hidden="1" x14ac:dyDescent="0.2">
      <c r="A61" s="214">
        <f t="shared" si="6"/>
        <v>1</v>
      </c>
      <c r="B61" s="106">
        <v>41640</v>
      </c>
      <c r="C61" s="3">
        <v>41861</v>
      </c>
      <c r="D61" s="3">
        <v>9838</v>
      </c>
      <c r="E61" s="3">
        <v>64838</v>
      </c>
      <c r="F61" s="3">
        <v>2217</v>
      </c>
      <c r="G61" s="55">
        <v>122548</v>
      </c>
      <c r="H61" s="55">
        <v>40659</v>
      </c>
      <c r="I61" s="55">
        <v>120068</v>
      </c>
      <c r="J61" s="55">
        <v>543</v>
      </c>
      <c r="K61" s="55">
        <v>398421</v>
      </c>
      <c r="L61" s="55">
        <v>29967</v>
      </c>
      <c r="M61" s="3">
        <v>17684</v>
      </c>
      <c r="N61" s="55">
        <v>14582</v>
      </c>
      <c r="O61" s="3">
        <v>1390</v>
      </c>
      <c r="P61" s="3">
        <v>2309</v>
      </c>
      <c r="Q61" s="3">
        <v>22740</v>
      </c>
      <c r="R61" s="107">
        <f t="shared" si="5"/>
        <v>889665</v>
      </c>
    </row>
    <row r="62" spans="1:18" s="85" customFormat="1" hidden="1" x14ac:dyDescent="0.2">
      <c r="A62" s="214">
        <f t="shared" si="6"/>
        <v>1</v>
      </c>
      <c r="B62" s="106">
        <v>41671</v>
      </c>
      <c r="C62" s="3">
        <v>42003</v>
      </c>
      <c r="D62" s="3">
        <v>9919</v>
      </c>
      <c r="E62" s="3">
        <v>64798</v>
      </c>
      <c r="F62" s="3">
        <v>3146</v>
      </c>
      <c r="G62" s="103">
        <v>129759</v>
      </c>
      <c r="H62" s="103">
        <v>51272</v>
      </c>
      <c r="I62" s="55">
        <v>125369</v>
      </c>
      <c r="J62" s="55">
        <v>527</v>
      </c>
      <c r="K62" s="55">
        <v>403888</v>
      </c>
      <c r="L62" s="55">
        <v>33263</v>
      </c>
      <c r="M62" s="3">
        <v>17744</v>
      </c>
      <c r="N62" s="55">
        <v>14691</v>
      </c>
      <c r="O62" s="3">
        <v>1471</v>
      </c>
      <c r="P62" s="3">
        <v>2374</v>
      </c>
      <c r="Q62" s="3">
        <v>23302</v>
      </c>
      <c r="R62" s="107">
        <f t="shared" si="5"/>
        <v>923526</v>
      </c>
    </row>
    <row r="63" spans="1:18" s="85" customFormat="1" hidden="1" x14ac:dyDescent="0.2">
      <c r="A63" s="214">
        <f t="shared" si="6"/>
        <v>1</v>
      </c>
      <c r="B63" s="106">
        <v>41699</v>
      </c>
      <c r="C63" s="3">
        <v>42145</v>
      </c>
      <c r="D63" s="3">
        <v>10027</v>
      </c>
      <c r="E63" s="3">
        <v>64312</v>
      </c>
      <c r="F63" s="3">
        <v>3188</v>
      </c>
      <c r="G63" s="103">
        <v>138165</v>
      </c>
      <c r="H63" s="103">
        <v>53923</v>
      </c>
      <c r="I63" s="55">
        <v>157246</v>
      </c>
      <c r="J63" s="55">
        <v>498</v>
      </c>
      <c r="K63" s="55">
        <v>408290</v>
      </c>
      <c r="L63" s="55">
        <v>38398</v>
      </c>
      <c r="M63" s="3">
        <v>17704</v>
      </c>
      <c r="N63" s="55">
        <v>14991</v>
      </c>
      <c r="O63" s="3">
        <v>1596</v>
      </c>
      <c r="P63" s="3">
        <v>2426</v>
      </c>
      <c r="Q63" s="3">
        <v>24063</v>
      </c>
      <c r="R63" s="107">
        <f t="shared" si="5"/>
        <v>976972</v>
      </c>
    </row>
    <row r="64" spans="1:18" s="85" customFormat="1" hidden="1" x14ac:dyDescent="0.2">
      <c r="A64" s="214">
        <f t="shared" si="6"/>
        <v>1</v>
      </c>
      <c r="B64" s="106">
        <v>41730</v>
      </c>
      <c r="C64" s="3">
        <v>41762</v>
      </c>
      <c r="D64" s="3">
        <v>10129</v>
      </c>
      <c r="E64" s="3">
        <v>64148</v>
      </c>
      <c r="F64" s="3">
        <v>3288</v>
      </c>
      <c r="G64" s="103">
        <v>144089</v>
      </c>
      <c r="H64" s="103">
        <v>55524</v>
      </c>
      <c r="I64" s="55">
        <v>171950</v>
      </c>
      <c r="J64" s="55">
        <v>492</v>
      </c>
      <c r="K64" s="55">
        <v>415666</v>
      </c>
      <c r="L64" s="55">
        <v>39128</v>
      </c>
      <c r="M64" s="3">
        <v>19526</v>
      </c>
      <c r="N64" s="55">
        <v>15093</v>
      </c>
      <c r="O64" s="3">
        <v>1559</v>
      </c>
      <c r="P64" s="3">
        <v>2467</v>
      </c>
      <c r="Q64" s="3">
        <v>24662</v>
      </c>
      <c r="R64" s="107">
        <f t="shared" si="5"/>
        <v>1009483</v>
      </c>
    </row>
    <row r="65" spans="1:18" s="85" customFormat="1" hidden="1" x14ac:dyDescent="0.2">
      <c r="A65" s="214">
        <f t="shared" si="6"/>
        <v>1</v>
      </c>
      <c r="B65" s="106">
        <v>41760</v>
      </c>
      <c r="C65" s="3">
        <v>41991</v>
      </c>
      <c r="D65" s="3">
        <v>10162</v>
      </c>
      <c r="E65" s="3">
        <v>64492</v>
      </c>
      <c r="F65" s="3">
        <v>3257</v>
      </c>
      <c r="G65" s="103">
        <v>145211</v>
      </c>
      <c r="H65" s="103">
        <v>54497</v>
      </c>
      <c r="I65" s="55">
        <v>176827</v>
      </c>
      <c r="J65" s="55">
        <v>488</v>
      </c>
      <c r="K65" s="55">
        <v>420786</v>
      </c>
      <c r="L65" s="55">
        <v>39624</v>
      </c>
      <c r="M65" s="3">
        <v>20168</v>
      </c>
      <c r="N65" s="55">
        <v>15086</v>
      </c>
      <c r="O65" s="3">
        <v>1549</v>
      </c>
      <c r="P65" s="3">
        <v>2487</v>
      </c>
      <c r="Q65" s="3">
        <v>25120</v>
      </c>
      <c r="R65" s="107">
        <f t="shared" si="5"/>
        <v>1021745</v>
      </c>
    </row>
    <row r="66" spans="1:18" s="85" customFormat="1" hidden="1" x14ac:dyDescent="0.2">
      <c r="A66" s="214">
        <f t="shared" si="6"/>
        <v>1</v>
      </c>
      <c r="B66" s="106">
        <v>41791</v>
      </c>
      <c r="C66" s="3">
        <v>41564</v>
      </c>
      <c r="D66" s="3">
        <v>10263</v>
      </c>
      <c r="E66" s="3">
        <v>64968</v>
      </c>
      <c r="F66" s="3">
        <v>3186</v>
      </c>
      <c r="G66" s="103">
        <v>149545</v>
      </c>
      <c r="H66" s="103">
        <v>58549</v>
      </c>
      <c r="I66" s="55">
        <v>186802</v>
      </c>
      <c r="J66" s="55">
        <v>477</v>
      </c>
      <c r="K66" s="55">
        <v>425952</v>
      </c>
      <c r="L66" s="55">
        <v>40754</v>
      </c>
      <c r="M66" s="3">
        <v>20268</v>
      </c>
      <c r="N66" s="55">
        <v>15007</v>
      </c>
      <c r="O66" s="3">
        <v>1634</v>
      </c>
      <c r="P66" s="3">
        <v>2821</v>
      </c>
      <c r="Q66" s="3">
        <v>25676</v>
      </c>
      <c r="R66" s="107">
        <f t="shared" si="5"/>
        <v>1047466</v>
      </c>
    </row>
    <row r="67" spans="1:18" s="85" customFormat="1" hidden="1" x14ac:dyDescent="0.2">
      <c r="A67" s="214">
        <f t="shared" si="6"/>
        <v>1</v>
      </c>
      <c r="B67" s="110" t="s">
        <v>124</v>
      </c>
      <c r="C67" s="7">
        <f>ROUND(AVERAGE(C55:C66),0)</f>
        <v>41836</v>
      </c>
      <c r="D67" s="7">
        <f t="shared" ref="D67:Q67" si="8">ROUND(AVERAGE(D55:D66),0)</f>
        <v>9853</v>
      </c>
      <c r="E67" s="7">
        <f t="shared" si="8"/>
        <v>64424</v>
      </c>
      <c r="F67" s="7">
        <f t="shared" si="8"/>
        <v>2560</v>
      </c>
      <c r="G67" s="7">
        <f t="shared" si="8"/>
        <v>124680</v>
      </c>
      <c r="H67" s="7">
        <f t="shared" si="8"/>
        <v>47082</v>
      </c>
      <c r="I67" s="7">
        <f>ROUND(AVERAGE(I55:I66),0)</f>
        <v>87243</v>
      </c>
      <c r="J67" s="7">
        <f>ROUND(AVERAGE(J55:J66),0)</f>
        <v>559</v>
      </c>
      <c r="K67" s="7">
        <f>ROUND(AVERAGE(K55:K66),0)</f>
        <v>399032</v>
      </c>
      <c r="L67" s="7">
        <f t="shared" si="8"/>
        <v>25345</v>
      </c>
      <c r="M67" s="7">
        <f t="shared" si="8"/>
        <v>18267</v>
      </c>
      <c r="N67" s="7">
        <f t="shared" si="8"/>
        <v>13160</v>
      </c>
      <c r="O67" s="7">
        <f t="shared" si="8"/>
        <v>1057</v>
      </c>
      <c r="P67" s="7">
        <f t="shared" si="8"/>
        <v>2481</v>
      </c>
      <c r="Q67" s="7">
        <f t="shared" si="8"/>
        <v>23378</v>
      </c>
      <c r="R67" s="111">
        <f t="shared" si="5"/>
        <v>860957</v>
      </c>
    </row>
    <row r="68" spans="1:18" s="85" customFormat="1" x14ac:dyDescent="0.2">
      <c r="A68" s="214">
        <f t="shared" si="6"/>
        <v>1</v>
      </c>
      <c r="B68" s="112">
        <v>41821</v>
      </c>
      <c r="C68" s="101">
        <v>41551</v>
      </c>
      <c r="D68" s="101">
        <v>10346</v>
      </c>
      <c r="E68" s="101">
        <v>65459</v>
      </c>
      <c r="F68" s="101">
        <v>3065</v>
      </c>
      <c r="G68" s="101">
        <v>153837</v>
      </c>
      <c r="H68" s="101">
        <v>60981</v>
      </c>
      <c r="I68" s="101">
        <v>194454</v>
      </c>
      <c r="J68" s="101">
        <v>472</v>
      </c>
      <c r="K68" s="102">
        <v>431203</v>
      </c>
      <c r="L68" s="102">
        <v>41550</v>
      </c>
      <c r="M68" s="101">
        <v>20190</v>
      </c>
      <c r="N68" s="101">
        <v>15038</v>
      </c>
      <c r="O68" s="101">
        <v>1672</v>
      </c>
      <c r="P68" s="101">
        <v>2551</v>
      </c>
      <c r="Q68" s="101">
        <v>25963</v>
      </c>
      <c r="R68" s="113">
        <f>SUM(C68:Q68)</f>
        <v>1068332</v>
      </c>
    </row>
    <row r="69" spans="1:18" s="85" customFormat="1" x14ac:dyDescent="0.2">
      <c r="A69" s="214">
        <f t="shared" si="6"/>
        <v>1</v>
      </c>
      <c r="B69" s="106">
        <v>41852</v>
      </c>
      <c r="C69" s="3">
        <v>42513</v>
      </c>
      <c r="D69" s="3">
        <v>10350</v>
      </c>
      <c r="E69" s="3">
        <v>65785</v>
      </c>
      <c r="F69" s="3">
        <v>2971</v>
      </c>
      <c r="G69" s="3">
        <v>156343</v>
      </c>
      <c r="H69" s="3">
        <v>62711</v>
      </c>
      <c r="I69" s="3">
        <v>202825</v>
      </c>
      <c r="J69" s="3">
        <v>463</v>
      </c>
      <c r="K69" s="55">
        <v>436077</v>
      </c>
      <c r="L69" s="55">
        <v>42750</v>
      </c>
      <c r="M69" s="3">
        <v>20213</v>
      </c>
      <c r="N69" s="3">
        <v>15436</v>
      </c>
      <c r="O69" s="3">
        <v>1800</v>
      </c>
      <c r="P69" s="3">
        <v>2494</v>
      </c>
      <c r="Q69" s="3">
        <v>26347</v>
      </c>
      <c r="R69" s="107">
        <f>1089078</f>
        <v>1089078</v>
      </c>
    </row>
    <row r="70" spans="1:18" s="85" customFormat="1" x14ac:dyDescent="0.2">
      <c r="A70" s="214">
        <f t="shared" si="6"/>
        <v>1</v>
      </c>
      <c r="B70" s="106">
        <v>41883</v>
      </c>
      <c r="C70" s="3">
        <v>42643</v>
      </c>
      <c r="D70" s="3">
        <v>10362</v>
      </c>
      <c r="E70" s="3">
        <v>66054</v>
      </c>
      <c r="F70" s="3">
        <v>2925</v>
      </c>
      <c r="G70" s="3">
        <v>159740</v>
      </c>
      <c r="H70" s="3">
        <v>63847</v>
      </c>
      <c r="I70" s="3">
        <v>210970</v>
      </c>
      <c r="J70" s="3">
        <v>439</v>
      </c>
      <c r="K70" s="55">
        <v>438991</v>
      </c>
      <c r="L70" s="55">
        <v>44001</v>
      </c>
      <c r="M70" s="3">
        <v>20124</v>
      </c>
      <c r="N70" s="3">
        <v>15386</v>
      </c>
      <c r="O70" s="3">
        <v>1854</v>
      </c>
      <c r="P70" s="3">
        <v>2474</v>
      </c>
      <c r="Q70" s="3">
        <v>26787</v>
      </c>
      <c r="R70" s="107">
        <f t="shared" ref="R70:R81" si="9">SUM(C70:Q70)</f>
        <v>1106597</v>
      </c>
    </row>
    <row r="71" spans="1:18" s="85" customFormat="1" x14ac:dyDescent="0.2">
      <c r="A71" s="214">
        <f t="shared" si="6"/>
        <v>1</v>
      </c>
      <c r="B71" s="106">
        <v>41913</v>
      </c>
      <c r="C71" s="3">
        <v>41763</v>
      </c>
      <c r="D71" s="3">
        <v>10355</v>
      </c>
      <c r="E71" s="3">
        <v>66009</v>
      </c>
      <c r="F71" s="3">
        <v>2927</v>
      </c>
      <c r="G71" s="3">
        <v>160707</v>
      </c>
      <c r="H71" s="3">
        <v>65552</v>
      </c>
      <c r="I71" s="3">
        <v>218403</v>
      </c>
      <c r="J71" s="3">
        <v>424</v>
      </c>
      <c r="K71" s="55">
        <v>442075</v>
      </c>
      <c r="L71" s="55">
        <v>45249</v>
      </c>
      <c r="M71" s="3">
        <v>20187</v>
      </c>
      <c r="N71" s="3">
        <v>14938</v>
      </c>
      <c r="O71" s="3">
        <v>1769</v>
      </c>
      <c r="P71" s="3">
        <v>2533</v>
      </c>
      <c r="Q71" s="3">
        <v>27229</v>
      </c>
      <c r="R71" s="107">
        <f t="shared" si="9"/>
        <v>1120120</v>
      </c>
    </row>
    <row r="72" spans="1:18" s="85" customFormat="1" x14ac:dyDescent="0.2">
      <c r="A72" s="214">
        <f t="shared" si="6"/>
        <v>1</v>
      </c>
      <c r="B72" s="106">
        <v>41944</v>
      </c>
      <c r="C72" s="3">
        <v>41918</v>
      </c>
      <c r="D72" s="3">
        <v>10341</v>
      </c>
      <c r="E72" s="3">
        <v>66343</v>
      </c>
      <c r="F72" s="3">
        <v>3023</v>
      </c>
      <c r="G72" s="3">
        <v>158375</v>
      </c>
      <c r="H72" s="3">
        <v>66811</v>
      </c>
      <c r="I72" s="3">
        <v>222465</v>
      </c>
      <c r="J72" s="3">
        <v>425</v>
      </c>
      <c r="K72" s="55">
        <v>442141</v>
      </c>
      <c r="L72" s="55">
        <v>46654</v>
      </c>
      <c r="M72" s="3">
        <v>20140</v>
      </c>
      <c r="N72" s="3">
        <v>14691</v>
      </c>
      <c r="O72" s="3">
        <v>1733</v>
      </c>
      <c r="P72" s="3">
        <v>2444</v>
      </c>
      <c r="Q72" s="3">
        <v>27601</v>
      </c>
      <c r="R72" s="107">
        <f t="shared" si="9"/>
        <v>1125105</v>
      </c>
    </row>
    <row r="73" spans="1:18" s="85" customFormat="1" x14ac:dyDescent="0.2">
      <c r="A73" s="214">
        <f t="shared" si="6"/>
        <v>1</v>
      </c>
      <c r="B73" s="106">
        <v>41974</v>
      </c>
      <c r="C73" s="3">
        <v>41927</v>
      </c>
      <c r="D73" s="3">
        <v>10404</v>
      </c>
      <c r="E73" s="3">
        <v>66441</v>
      </c>
      <c r="F73" s="3">
        <v>3556</v>
      </c>
      <c r="G73" s="3">
        <v>162727</v>
      </c>
      <c r="H73" s="3">
        <v>70288</v>
      </c>
      <c r="I73" s="3">
        <v>237045</v>
      </c>
      <c r="J73" s="3">
        <v>396</v>
      </c>
      <c r="K73" s="55">
        <v>446354</v>
      </c>
      <c r="L73" s="55">
        <v>47275</v>
      </c>
      <c r="M73" s="3">
        <v>20056</v>
      </c>
      <c r="N73" s="3">
        <v>14542</v>
      </c>
      <c r="O73" s="3">
        <v>1675</v>
      </c>
      <c r="P73" s="3">
        <v>2541</v>
      </c>
      <c r="Q73" s="3">
        <v>27944</v>
      </c>
      <c r="R73" s="107">
        <f t="shared" si="9"/>
        <v>1153171</v>
      </c>
    </row>
    <row r="74" spans="1:18" s="85" customFormat="1" x14ac:dyDescent="0.2">
      <c r="A74" s="214">
        <f t="shared" si="6"/>
        <v>1</v>
      </c>
      <c r="B74" s="106">
        <v>42005</v>
      </c>
      <c r="C74" s="3">
        <v>41392</v>
      </c>
      <c r="D74" s="3">
        <v>10395</v>
      </c>
      <c r="E74" s="3">
        <v>66758</v>
      </c>
      <c r="F74" s="3">
        <v>3772</v>
      </c>
      <c r="G74" s="3">
        <v>160406</v>
      </c>
      <c r="H74" s="3">
        <v>76807</v>
      </c>
      <c r="I74" s="3">
        <v>247056</v>
      </c>
      <c r="J74" s="3">
        <v>379</v>
      </c>
      <c r="K74" s="3">
        <v>444669</v>
      </c>
      <c r="L74" s="3">
        <v>53548</v>
      </c>
      <c r="M74" s="3">
        <v>19951</v>
      </c>
      <c r="N74" s="3">
        <v>14590</v>
      </c>
      <c r="O74" s="3">
        <v>1772</v>
      </c>
      <c r="P74" s="3">
        <v>2811</v>
      </c>
      <c r="Q74" s="3">
        <v>28226</v>
      </c>
      <c r="R74" s="107">
        <f t="shared" si="9"/>
        <v>1172532</v>
      </c>
    </row>
    <row r="75" spans="1:18" s="85" customFormat="1" x14ac:dyDescent="0.2">
      <c r="A75" s="214">
        <f t="shared" si="6"/>
        <v>1</v>
      </c>
      <c r="B75" s="106">
        <v>42036</v>
      </c>
      <c r="C75" s="3">
        <v>41334</v>
      </c>
      <c r="D75" s="3">
        <v>10532</v>
      </c>
      <c r="E75" s="3">
        <v>66651</v>
      </c>
      <c r="F75" s="3">
        <v>4112</v>
      </c>
      <c r="G75" s="3">
        <v>161480</v>
      </c>
      <c r="H75" s="3">
        <v>78910</v>
      </c>
      <c r="I75" s="3">
        <v>261108</v>
      </c>
      <c r="J75" s="3">
        <v>368</v>
      </c>
      <c r="K75" s="3">
        <v>446886</v>
      </c>
      <c r="L75" s="3">
        <v>55445</v>
      </c>
      <c r="M75" s="3">
        <v>19932</v>
      </c>
      <c r="N75" s="3">
        <v>14643</v>
      </c>
      <c r="O75" s="3">
        <v>1795</v>
      </c>
      <c r="P75" s="3">
        <v>2775</v>
      </c>
      <c r="Q75" s="3">
        <v>28158</v>
      </c>
      <c r="R75" s="107">
        <f t="shared" si="9"/>
        <v>1194129</v>
      </c>
    </row>
    <row r="76" spans="1:18" s="85" customFormat="1" x14ac:dyDescent="0.2">
      <c r="A76" s="214">
        <f t="shared" si="6"/>
        <v>1</v>
      </c>
      <c r="B76" s="106">
        <v>42064</v>
      </c>
      <c r="C76" s="3">
        <v>41518</v>
      </c>
      <c r="D76" s="3">
        <v>10615</v>
      </c>
      <c r="E76" s="3">
        <v>66974</v>
      </c>
      <c r="F76" s="3">
        <v>4226</v>
      </c>
      <c r="G76" s="3">
        <v>163641</v>
      </c>
      <c r="H76" s="3">
        <v>80068</v>
      </c>
      <c r="I76" s="3">
        <v>267714</v>
      </c>
      <c r="J76" s="3">
        <v>368</v>
      </c>
      <c r="K76" s="3">
        <v>450778</v>
      </c>
      <c r="L76" s="3">
        <v>56155</v>
      </c>
      <c r="M76" s="3">
        <v>19925</v>
      </c>
      <c r="N76" s="3">
        <v>14804</v>
      </c>
      <c r="O76" s="3">
        <v>1810</v>
      </c>
      <c r="P76" s="3">
        <v>2984</v>
      </c>
      <c r="Q76" s="3">
        <v>28332</v>
      </c>
      <c r="R76" s="107">
        <f t="shared" si="9"/>
        <v>1209912</v>
      </c>
    </row>
    <row r="77" spans="1:18" s="85" customFormat="1" x14ac:dyDescent="0.2">
      <c r="A77" s="214">
        <f t="shared" si="6"/>
        <v>1</v>
      </c>
      <c r="B77" s="106">
        <v>42095</v>
      </c>
      <c r="C77" s="3">
        <v>41621</v>
      </c>
      <c r="D77" s="3">
        <v>10690</v>
      </c>
      <c r="E77" s="3">
        <v>67110</v>
      </c>
      <c r="F77" s="3">
        <v>4161</v>
      </c>
      <c r="G77" s="3">
        <v>165835</v>
      </c>
      <c r="H77" s="3">
        <v>79437</v>
      </c>
      <c r="I77" s="3">
        <v>273043</v>
      </c>
      <c r="J77" s="3">
        <v>361</v>
      </c>
      <c r="K77" s="3">
        <v>455223</v>
      </c>
      <c r="L77" s="3">
        <v>55565</v>
      </c>
      <c r="M77" s="3">
        <v>19982</v>
      </c>
      <c r="N77" s="3">
        <v>14954</v>
      </c>
      <c r="O77" s="3">
        <v>1743</v>
      </c>
      <c r="P77" s="3">
        <v>3096</v>
      </c>
      <c r="Q77" s="3">
        <v>29170</v>
      </c>
      <c r="R77" s="107">
        <f t="shared" si="9"/>
        <v>1221991</v>
      </c>
    </row>
    <row r="78" spans="1:18" s="85" customFormat="1" x14ac:dyDescent="0.2">
      <c r="A78" s="214">
        <f t="shared" si="6"/>
        <v>1</v>
      </c>
      <c r="B78" s="106">
        <v>42125</v>
      </c>
      <c r="C78" s="3">
        <v>41778</v>
      </c>
      <c r="D78" s="3">
        <v>10703</v>
      </c>
      <c r="E78" s="3">
        <v>67261</v>
      </c>
      <c r="F78" s="3">
        <v>4279</v>
      </c>
      <c r="G78" s="3">
        <v>167183</v>
      </c>
      <c r="H78" s="3">
        <v>79417</v>
      </c>
      <c r="I78" s="3">
        <v>278709</v>
      </c>
      <c r="J78" s="3">
        <v>358</v>
      </c>
      <c r="K78" s="3">
        <v>456426</v>
      </c>
      <c r="L78" s="3">
        <v>56104</v>
      </c>
      <c r="M78" s="3">
        <v>19945</v>
      </c>
      <c r="N78" s="3">
        <v>14914</v>
      </c>
      <c r="O78" s="3">
        <v>1694</v>
      </c>
      <c r="P78" s="3">
        <v>3070</v>
      </c>
      <c r="Q78" s="3">
        <v>30224</v>
      </c>
      <c r="R78" s="107">
        <f t="shared" si="9"/>
        <v>1232065</v>
      </c>
    </row>
    <row r="79" spans="1:18" s="85" customFormat="1" x14ac:dyDescent="0.2">
      <c r="A79" s="214">
        <f t="shared" si="6"/>
        <v>1</v>
      </c>
      <c r="B79" s="106">
        <v>42156</v>
      </c>
      <c r="C79" s="3">
        <v>41849</v>
      </c>
      <c r="D79" s="3">
        <v>10503</v>
      </c>
      <c r="E79" s="3">
        <v>67726</v>
      </c>
      <c r="F79" s="3">
        <v>4509</v>
      </c>
      <c r="G79" s="3">
        <v>169912</v>
      </c>
      <c r="H79" s="3">
        <v>79036</v>
      </c>
      <c r="I79" s="3">
        <v>282910</v>
      </c>
      <c r="J79" s="3">
        <v>352</v>
      </c>
      <c r="K79" s="3">
        <v>457855</v>
      </c>
      <c r="L79" s="3">
        <v>57059</v>
      </c>
      <c r="M79" s="3">
        <v>19791</v>
      </c>
      <c r="N79" s="3">
        <v>14822</v>
      </c>
      <c r="O79" s="3">
        <v>1665</v>
      </c>
      <c r="P79" s="3">
        <v>2885</v>
      </c>
      <c r="Q79" s="3">
        <v>30560</v>
      </c>
      <c r="R79" s="107">
        <f t="shared" si="9"/>
        <v>1241434</v>
      </c>
    </row>
    <row r="80" spans="1:18" s="85" customFormat="1" x14ac:dyDescent="0.2">
      <c r="A80" s="214">
        <f t="shared" si="6"/>
        <v>1</v>
      </c>
      <c r="B80" s="110" t="s">
        <v>248</v>
      </c>
      <c r="C80" s="7">
        <f>ROUND(AVERAGE(C68:C79),0)</f>
        <v>41817</v>
      </c>
      <c r="D80" s="7">
        <f t="shared" ref="D80:Q80" si="10">ROUND(AVERAGE(D68:D79),0)</f>
        <v>10466</v>
      </c>
      <c r="E80" s="7">
        <f t="shared" si="10"/>
        <v>66548</v>
      </c>
      <c r="F80" s="7">
        <f t="shared" si="10"/>
        <v>3627</v>
      </c>
      <c r="G80" s="7">
        <f t="shared" si="10"/>
        <v>161682</v>
      </c>
      <c r="H80" s="7">
        <f t="shared" si="10"/>
        <v>71989</v>
      </c>
      <c r="I80" s="7">
        <f>ROUND(AVERAGE(I68:I79),0)</f>
        <v>241392</v>
      </c>
      <c r="J80" s="7">
        <f>ROUND(AVERAGE(J68:J79),0)</f>
        <v>400</v>
      </c>
      <c r="K80" s="7">
        <f>ROUND(AVERAGE(K68:K79),0)</f>
        <v>445723</v>
      </c>
      <c r="L80" s="7">
        <f t="shared" si="10"/>
        <v>50113</v>
      </c>
      <c r="M80" s="7">
        <f t="shared" si="10"/>
        <v>20036</v>
      </c>
      <c r="N80" s="7">
        <f t="shared" si="10"/>
        <v>14897</v>
      </c>
      <c r="O80" s="7">
        <f t="shared" si="10"/>
        <v>1749</v>
      </c>
      <c r="P80" s="7">
        <f t="shared" si="10"/>
        <v>2722</v>
      </c>
      <c r="Q80" s="7">
        <f t="shared" si="10"/>
        <v>28045</v>
      </c>
      <c r="R80" s="111">
        <f t="shared" ref="R80" si="11">SUM(C80:Q80)</f>
        <v>1161206</v>
      </c>
    </row>
    <row r="81" spans="1:18" s="85" customFormat="1" x14ac:dyDescent="0.2">
      <c r="A81" s="214">
        <f t="shared" si="6"/>
        <v>1</v>
      </c>
      <c r="B81" s="106">
        <v>42186</v>
      </c>
      <c r="C81" s="3">
        <v>41661</v>
      </c>
      <c r="D81" s="3">
        <v>10437</v>
      </c>
      <c r="E81" s="3">
        <v>72760</v>
      </c>
      <c r="F81" s="3">
        <v>5670</v>
      </c>
      <c r="G81" s="3">
        <v>169316</v>
      </c>
      <c r="H81" s="3">
        <v>79502</v>
      </c>
      <c r="I81" s="3">
        <v>287183</v>
      </c>
      <c r="J81" s="3">
        <v>344</v>
      </c>
      <c r="K81" s="3">
        <v>454996</v>
      </c>
      <c r="L81" s="3">
        <v>56220</v>
      </c>
      <c r="M81" s="3">
        <v>19578</v>
      </c>
      <c r="N81" s="3">
        <v>14627</v>
      </c>
      <c r="O81" s="3">
        <v>1596</v>
      </c>
      <c r="P81" s="3">
        <v>2774</v>
      </c>
      <c r="Q81" s="3">
        <v>30877</v>
      </c>
      <c r="R81" s="107">
        <f t="shared" si="9"/>
        <v>1247541</v>
      </c>
    </row>
    <row r="82" spans="1:18" s="85" customFormat="1" x14ac:dyDescent="0.2">
      <c r="A82" s="214">
        <f t="shared" si="6"/>
        <v>1</v>
      </c>
      <c r="B82" s="106">
        <v>42217</v>
      </c>
      <c r="C82" s="3">
        <v>41909</v>
      </c>
      <c r="D82" s="3">
        <v>10423</v>
      </c>
      <c r="E82" s="3">
        <v>71167</v>
      </c>
      <c r="F82" s="3">
        <v>9733</v>
      </c>
      <c r="G82" s="3">
        <v>169140</v>
      </c>
      <c r="H82" s="3">
        <v>81001</v>
      </c>
      <c r="I82" s="3">
        <v>293155</v>
      </c>
      <c r="J82" s="3">
        <v>342</v>
      </c>
      <c r="K82" s="3">
        <v>457343</v>
      </c>
      <c r="L82" s="3">
        <v>57355</v>
      </c>
      <c r="M82" s="3">
        <v>19676</v>
      </c>
      <c r="N82" s="3">
        <v>14466</v>
      </c>
      <c r="O82" s="3">
        <v>1615</v>
      </c>
      <c r="P82" s="3">
        <v>2699</v>
      </c>
      <c r="Q82" s="3">
        <v>31244</v>
      </c>
      <c r="R82" s="107">
        <f t="shared" ref="R82:R87" si="12">SUM(C82:Q82)</f>
        <v>1261268</v>
      </c>
    </row>
    <row r="83" spans="1:18" s="85" customFormat="1" x14ac:dyDescent="0.2">
      <c r="A83" s="214">
        <f t="shared" si="6"/>
        <v>1</v>
      </c>
      <c r="B83" s="106">
        <v>42248</v>
      </c>
      <c r="C83" s="3">
        <v>42134</v>
      </c>
      <c r="D83" s="3">
        <v>10348</v>
      </c>
      <c r="E83" s="3">
        <v>68765</v>
      </c>
      <c r="F83" s="3">
        <v>10175</v>
      </c>
      <c r="G83" s="3">
        <v>169127</v>
      </c>
      <c r="H83" s="3">
        <v>82010</v>
      </c>
      <c r="I83" s="3">
        <v>297680</v>
      </c>
      <c r="J83" s="3">
        <v>342</v>
      </c>
      <c r="K83" s="3">
        <v>461317</v>
      </c>
      <c r="L83" s="3">
        <v>58330</v>
      </c>
      <c r="M83" s="3">
        <v>19776</v>
      </c>
      <c r="N83" s="3">
        <v>14204</v>
      </c>
      <c r="O83" s="3">
        <v>1614</v>
      </c>
      <c r="P83" s="3">
        <v>2635</v>
      </c>
      <c r="Q83" s="3">
        <v>31278</v>
      </c>
      <c r="R83" s="107">
        <f t="shared" si="12"/>
        <v>1269735</v>
      </c>
    </row>
    <row r="84" spans="1:18" s="85" customFormat="1" x14ac:dyDescent="0.2">
      <c r="A84" s="214">
        <f t="shared" si="6"/>
        <v>1</v>
      </c>
      <c r="B84" s="106">
        <v>42278</v>
      </c>
      <c r="C84" s="3">
        <v>41817</v>
      </c>
      <c r="D84" s="3">
        <v>10190</v>
      </c>
      <c r="E84" s="3">
        <v>68576</v>
      </c>
      <c r="F84" s="3">
        <v>6030</v>
      </c>
      <c r="G84" s="3">
        <v>167734</v>
      </c>
      <c r="H84" s="3">
        <v>82642</v>
      </c>
      <c r="I84" s="3">
        <v>302362</v>
      </c>
      <c r="J84" s="3">
        <v>336</v>
      </c>
      <c r="K84" s="3">
        <v>466623</v>
      </c>
      <c r="L84" s="3">
        <v>58336</v>
      </c>
      <c r="M84" s="3">
        <v>19814</v>
      </c>
      <c r="N84" s="3">
        <v>13139</v>
      </c>
      <c r="O84" s="3">
        <v>1568</v>
      </c>
      <c r="P84" s="3">
        <v>2491</v>
      </c>
      <c r="Q84" s="3">
        <v>31293</v>
      </c>
      <c r="R84" s="107">
        <f t="shared" si="12"/>
        <v>1272951</v>
      </c>
    </row>
    <row r="85" spans="1:18" s="85" customFormat="1" x14ac:dyDescent="0.2">
      <c r="A85" s="214">
        <f t="shared" si="6"/>
        <v>1</v>
      </c>
      <c r="B85" s="106">
        <v>42309</v>
      </c>
      <c r="C85" s="3">
        <v>42456</v>
      </c>
      <c r="D85" s="3">
        <v>10429</v>
      </c>
      <c r="E85" s="3">
        <v>69113</v>
      </c>
      <c r="F85" s="3">
        <v>5539</v>
      </c>
      <c r="G85" s="3">
        <v>162975</v>
      </c>
      <c r="H85" s="3">
        <v>85784</v>
      </c>
      <c r="I85" s="3">
        <v>310294</v>
      </c>
      <c r="J85" s="3">
        <v>324</v>
      </c>
      <c r="K85" s="3">
        <v>466734</v>
      </c>
      <c r="L85" s="3">
        <v>59640</v>
      </c>
      <c r="M85" s="3">
        <v>19936</v>
      </c>
      <c r="N85" s="3">
        <v>14428</v>
      </c>
      <c r="O85" s="3">
        <v>1743</v>
      </c>
      <c r="P85" s="3">
        <v>2605</v>
      </c>
      <c r="Q85" s="3">
        <v>31903</v>
      </c>
      <c r="R85" s="107">
        <f t="shared" si="12"/>
        <v>1283903</v>
      </c>
    </row>
    <row r="86" spans="1:18" s="85" customFormat="1" x14ac:dyDescent="0.2">
      <c r="A86" s="214">
        <f t="shared" si="6"/>
        <v>1</v>
      </c>
      <c r="B86" s="106">
        <v>42339</v>
      </c>
      <c r="C86" s="3">
        <v>42628</v>
      </c>
      <c r="D86" s="3">
        <v>10451</v>
      </c>
      <c r="E86" s="3">
        <v>68813</v>
      </c>
      <c r="F86" s="3">
        <v>5717</v>
      </c>
      <c r="G86" s="3">
        <v>163088</v>
      </c>
      <c r="H86" s="3">
        <v>87548</v>
      </c>
      <c r="I86" s="3">
        <f>320248-155</f>
        <v>320093</v>
      </c>
      <c r="J86" s="3">
        <f>163+155</f>
        <v>318</v>
      </c>
      <c r="K86" s="3">
        <v>469009</v>
      </c>
      <c r="L86" s="3">
        <v>59867</v>
      </c>
      <c r="M86" s="3">
        <v>19975</v>
      </c>
      <c r="N86" s="3">
        <v>14252</v>
      </c>
      <c r="O86" s="3">
        <v>1846</v>
      </c>
      <c r="P86" s="3">
        <v>2616</v>
      </c>
      <c r="Q86" s="3">
        <v>32143</v>
      </c>
      <c r="R86" s="107">
        <f t="shared" si="12"/>
        <v>1298364</v>
      </c>
    </row>
    <row r="87" spans="1:18" s="85" customFormat="1" x14ac:dyDescent="0.2">
      <c r="A87" s="214">
        <f t="shared" si="6"/>
        <v>1</v>
      </c>
      <c r="B87" s="106">
        <v>42370</v>
      </c>
      <c r="C87" s="3">
        <v>42301</v>
      </c>
      <c r="D87" s="3">
        <v>10462</v>
      </c>
      <c r="E87" s="3">
        <v>67571</v>
      </c>
      <c r="F87" s="3">
        <v>5311</v>
      </c>
      <c r="G87" s="3">
        <v>162764</v>
      </c>
      <c r="H87" s="3">
        <v>88891</v>
      </c>
      <c r="I87" s="3">
        <v>327653</v>
      </c>
      <c r="J87" s="3">
        <v>314</v>
      </c>
      <c r="K87" s="3">
        <v>470109</v>
      </c>
      <c r="L87" s="3">
        <v>59934</v>
      </c>
      <c r="M87" s="3">
        <v>19987</v>
      </c>
      <c r="N87" s="3">
        <v>14399</v>
      </c>
      <c r="O87" s="3">
        <v>1811</v>
      </c>
      <c r="P87" s="3">
        <v>2593</v>
      </c>
      <c r="Q87" s="3">
        <v>33921</v>
      </c>
      <c r="R87" s="107">
        <f t="shared" si="12"/>
        <v>1308021</v>
      </c>
    </row>
    <row r="88" spans="1:18" s="85" customFormat="1" x14ac:dyDescent="0.2">
      <c r="A88" s="214">
        <f t="shared" si="6"/>
        <v>1</v>
      </c>
      <c r="B88" s="106">
        <v>42401</v>
      </c>
      <c r="C88" s="3">
        <v>42504</v>
      </c>
      <c r="D88" s="3">
        <v>10531</v>
      </c>
      <c r="E88" s="3">
        <v>67298</v>
      </c>
      <c r="F88" s="3">
        <v>5393</v>
      </c>
      <c r="G88" s="3">
        <v>162650</v>
      </c>
      <c r="H88" s="3">
        <v>89610</v>
      </c>
      <c r="I88" s="3">
        <v>331622</v>
      </c>
      <c r="J88" s="3">
        <v>310</v>
      </c>
      <c r="K88" s="3">
        <v>470758</v>
      </c>
      <c r="L88" s="3">
        <v>59950</v>
      </c>
      <c r="M88" s="3">
        <v>19963</v>
      </c>
      <c r="N88" s="3">
        <v>14381</v>
      </c>
      <c r="O88" s="3">
        <v>1846</v>
      </c>
      <c r="P88" s="3">
        <v>2631</v>
      </c>
      <c r="Q88" s="3">
        <v>33939</v>
      </c>
      <c r="R88" s="107">
        <f>SUM(C88:Q88)</f>
        <v>1313386</v>
      </c>
    </row>
    <row r="89" spans="1:18" s="85" customFormat="1" x14ac:dyDescent="0.2">
      <c r="A89" s="214">
        <f t="shared" si="6"/>
        <v>1</v>
      </c>
      <c r="B89" s="106">
        <v>42430</v>
      </c>
      <c r="C89" s="3">
        <v>42733</v>
      </c>
      <c r="D89" s="3">
        <v>10664</v>
      </c>
      <c r="E89" s="3">
        <v>67979</v>
      </c>
      <c r="F89" s="3">
        <v>5424</v>
      </c>
      <c r="G89" s="3">
        <v>163417</v>
      </c>
      <c r="H89" s="3">
        <v>90244</v>
      </c>
      <c r="I89" s="3">
        <v>335451</v>
      </c>
      <c r="J89" s="3">
        <v>311</v>
      </c>
      <c r="K89" s="3">
        <v>472221</v>
      </c>
      <c r="L89" s="3">
        <v>60614</v>
      </c>
      <c r="M89" s="3">
        <v>20028</v>
      </c>
      <c r="N89" s="3">
        <v>14619</v>
      </c>
      <c r="O89" s="3">
        <v>1856</v>
      </c>
      <c r="P89" s="3">
        <v>2722</v>
      </c>
      <c r="Q89" s="3">
        <v>33442</v>
      </c>
      <c r="R89" s="107">
        <f>SUM(C89:Q89)</f>
        <v>1321725</v>
      </c>
    </row>
    <row r="90" spans="1:18" s="85" customFormat="1" x14ac:dyDescent="0.2">
      <c r="A90" s="214">
        <f t="shared" si="6"/>
        <v>1</v>
      </c>
      <c r="B90" s="106">
        <v>42461</v>
      </c>
      <c r="C90" s="3">
        <v>42778</v>
      </c>
      <c r="D90" s="3">
        <v>10749</v>
      </c>
      <c r="E90" s="3">
        <v>67828</v>
      </c>
      <c r="F90" s="3">
        <v>5192</v>
      </c>
      <c r="G90" s="3">
        <v>161967</v>
      </c>
      <c r="H90" s="3">
        <v>90644</v>
      </c>
      <c r="I90" s="3">
        <v>340862</v>
      </c>
      <c r="J90" s="3">
        <v>308</v>
      </c>
      <c r="K90" s="3">
        <v>472964</v>
      </c>
      <c r="L90" s="3">
        <v>60790</v>
      </c>
      <c r="M90" s="3">
        <v>20133</v>
      </c>
      <c r="N90" s="3">
        <v>14675</v>
      </c>
      <c r="O90" s="3">
        <v>1846</v>
      </c>
      <c r="P90" s="3">
        <v>2675</v>
      </c>
      <c r="Q90" s="3">
        <v>33478</v>
      </c>
      <c r="R90" s="107">
        <f>SUM(C90:Q90)</f>
        <v>1326889</v>
      </c>
    </row>
    <row r="91" spans="1:18" s="85" customFormat="1" x14ac:dyDescent="0.2">
      <c r="A91" s="214">
        <f t="shared" si="6"/>
        <v>1</v>
      </c>
      <c r="B91" s="106">
        <v>42491</v>
      </c>
      <c r="C91" s="3">
        <v>42900</v>
      </c>
      <c r="D91" s="3">
        <v>10788</v>
      </c>
      <c r="E91" s="3">
        <v>67842</v>
      </c>
      <c r="F91" s="3">
        <v>5152</v>
      </c>
      <c r="G91" s="3">
        <v>155252</v>
      </c>
      <c r="H91" s="3">
        <v>92385</v>
      </c>
      <c r="I91" s="3">
        <v>347731</v>
      </c>
      <c r="J91" s="3">
        <v>308</v>
      </c>
      <c r="K91" s="3">
        <v>472199</v>
      </c>
      <c r="L91" s="3">
        <v>61169</v>
      </c>
      <c r="M91" s="3">
        <v>20196</v>
      </c>
      <c r="N91" s="3">
        <v>14884</v>
      </c>
      <c r="O91" s="3">
        <v>1870</v>
      </c>
      <c r="P91" s="3">
        <v>2707</v>
      </c>
      <c r="Q91" s="3">
        <v>33693</v>
      </c>
      <c r="R91" s="107">
        <f>SUM(C91:Q91)</f>
        <v>1329076</v>
      </c>
    </row>
    <row r="92" spans="1:18" s="85" customFormat="1" x14ac:dyDescent="0.2">
      <c r="A92" s="214">
        <f t="shared" si="6"/>
        <v>1</v>
      </c>
      <c r="B92" s="106">
        <v>42522</v>
      </c>
      <c r="C92" s="3">
        <v>43015</v>
      </c>
      <c r="D92" s="3">
        <v>10876</v>
      </c>
      <c r="E92" s="3">
        <v>67891</v>
      </c>
      <c r="F92" s="3">
        <v>5265</v>
      </c>
      <c r="G92" s="3">
        <v>152679</v>
      </c>
      <c r="H92" s="3">
        <v>93307</v>
      </c>
      <c r="I92" s="3">
        <v>350396</v>
      </c>
      <c r="J92" s="3">
        <v>304</v>
      </c>
      <c r="K92" s="3">
        <v>472050</v>
      </c>
      <c r="L92" s="3">
        <v>61808</v>
      </c>
      <c r="M92" s="3">
        <v>20162</v>
      </c>
      <c r="N92" s="3">
        <v>14883</v>
      </c>
      <c r="O92" s="3">
        <v>1893</v>
      </c>
      <c r="P92" s="3">
        <v>2635</v>
      </c>
      <c r="Q92" s="3">
        <v>33813</v>
      </c>
      <c r="R92" s="107">
        <f>SUM(C92:Q92)</f>
        <v>1330977</v>
      </c>
    </row>
    <row r="93" spans="1:18" s="85" customFormat="1" x14ac:dyDescent="0.2">
      <c r="A93" s="214">
        <f t="shared" si="6"/>
        <v>1</v>
      </c>
      <c r="B93" s="110" t="s">
        <v>300</v>
      </c>
      <c r="C93" s="7">
        <f>ROUND(AVERAGE(C81:C92),0)</f>
        <v>42403</v>
      </c>
      <c r="D93" s="7">
        <f t="shared" ref="D93:Q93" si="13">ROUND(AVERAGE(D81:D92),0)</f>
        <v>10529</v>
      </c>
      <c r="E93" s="7">
        <f t="shared" si="13"/>
        <v>68800</v>
      </c>
      <c r="F93" s="7">
        <f t="shared" si="13"/>
        <v>6217</v>
      </c>
      <c r="G93" s="7">
        <f t="shared" si="13"/>
        <v>163342</v>
      </c>
      <c r="H93" s="7">
        <f t="shared" si="13"/>
        <v>86964</v>
      </c>
      <c r="I93" s="7">
        <f>ROUND(AVERAGE(I81:I92),0)</f>
        <v>320374</v>
      </c>
      <c r="J93" s="7">
        <f>ROUND(AVERAGE(J81:J92),0)</f>
        <v>322</v>
      </c>
      <c r="K93" s="7">
        <f>ROUNDDOWN(AVERAGE(K81:K92),0)</f>
        <v>467193</v>
      </c>
      <c r="L93" s="7">
        <f t="shared" si="13"/>
        <v>59501</v>
      </c>
      <c r="M93" s="7">
        <f t="shared" si="13"/>
        <v>19935</v>
      </c>
      <c r="N93" s="7">
        <f t="shared" si="13"/>
        <v>14413</v>
      </c>
      <c r="O93" s="7">
        <f t="shared" si="13"/>
        <v>1759</v>
      </c>
      <c r="P93" s="7">
        <f t="shared" si="13"/>
        <v>2649</v>
      </c>
      <c r="Q93" s="7">
        <f t="shared" si="13"/>
        <v>32585</v>
      </c>
      <c r="R93" s="111">
        <f t="shared" ref="R93" si="14">SUM(C93:Q93)</f>
        <v>1296986</v>
      </c>
    </row>
    <row r="94" spans="1:18" s="85" customFormat="1" x14ac:dyDescent="0.2">
      <c r="A94" s="214">
        <f t="shared" si="6"/>
        <v>1</v>
      </c>
      <c r="B94" s="106">
        <v>42552</v>
      </c>
      <c r="C94" s="3">
        <v>43104</v>
      </c>
      <c r="D94" s="3">
        <v>10931</v>
      </c>
      <c r="E94" s="3">
        <v>67836</v>
      </c>
      <c r="F94" s="3">
        <v>5334</v>
      </c>
      <c r="G94" s="3">
        <v>150888</v>
      </c>
      <c r="H94" s="3">
        <v>90622</v>
      </c>
      <c r="I94" s="3">
        <v>351908</v>
      </c>
      <c r="J94" s="3">
        <v>313</v>
      </c>
      <c r="K94" s="3">
        <v>470963</v>
      </c>
      <c r="L94" s="3">
        <v>62982</v>
      </c>
      <c r="M94" s="3">
        <v>20118</v>
      </c>
      <c r="N94" s="3">
        <v>14896</v>
      </c>
      <c r="O94" s="3">
        <v>1883</v>
      </c>
      <c r="P94" s="3">
        <v>2630</v>
      </c>
      <c r="Q94" s="3">
        <v>33512</v>
      </c>
      <c r="R94" s="107">
        <f t="shared" ref="R94:R100" si="15">SUM(C94:Q94)</f>
        <v>1327920</v>
      </c>
    </row>
    <row r="95" spans="1:18" s="85" customFormat="1" x14ac:dyDescent="0.2">
      <c r="A95" s="214">
        <f t="shared" si="6"/>
        <v>1</v>
      </c>
      <c r="B95" s="106">
        <v>42583</v>
      </c>
      <c r="C95" s="3">
        <v>43374</v>
      </c>
      <c r="D95" s="3">
        <v>11011</v>
      </c>
      <c r="E95" s="3">
        <v>67906</v>
      </c>
      <c r="F95" s="3">
        <v>5452</v>
      </c>
      <c r="G95" s="3">
        <v>150673</v>
      </c>
      <c r="H95" s="3">
        <v>91044</v>
      </c>
      <c r="I95" s="3">
        <v>359971</v>
      </c>
      <c r="J95" s="3">
        <v>310</v>
      </c>
      <c r="K95" s="3">
        <v>471980</v>
      </c>
      <c r="L95" s="3">
        <v>63715</v>
      </c>
      <c r="M95" s="3">
        <v>20203</v>
      </c>
      <c r="N95" s="3">
        <v>14911</v>
      </c>
      <c r="O95" s="3">
        <v>1872</v>
      </c>
      <c r="P95" s="3">
        <v>2634</v>
      </c>
      <c r="Q95" s="3">
        <v>33636</v>
      </c>
      <c r="R95" s="107">
        <f t="shared" si="15"/>
        <v>1338692</v>
      </c>
    </row>
    <row r="96" spans="1:18" s="85" customFormat="1" x14ac:dyDescent="0.2">
      <c r="A96" s="214">
        <f t="shared" si="6"/>
        <v>1</v>
      </c>
      <c r="B96" s="106">
        <v>42614</v>
      </c>
      <c r="C96" s="3">
        <v>43633</v>
      </c>
      <c r="D96" s="3">
        <v>11039</v>
      </c>
      <c r="E96" s="3">
        <v>68043</v>
      </c>
      <c r="F96" s="3">
        <v>5598</v>
      </c>
      <c r="G96" s="3">
        <v>151271</v>
      </c>
      <c r="H96" s="3">
        <v>90010</v>
      </c>
      <c r="I96" s="3">
        <v>356125</v>
      </c>
      <c r="J96" s="3">
        <v>311</v>
      </c>
      <c r="K96" s="3">
        <v>471754</v>
      </c>
      <c r="L96" s="3">
        <v>64431</v>
      </c>
      <c r="M96" s="3">
        <v>20296</v>
      </c>
      <c r="N96" s="3">
        <v>14401</v>
      </c>
      <c r="O96" s="3">
        <v>1797</v>
      </c>
      <c r="P96" s="3">
        <v>2571</v>
      </c>
      <c r="Q96" s="3">
        <v>33623</v>
      </c>
      <c r="R96" s="107">
        <f t="shared" si="15"/>
        <v>1334903</v>
      </c>
    </row>
    <row r="97" spans="1:18" s="85" customFormat="1" x14ac:dyDescent="0.2">
      <c r="A97" s="214">
        <f t="shared" si="6"/>
        <v>1</v>
      </c>
      <c r="B97" s="106">
        <v>42644</v>
      </c>
      <c r="C97" s="3">
        <v>43725</v>
      </c>
      <c r="D97" s="3">
        <v>11131</v>
      </c>
      <c r="E97" s="3">
        <v>67951</v>
      </c>
      <c r="F97" s="3">
        <v>5825</v>
      </c>
      <c r="G97" s="3">
        <v>153579</v>
      </c>
      <c r="H97" s="3">
        <v>88537</v>
      </c>
      <c r="I97" s="3">
        <v>353370</v>
      </c>
      <c r="J97" s="3">
        <v>312</v>
      </c>
      <c r="K97" s="3">
        <v>471116</v>
      </c>
      <c r="L97" s="3">
        <v>64454</v>
      </c>
      <c r="M97" s="3">
        <v>20260</v>
      </c>
      <c r="N97" s="3">
        <v>14168</v>
      </c>
      <c r="O97" s="3">
        <v>1790</v>
      </c>
      <c r="P97" s="3">
        <v>2455</v>
      </c>
      <c r="Q97" s="3">
        <v>33461</v>
      </c>
      <c r="R97" s="107">
        <f t="shared" si="15"/>
        <v>1332134</v>
      </c>
    </row>
    <row r="98" spans="1:18" s="85" customFormat="1" x14ac:dyDescent="0.2">
      <c r="A98" s="214">
        <f t="shared" si="6"/>
        <v>1</v>
      </c>
      <c r="B98" s="106">
        <v>42675</v>
      </c>
      <c r="C98" s="55">
        <v>43913</v>
      </c>
      <c r="D98" s="55">
        <v>11233</v>
      </c>
      <c r="E98" s="55">
        <v>67914</v>
      </c>
      <c r="F98" s="55">
        <v>5918</v>
      </c>
      <c r="G98" s="55">
        <v>155687</v>
      </c>
      <c r="H98" s="55">
        <v>90158</v>
      </c>
      <c r="I98" s="55">
        <v>358986</v>
      </c>
      <c r="J98" s="55">
        <v>306</v>
      </c>
      <c r="K98" s="55">
        <v>473863</v>
      </c>
      <c r="L98" s="55">
        <v>61650</v>
      </c>
      <c r="M98" s="55">
        <v>20306</v>
      </c>
      <c r="N98" s="55">
        <v>13876</v>
      </c>
      <c r="O98" s="55">
        <v>1738</v>
      </c>
      <c r="P98" s="55">
        <v>2434</v>
      </c>
      <c r="Q98" s="55">
        <v>33416</v>
      </c>
      <c r="R98" s="107">
        <f t="shared" si="15"/>
        <v>1341398</v>
      </c>
    </row>
    <row r="99" spans="1:18" s="85" customFormat="1" x14ac:dyDescent="0.2">
      <c r="A99" s="214">
        <f t="shared" si="6"/>
        <v>1</v>
      </c>
      <c r="B99" s="106">
        <v>42705</v>
      </c>
      <c r="C99" s="3">
        <v>43481</v>
      </c>
      <c r="D99" s="3">
        <v>11181</v>
      </c>
      <c r="E99" s="3">
        <v>66509</v>
      </c>
      <c r="F99" s="3">
        <v>6114</v>
      </c>
      <c r="G99" s="3">
        <v>157155</v>
      </c>
      <c r="H99" s="3">
        <v>90730</v>
      </c>
      <c r="I99" s="3">
        <v>362193</v>
      </c>
      <c r="J99" s="3">
        <v>303</v>
      </c>
      <c r="K99" s="3">
        <v>472054</v>
      </c>
      <c r="L99" s="3">
        <v>62524</v>
      </c>
      <c r="M99" s="3">
        <v>20296</v>
      </c>
      <c r="N99" s="3">
        <v>13608</v>
      </c>
      <c r="O99" s="3">
        <v>1736</v>
      </c>
      <c r="P99" s="3">
        <v>2430</v>
      </c>
      <c r="Q99" s="3">
        <v>33390</v>
      </c>
      <c r="R99" s="107">
        <f t="shared" si="15"/>
        <v>1343704</v>
      </c>
    </row>
    <row r="100" spans="1:18" s="85" customFormat="1" x14ac:dyDescent="0.2">
      <c r="A100" s="214">
        <f t="shared" si="6"/>
        <v>1</v>
      </c>
      <c r="B100" s="106">
        <v>42736</v>
      </c>
      <c r="C100" s="3">
        <v>43888</v>
      </c>
      <c r="D100" s="3">
        <v>11405</v>
      </c>
      <c r="E100" s="3">
        <v>68174</v>
      </c>
      <c r="F100" s="3">
        <v>6267</v>
      </c>
      <c r="G100" s="3">
        <v>158234</v>
      </c>
      <c r="H100" s="3">
        <v>87555</v>
      </c>
      <c r="I100" s="3">
        <v>362098</v>
      </c>
      <c r="J100" s="3">
        <v>295</v>
      </c>
      <c r="K100" s="3">
        <v>469992</v>
      </c>
      <c r="L100" s="3">
        <v>64732</v>
      </c>
      <c r="M100" s="3">
        <v>20297</v>
      </c>
      <c r="N100" s="3">
        <v>13527</v>
      </c>
      <c r="O100" s="3">
        <v>1816</v>
      </c>
      <c r="P100" s="3">
        <v>2526</v>
      </c>
      <c r="Q100" s="3">
        <v>33173</v>
      </c>
      <c r="R100" s="107">
        <f t="shared" si="15"/>
        <v>1343979</v>
      </c>
    </row>
    <row r="101" spans="1:18" s="85" customFormat="1" x14ac:dyDescent="0.2">
      <c r="A101" s="214">
        <f t="shared" si="6"/>
        <v>0</v>
      </c>
      <c r="B101" s="106">
        <v>42767</v>
      </c>
      <c r="C101" s="3"/>
      <c r="D101" s="3"/>
      <c r="E101" s="3"/>
      <c r="F101" s="3"/>
      <c r="G101" s="3"/>
      <c r="H101" s="3"/>
      <c r="I101" s="3"/>
      <c r="J101" s="3"/>
      <c r="K101" s="3"/>
      <c r="L101" s="3"/>
      <c r="M101" s="3"/>
      <c r="N101" s="3"/>
      <c r="O101" s="3"/>
      <c r="P101" s="3"/>
      <c r="Q101" s="3"/>
      <c r="R101" s="107"/>
    </row>
    <row r="102" spans="1:18" s="85" customFormat="1" x14ac:dyDescent="0.2">
      <c r="A102" s="214">
        <f t="shared" si="6"/>
        <v>0</v>
      </c>
      <c r="B102" s="106">
        <v>42795</v>
      </c>
      <c r="C102" s="3"/>
      <c r="D102" s="3"/>
      <c r="E102" s="3"/>
      <c r="F102" s="3"/>
      <c r="G102" s="3"/>
      <c r="H102" s="3"/>
      <c r="I102" s="3"/>
      <c r="J102" s="3"/>
      <c r="K102" s="3"/>
      <c r="L102" s="3"/>
      <c r="M102" s="3"/>
      <c r="N102" s="3"/>
      <c r="O102" s="3"/>
      <c r="P102" s="3"/>
      <c r="Q102" s="3"/>
      <c r="R102" s="107"/>
    </row>
    <row r="103" spans="1:18" s="85" customFormat="1" x14ac:dyDescent="0.2">
      <c r="A103" s="214">
        <f t="shared" si="6"/>
        <v>0</v>
      </c>
      <c r="B103" s="106">
        <v>42826</v>
      </c>
      <c r="C103" s="3"/>
      <c r="D103" s="3"/>
      <c r="E103" s="3"/>
      <c r="F103" s="3"/>
      <c r="G103" s="3"/>
      <c r="H103" s="3"/>
      <c r="I103" s="3"/>
      <c r="J103" s="3"/>
      <c r="K103" s="3"/>
      <c r="L103" s="3"/>
      <c r="M103" s="3"/>
      <c r="N103" s="3"/>
      <c r="O103" s="3"/>
      <c r="P103" s="3"/>
      <c r="Q103" s="3"/>
      <c r="R103" s="107"/>
    </row>
    <row r="104" spans="1:18" s="85" customFormat="1" x14ac:dyDescent="0.2">
      <c r="A104" s="214">
        <f t="shared" si="6"/>
        <v>0</v>
      </c>
      <c r="B104" s="106">
        <v>42856</v>
      </c>
      <c r="C104" s="3"/>
      <c r="D104" s="3"/>
      <c r="E104" s="3"/>
      <c r="F104" s="3"/>
      <c r="G104" s="3"/>
      <c r="H104" s="3"/>
      <c r="I104" s="3"/>
      <c r="J104" s="3"/>
      <c r="K104" s="3"/>
      <c r="L104" s="3"/>
      <c r="M104" s="3"/>
      <c r="N104" s="3"/>
      <c r="O104" s="3"/>
      <c r="P104" s="3"/>
      <c r="Q104" s="3"/>
      <c r="R104" s="107"/>
    </row>
    <row r="105" spans="1:18" s="85" customFormat="1" x14ac:dyDescent="0.2">
      <c r="A105" s="214">
        <f t="shared" si="6"/>
        <v>0</v>
      </c>
      <c r="B105" s="106">
        <v>42887</v>
      </c>
      <c r="C105" s="3"/>
      <c r="D105" s="3"/>
      <c r="E105" s="3"/>
      <c r="F105" s="3"/>
      <c r="G105" s="3"/>
      <c r="H105" s="3"/>
      <c r="I105" s="3"/>
      <c r="J105" s="3"/>
      <c r="K105" s="3"/>
      <c r="L105" s="3"/>
      <c r="M105" s="3"/>
      <c r="N105" s="3"/>
      <c r="O105" s="3"/>
      <c r="P105" s="3"/>
      <c r="Q105" s="3"/>
      <c r="R105" s="107"/>
    </row>
    <row r="106" spans="1:18" s="85" customFormat="1" x14ac:dyDescent="0.2">
      <c r="A106" s="214"/>
      <c r="B106" s="106"/>
      <c r="C106" s="3"/>
      <c r="D106" s="3"/>
      <c r="E106" s="3"/>
      <c r="F106" s="3"/>
      <c r="G106" s="3"/>
      <c r="H106" s="3"/>
      <c r="I106" s="3"/>
      <c r="J106" s="3"/>
      <c r="K106" s="3"/>
      <c r="L106" s="3"/>
      <c r="M106" s="3"/>
      <c r="N106" s="3"/>
      <c r="O106" s="3"/>
      <c r="P106" s="3"/>
      <c r="Q106" s="3"/>
      <c r="R106" s="107"/>
    </row>
    <row r="107" spans="1:18" s="85" customFormat="1" x14ac:dyDescent="0.25">
      <c r="B107" s="114" t="s">
        <v>301</v>
      </c>
      <c r="C107" s="5">
        <f>ROUND(+AVERAGE(C94:C105),0)</f>
        <v>43588</v>
      </c>
      <c r="D107" s="5">
        <f t="shared" ref="D107:P107" si="16">ROUND(+AVERAGE(D94:D105),0)</f>
        <v>11133</v>
      </c>
      <c r="E107" s="5">
        <f t="shared" si="16"/>
        <v>67762</v>
      </c>
      <c r="F107" s="5">
        <f t="shared" si="16"/>
        <v>5787</v>
      </c>
      <c r="G107" s="5">
        <f>ROUNDDOWN(+AVERAGE(G94:G105),0)</f>
        <v>153926</v>
      </c>
      <c r="H107" s="5">
        <f t="shared" si="16"/>
        <v>89808</v>
      </c>
      <c r="I107" s="5">
        <f>ROUND(+AVERAGE(I94:I105),0)</f>
        <v>357807</v>
      </c>
      <c r="J107" s="5">
        <f t="shared" si="16"/>
        <v>307</v>
      </c>
      <c r="K107" s="5">
        <f>ROUND(+AVERAGE(K94:K105),0)</f>
        <v>471675</v>
      </c>
      <c r="L107" s="5">
        <f>ROUNDDOWN(+AVERAGE(L94:L105),0)</f>
        <v>63498</v>
      </c>
      <c r="M107" s="5">
        <f t="shared" si="16"/>
        <v>20254</v>
      </c>
      <c r="N107" s="5">
        <f t="shared" si="16"/>
        <v>14198</v>
      </c>
      <c r="O107" s="5">
        <f t="shared" si="16"/>
        <v>1805</v>
      </c>
      <c r="P107" s="5">
        <f t="shared" si="16"/>
        <v>2526</v>
      </c>
      <c r="Q107" s="5">
        <f>ROUND(+AVERAGE(Q94:Q105),0)</f>
        <v>33459</v>
      </c>
      <c r="R107" s="115">
        <f>ROUND(SUM(C107:Q107),0)</f>
        <v>1337533</v>
      </c>
    </row>
    <row r="108" spans="1:18" s="85" customFormat="1" ht="15.75" customHeight="1" x14ac:dyDescent="0.25">
      <c r="B108" s="114" t="s">
        <v>302</v>
      </c>
      <c r="C108" s="5">
        <v>42831</v>
      </c>
      <c r="D108" s="5">
        <v>11058</v>
      </c>
      <c r="E108" s="5">
        <v>70731</v>
      </c>
      <c r="F108" s="5">
        <v>5858</v>
      </c>
      <c r="G108" s="5">
        <v>185519</v>
      </c>
      <c r="H108" s="5">
        <v>90649</v>
      </c>
      <c r="I108" s="5">
        <v>345496</v>
      </c>
      <c r="J108" s="5">
        <v>208</v>
      </c>
      <c r="K108" s="5">
        <v>494148</v>
      </c>
      <c r="L108" s="5">
        <v>64623</v>
      </c>
      <c r="M108" s="5">
        <v>19806</v>
      </c>
      <c r="N108" s="5">
        <v>14459</v>
      </c>
      <c r="O108" s="5">
        <v>1700</v>
      </c>
      <c r="P108" s="5">
        <v>2746</v>
      </c>
      <c r="Q108" s="5">
        <v>36113</v>
      </c>
      <c r="R108" s="115">
        <v>1385945</v>
      </c>
    </row>
    <row r="109" spans="1:18" s="85" customFormat="1" x14ac:dyDescent="0.2">
      <c r="B109" s="116" t="s">
        <v>18</v>
      </c>
      <c r="C109" s="3">
        <f t="array" ref="C109">IF(TEXT(MAX(IF($A$94:$A$105=1,$B$94:$B$105)),"mmmm")="July",C94-C92,INDEX(C$94:C$105,MATCH(TEXT(MAX(IF($A$94:$A$105=1,$B$94:$B$105)),"mmmm"),TEXT($B$94:$B$105,"mmmm"),0))-INDEX(C$94:C$105,MATCH(TEXT(MAX(IF($A$94:$A$105=1,$B$94:$B$105)),"mmmm"),TEXT($B$94:$B$105,"mmmm"),0)-1))</f>
        <v>407</v>
      </c>
      <c r="D109" s="3">
        <f t="array" ref="D109">IF(TEXT(MAX(IF($A$94:$A$105=1,$B$94:$B$105)),"mmmm")="July",D94-D92,INDEX(D$94:D$105,MATCH(TEXT(MAX(IF($A$94:$A$105=1,$B$94:$B$105)),"mmmm"),TEXT($B$94:$B$105,"mmmm"),0))-INDEX(D$94:D$105,MATCH(TEXT(MAX(IF($A$94:$A$105=1,$B$94:$B$105)),"mmmm"),TEXT($B$94:$B$105,"mmmm"),0)-1))</f>
        <v>224</v>
      </c>
      <c r="E109" s="3">
        <f t="array" ref="E109">IF(TEXT(MAX(IF($A$94:$A$105=1,$B$94:$B$105)),"mmmm")="July",E94-E92,INDEX(E$94:E$105,MATCH(TEXT(MAX(IF($A$94:$A$105=1,$B$94:$B$105)),"mmmm"),TEXT($B$94:$B$105,"mmmm"),0))-INDEX(E$94:E$105,MATCH(TEXT(MAX(IF($A$94:$A$105=1,$B$94:$B$105)),"mmmm"),TEXT($B$94:$B$105,"mmmm"),0)-1))</f>
        <v>1665</v>
      </c>
      <c r="F109" s="3">
        <f t="array" ref="F109">IF(TEXT(MAX(IF($A$94:$A$105=1,$B$94:$B$105)),"mmmm")="July",F94-F92,INDEX(F$94:F$105,MATCH(TEXT(MAX(IF($A$94:$A$105=1,$B$94:$B$105)),"mmmm"),TEXT($B$94:$B$105,"mmmm"),0))-INDEX(F$94:F$105,MATCH(TEXT(MAX(IF($A$94:$A$105=1,$B$94:$B$105)),"mmmm"),TEXT($B$94:$B$105,"mmmm"),0)-1))</f>
        <v>153</v>
      </c>
      <c r="G109" s="3">
        <f t="array" ref="G109">IF(TEXT(MAX(IF($A$94:$A$105=1,$B$94:$B$105)),"mmmm")="July",G94-G92,INDEX(G$94:G$105,MATCH(TEXT(MAX(IF($A$94:$A$105=1,$B$94:$B$105)),"mmmm"),TEXT($B$94:$B$105,"mmmm"),0))-INDEX(G$94:G$105,MATCH(TEXT(MAX(IF($A$94:$A$105=1,$B$94:$B$105)),"mmmm"),TEXT($B$94:$B$105,"mmmm"),0)-1))</f>
        <v>1079</v>
      </c>
      <c r="H109" s="3">
        <f t="array" ref="H109">IF(TEXT(MAX(IF($A$94:$A$105=1,$B$94:$B$105)),"mmmm")="July",H94-H92,INDEX(H$94:H$105,MATCH(TEXT(MAX(IF($A$94:$A$105=1,$B$94:$B$105)),"mmmm"),TEXT($B$94:$B$105,"mmmm"),0))-INDEX(H$94:H$105,MATCH(TEXT(MAX(IF($A$94:$A$105=1,$B$94:$B$105)),"mmmm"),TEXT($B$94:$B$105,"mmmm"),0)-1))</f>
        <v>-3175</v>
      </c>
      <c r="I109" s="3">
        <f t="array" ref="I109">IF(TEXT(MAX(IF($A$94:$A$105=1,$B$94:$B$105)),"mmmm")="July",I94-I92,INDEX(I$94:I$105,MATCH(TEXT(MAX(IF($A$94:$A$105=1,$B$94:$B$105)),"mmmm"),TEXT($B$94:$B$105,"mmmm"),0))-INDEX(I$94:I$105,MATCH(TEXT(MAX(IF($A$94:$A$105=1,$B$94:$B$105)),"mmmm"),TEXT($B$94:$B$105,"mmmm"),0)-1))</f>
        <v>-95</v>
      </c>
      <c r="J109" s="3">
        <f t="array" ref="J109">IF(TEXT(MAX(IF($A$94:$A$105=1,$B$94:$B$105)),"mmmm")="July",J94-J92,INDEX(J$94:J$105,MATCH(TEXT(MAX(IF($A$94:$A$105=1,$B$94:$B$105)),"mmmm"),TEXT($B$94:$B$105,"mmmm"),0))-INDEX(J$94:J$105,MATCH(TEXT(MAX(IF($A$94:$A$105=1,$B$94:$B$105)),"mmmm"),TEXT($B$94:$B$105,"mmmm"),0)-1))</f>
        <v>-8</v>
      </c>
      <c r="K109" s="3">
        <f t="array" ref="K109">IF(TEXT(MAX(IF($A$94:$A$105=1,$B$94:$B$105)),"mmmm")="July",K94-K92,INDEX(K$94:K$105,MATCH(TEXT(MAX(IF($A$94:$A$105=1,$B$94:$B$105)),"mmmm"),TEXT($B$94:$B$105,"mmmm"),0))-INDEX(K$94:K$105,MATCH(TEXT(MAX(IF($A$94:$A$105=1,$B$94:$B$105)),"mmmm"),TEXT($B$94:$B$105,"mmmm"),0)-1))</f>
        <v>-2062</v>
      </c>
      <c r="L109" s="3">
        <f t="array" ref="L109">IF(TEXT(MAX(IF($A$94:$A$105=1,$B$94:$B$105)),"mmmm")="July",L94-L92,INDEX(L$94:L$105,MATCH(TEXT(MAX(IF($A$94:$A$105=1,$B$94:$B$105)),"mmmm"),TEXT($B$94:$B$105,"mmmm"),0))-INDEX(L$94:L$105,MATCH(TEXT(MAX(IF($A$94:$A$105=1,$B$94:$B$105)),"mmmm"),TEXT($B$94:$B$105,"mmmm"),0)-1))</f>
        <v>2208</v>
      </c>
      <c r="M109" s="3">
        <f t="array" ref="M109">IF(TEXT(MAX(IF($A$94:$A$105=1,$B$94:$B$105)),"mmmm")="July",M94-M92,INDEX(M$94:M$105,MATCH(TEXT(MAX(IF($A$94:$A$105=1,$B$94:$B$105)),"mmmm"),TEXT($B$94:$B$105,"mmmm"),0))-INDEX(M$94:M$105,MATCH(TEXT(MAX(IF($A$94:$A$105=1,$B$94:$B$105)),"mmmm"),TEXT($B$94:$B$105,"mmmm"),0)-1))</f>
        <v>1</v>
      </c>
      <c r="N109" s="3">
        <f t="array" ref="N109">IF(TEXT(MAX(IF($A$94:$A$105=1,$B$94:$B$105)),"mmmm")="July",N94-N92,INDEX(N$94:N$105,MATCH(TEXT(MAX(IF($A$94:$A$105=1,$B$94:$B$105)),"mmmm"),TEXT($B$94:$B$105,"mmmm"),0))-INDEX(N$94:N$105,MATCH(TEXT(MAX(IF($A$94:$A$105=1,$B$94:$B$105)),"mmmm"),TEXT($B$94:$B$105,"mmmm"),0)-1))</f>
        <v>-81</v>
      </c>
      <c r="O109" s="3">
        <f t="array" ref="O109">IF(TEXT(MAX(IF($A$94:$A$105=1,$B$94:$B$105)),"mmmm")="July",O94-O92,INDEX(O$94:O$105,MATCH(TEXT(MAX(IF($A$94:$A$105=1,$B$94:$B$105)),"mmmm"),TEXT($B$94:$B$105,"mmmm"),0))-INDEX(O$94:O$105,MATCH(TEXT(MAX(IF($A$94:$A$105=1,$B$94:$B$105)),"mmmm"),TEXT($B$94:$B$105,"mmmm"),0)-1))</f>
        <v>80</v>
      </c>
      <c r="P109" s="3">
        <f t="array" ref="P109">IF(TEXT(MAX(IF($A$94:$A$105=1,$B$94:$B$105)),"mmmm")="July",P94-P92,INDEX(P$94:P$105,MATCH(TEXT(MAX(IF($A$94:$A$105=1,$B$94:$B$105)),"mmmm"),TEXT($B$94:$B$105,"mmmm"),0))-INDEX(P$94:P$105,MATCH(TEXT(MAX(IF($A$94:$A$105=1,$B$94:$B$105)),"mmmm"),TEXT($B$94:$B$105,"mmmm"),0)-1))</f>
        <v>96</v>
      </c>
      <c r="Q109" s="3">
        <f t="array" ref="Q109">IF(TEXT(MAX(IF($A$94:$A$105=1,$B$94:$B$105)),"mmmm")="July",Q94-Q92,INDEX(Q$94:Q$105,MATCH(TEXT(MAX(IF($A$94:$A$105=1,$B$94:$B$105)),"mmmm"),TEXT($B$94:$B$105,"mmmm"),0))-INDEX(Q$94:Q$105,MATCH(TEXT(MAX(IF($A$94:$A$105=1,$B$94:$B$105)),"mmmm"),TEXT($B$94:$B$105,"mmmm"),0)-1))</f>
        <v>-217</v>
      </c>
      <c r="R109" s="334">
        <f t="array" ref="R109">IF(TEXT(MAX(IF($A$94:$A$105=1,$B$94:$B$105)),"mmmm")="July",R94-R92,INDEX(R$94:R$105,MATCH(TEXT(MAX(IF($A$94:$A$105=1,$B$94:$B$105)),"mmmm"),TEXT($B$94:$B$105,"mmmm"),0))-INDEX(R$94:R$105,MATCH(TEXT(MAX(IF($A$94:$A$105=1,$B$94:$B$105)),"mmmm"),TEXT($B$94:$B$105,"mmmm"),0)-1))</f>
        <v>275</v>
      </c>
    </row>
    <row r="110" spans="1:18" s="85" customFormat="1" x14ac:dyDescent="0.2">
      <c r="B110" s="116" t="s">
        <v>21</v>
      </c>
      <c r="C110" s="6">
        <f t="array" ref="C110">IF(TEXT(MAX(IF($A$94:$A$105=1,$B$94:$B$105)),"mmmm")="July",C109/C92,IFERROR(C109/INDEX(C$94:C$105,MATCH(TEXT(MAX(IF($A$94:$A$105=1,$B$94:$B$105)),"mmmm"),TEXT($B$94:$B$105,"mmmm"),0)-1),0))</f>
        <v>9.3604102941514684E-3</v>
      </c>
      <c r="D110" s="6">
        <f t="array" ref="D110">IF(TEXT(MAX(IF($A$94:$A$105=1,$B$94:$B$105)),"mmmm")="July",D109/D92,IFERROR(D109/INDEX(D$94:D$105,MATCH(TEXT(MAX(IF($A$94:$A$105=1,$B$94:$B$105)),"mmmm"),TEXT($B$94:$B$105,"mmmm"),0)-1),0))</f>
        <v>2.0033986226634468E-2</v>
      </c>
      <c r="E110" s="6">
        <f t="array" ref="E110">IF(TEXT(MAX(IF($A$94:$A$105=1,$B$94:$B$105)),"mmmm")="July",E109/E92,IFERROR(E109/INDEX(E$94:E$105,MATCH(TEXT(MAX(IF($A$94:$A$105=1,$B$94:$B$105)),"mmmm"),TEXT($B$94:$B$105,"mmmm"),0)-1),0))</f>
        <v>2.5034205896946278E-2</v>
      </c>
      <c r="F110" s="6">
        <f t="array" ref="F110">IF(TEXT(MAX(IF($A$94:$A$105=1,$B$94:$B$105)),"mmmm")="July",F109/F92,IFERROR(F109/INDEX(F$94:F$105,MATCH(TEXT(MAX(IF($A$94:$A$105=1,$B$94:$B$105)),"mmmm"),TEXT($B$94:$B$105,"mmmm"),0)-1),0))</f>
        <v>2.5024533856722278E-2</v>
      </c>
      <c r="G110" s="6">
        <f t="array" ref="G110">IF(TEXT(MAX(IF($A$94:$A$105=1,$B$94:$B$105)),"mmmm")="July",G109/G92,IFERROR(G109/INDEX(G$94:G$105,MATCH(TEXT(MAX(IF($A$94:$A$105=1,$B$94:$B$105)),"mmmm"),TEXT($B$94:$B$105,"mmmm"),0)-1),0))</f>
        <v>6.8658330947154083E-3</v>
      </c>
      <c r="H110" s="6">
        <f t="array" ref="H110">IF(TEXT(MAX(IF($A$94:$A$105=1,$B$94:$B$105)),"mmmm")="July",H109/H92,IFERROR(H109/INDEX(H$94:H$105,MATCH(TEXT(MAX(IF($A$94:$A$105=1,$B$94:$B$105)),"mmmm"),TEXT($B$94:$B$105,"mmmm"),0)-1),0))</f>
        <v>-3.4993938057974211E-2</v>
      </c>
      <c r="I110" s="6">
        <f t="array" ref="I110">IF(TEXT(MAX(IF($A$94:$A$105=1,$B$94:$B$105)),"mmmm")="July",I109/I92,IFERROR(I109/INDEX(I$94:I$105,MATCH(TEXT(MAX(IF($A$94:$A$105=1,$B$94:$B$105)),"mmmm"),TEXT($B$94:$B$105,"mmmm"),0)-1),0))</f>
        <v>-2.6229109894448542E-4</v>
      </c>
      <c r="J110" s="6">
        <f t="array" ref="J110">IF(TEXT(MAX(IF($A$94:$A$105=1,$B$94:$B$105)),"mmmm")="July",J109/J92,IFERROR(J109/INDEX(J$94:J$105,MATCH(TEXT(MAX(IF($A$94:$A$105=1,$B$94:$B$105)),"mmmm"),TEXT($B$94:$B$105,"mmmm"),0)-1),0))</f>
        <v>-2.6402640264026403E-2</v>
      </c>
      <c r="K110" s="6">
        <f t="array" ref="K110">IF(TEXT(MAX(IF($A$94:$A$105=1,$B$94:$B$105)),"mmmm")="July",K109/K92,IFERROR(K109/INDEX(K$94:K$105,MATCH(TEXT(MAX(IF($A$94:$A$105=1,$B$94:$B$105)),"mmmm"),TEXT($B$94:$B$105,"mmmm"),0)-1),0))</f>
        <v>-4.3681443224715816E-3</v>
      </c>
      <c r="L110" s="6">
        <f t="array" ref="L110">IF(TEXT(MAX(IF($A$94:$A$105=1,$B$94:$B$105)),"mmmm")="July",L109/L92,IFERROR(L109/INDEX(L$94:L$105,MATCH(TEXT(MAX(IF($A$94:$A$105=1,$B$94:$B$105)),"mmmm"),TEXT($B$94:$B$105,"mmmm"),0)-1),0))</f>
        <v>3.5314439255325958E-2</v>
      </c>
      <c r="M110" s="6">
        <f t="array" ref="M110">IF(TEXT(MAX(IF($A$94:$A$105=1,$B$94:$B$105)),"mmmm")="July",M109/M92,IFERROR(M109/INDEX(M$94:M$105,MATCH(TEXT(MAX(IF($A$94:$A$105=1,$B$94:$B$105)),"mmmm"),TEXT($B$94:$B$105,"mmmm"),0)-1),0))</f>
        <v>4.9270792274339769E-5</v>
      </c>
      <c r="N110" s="6">
        <f t="array" ref="N110">IF(TEXT(MAX(IF($A$94:$A$105=1,$B$94:$B$105)),"mmmm")="July",N109/N92,IFERROR(N109/INDEX(N$94:N$105,MATCH(TEXT(MAX(IF($A$94:$A$105=1,$B$94:$B$105)),"mmmm"),TEXT($B$94:$B$105,"mmmm"),0)-1),0))</f>
        <v>-5.9523809523809521E-3</v>
      </c>
      <c r="O110" s="6">
        <f t="array" ref="O110">IF(TEXT(MAX(IF($A$94:$A$105=1,$B$94:$B$105)),"mmmm")="July",O109/O92,IFERROR(O109/INDEX(O$94:O$105,MATCH(TEXT(MAX(IF($A$94:$A$105=1,$B$94:$B$105)),"mmmm"),TEXT($B$94:$B$105,"mmmm"),0)-1),0))</f>
        <v>4.6082949308755762E-2</v>
      </c>
      <c r="P110" s="6">
        <f t="array" ref="P110">IF(TEXT(MAX(IF($A$94:$A$105=1,$B$94:$B$105)),"mmmm")="July",P109/P92,IFERROR(P109/INDEX(P$94:P$105,MATCH(TEXT(MAX(IF($A$94:$A$105=1,$B$94:$B$105)),"mmmm"),TEXT($B$94:$B$105,"mmmm"),0)-1),0))</f>
        <v>3.9506172839506172E-2</v>
      </c>
      <c r="Q110" s="6">
        <f t="array" ref="Q110">IF(TEXT(MAX(IF($A$94:$A$105=1,$B$94:$B$105)),"mmmm")="July",Q109/Q92,IFERROR(Q109/INDEX(Q$94:Q$105,MATCH(TEXT(MAX(IF($A$94:$A$105=1,$B$94:$B$105)),"mmmm"),TEXT($B$94:$B$105,"mmmm"),0)-1),0))</f>
        <v>-6.4989517819706499E-3</v>
      </c>
      <c r="R110" s="311">
        <f t="array" ref="R110">IF(TEXT(MAX(IF($A$94:$A$105=1,$B$94:$B$105)),"mmmm")="July",R109/R92,IFERROR(R109/INDEX(R$94:R$105,MATCH(TEXT(MAX(IF($A$94:$A$105=1,$B$94:$B$105)),"mmmm"),TEXT($B$94:$B$105,"mmmm"),0)-1),0))</f>
        <v>2.046581687633586E-4</v>
      </c>
    </row>
    <row r="111" spans="1:18" s="85" customFormat="1" x14ac:dyDescent="0.2">
      <c r="B111" s="116" t="s">
        <v>36</v>
      </c>
      <c r="C111" s="3">
        <f t="array" ref="C111">INDEX(C$94:C$105,MATCH(TEXT(MAX(IF($A$94:$A$105=1,$B$94:$B$105)),"mmmm"),TEXT($B$94:$B$105,"mmmm"),0))-INDEX(C$81:C$92,MATCH(TEXT(MAX(IF($A$94:$A$105=1,$B$94:$B$105)),"mmmm"),TEXT($B$81:$B$92,"mmmm"),0))</f>
        <v>1587</v>
      </c>
      <c r="D111" s="3">
        <f t="array" ref="D111">INDEX(D$94:D$105,MATCH(TEXT(MAX(IF($A$94:$A$105=1,$B$94:$B$105)),"mmmm"),TEXT($B$94:$B$105,"mmmm"),0))-INDEX(D$81:D$92,MATCH(TEXT(MAX(IF($A$94:$A$105=1,$B$94:$B$105)),"mmmm"),TEXT($B$81:$B$92,"mmmm"),0))</f>
        <v>943</v>
      </c>
      <c r="E111" s="3">
        <f t="array" ref="E111">INDEX(E$94:E$105,MATCH(TEXT(MAX(IF($A$94:$A$105=1,$B$94:$B$105)),"mmmm"),TEXT($B$94:$B$105,"mmmm"),0))-INDEX(E$81:E$92,MATCH(TEXT(MAX(IF($A$94:$A$105=1,$B$94:$B$105)),"mmmm"),TEXT($B$81:$B$92,"mmmm"),0))</f>
        <v>603</v>
      </c>
      <c r="F111" s="3">
        <f t="array" ref="F111">INDEX(F$94:F$105,MATCH(TEXT(MAX(IF($A$94:$A$105=1,$B$94:$B$105)),"mmmm"),TEXT($B$94:$B$105,"mmmm"),0))-INDEX(F$81:F$92,MATCH(TEXT(MAX(IF($A$94:$A$105=1,$B$94:$B$105)),"mmmm"),TEXT($B$81:$B$92,"mmmm"),0))</f>
        <v>956</v>
      </c>
      <c r="G111" s="3">
        <f t="array" ref="G111">INDEX(G$94:G$105,MATCH(TEXT(MAX(IF($A$94:$A$105=1,$B$94:$B$105)),"mmmm"),TEXT($B$94:$B$105,"mmmm"),0))-INDEX(G$81:G$92,MATCH(TEXT(MAX(IF($A$94:$A$105=1,$B$94:$B$105)),"mmmm"),TEXT($B$81:$B$92,"mmmm"),0))</f>
        <v>-4530</v>
      </c>
      <c r="H111" s="3">
        <f t="array" ref="H111">INDEX(H$94:H$105,MATCH(TEXT(MAX(IF($A$94:$A$105=1,$B$94:$B$105)),"mmmm"),TEXT($B$94:$B$105,"mmmm"),0))-INDEX(H$81:H$92,MATCH(TEXT(MAX(IF($A$94:$A$105=1,$B$94:$B$105)),"mmmm"),TEXT($B$81:$B$92,"mmmm"),0))</f>
        <v>-1336</v>
      </c>
      <c r="I111" s="3">
        <f t="array" ref="I111">INDEX(I$94:I$105,MATCH(TEXT(MAX(IF($A$94:$A$105=1,$B$94:$B$105)),"mmmm"),TEXT($B$94:$B$105,"mmmm"),0))-INDEX(I$81:I$92,MATCH(TEXT(MAX(IF($A$94:$A$105=1,$B$94:$B$105)),"mmmm"),TEXT($B$81:$B$92,"mmmm"),0))</f>
        <v>34445</v>
      </c>
      <c r="J111" s="3">
        <f t="array" ref="J111">INDEX(J$94:J$105,MATCH(TEXT(MAX(IF($A$94:$A$105=1,$B$94:$B$105)),"mmmm"),TEXT($B$94:$B$105,"mmmm"),0))-INDEX(J$81:J$92,MATCH(TEXT(MAX(IF($A$94:$A$105=1,$B$94:$B$105)),"mmmm"),TEXT($B$81:$B$92,"mmmm"),0))</f>
        <v>-19</v>
      </c>
      <c r="K111" s="3">
        <f t="array" ref="K111">INDEX(K$94:K$105,MATCH(TEXT(MAX(IF($A$94:$A$105=1,$B$94:$B$105)),"mmmm"),TEXT($B$94:$B$105,"mmmm"),0))-INDEX(K$81:K$92,MATCH(TEXT(MAX(IF($A$94:$A$105=1,$B$94:$B$105)),"mmmm"),TEXT($B$81:$B$92,"mmmm"),0))</f>
        <v>-117</v>
      </c>
      <c r="L111" s="3">
        <f t="array" ref="L111">INDEX(L$94:L$105,MATCH(TEXT(MAX(IF($A$94:$A$105=1,$B$94:$B$105)),"mmmm"),TEXT($B$94:$B$105,"mmmm"),0))-INDEX(L$81:L$92,MATCH(TEXT(MAX(IF($A$94:$A$105=1,$B$94:$B$105)),"mmmm"),TEXT($B$81:$B$92,"mmmm"),0))</f>
        <v>4798</v>
      </c>
      <c r="M111" s="3">
        <f t="array" ref="M111">INDEX(M$94:M$105,MATCH(TEXT(MAX(IF($A$94:$A$105=1,$B$94:$B$105)),"mmmm"),TEXT($B$94:$B$105,"mmmm"),0))-INDEX(M$81:M$92,MATCH(TEXT(MAX(IF($A$94:$A$105=1,$B$94:$B$105)),"mmmm"),TEXT($B$81:$B$92,"mmmm"),0))</f>
        <v>310</v>
      </c>
      <c r="N111" s="3">
        <f t="array" ref="N111">INDEX(N$94:N$105,MATCH(TEXT(MAX(IF($A$94:$A$105=1,$B$94:$B$105)),"mmmm"),TEXT($B$94:$B$105,"mmmm"),0))-INDEX(N$81:N$92,MATCH(TEXT(MAX(IF($A$94:$A$105=1,$B$94:$B$105)),"mmmm"),TEXT($B$81:$B$92,"mmmm"),0))</f>
        <v>-872</v>
      </c>
      <c r="O111" s="3">
        <f t="array" ref="O111">INDEX(O$94:O$105,MATCH(TEXT(MAX(IF($A$94:$A$105=1,$B$94:$B$105)),"mmmm"),TEXT($B$94:$B$105,"mmmm"),0))-INDEX(O$81:O$92,MATCH(TEXT(MAX(IF($A$94:$A$105=1,$B$94:$B$105)),"mmmm"),TEXT($B$81:$B$92,"mmmm"),0))</f>
        <v>5</v>
      </c>
      <c r="P111" s="3">
        <f t="array" ref="P111">INDEX(P$94:P$105,MATCH(TEXT(MAX(IF($A$94:$A$105=1,$B$94:$B$105)),"mmmm"),TEXT($B$94:$B$105,"mmmm"),0))-INDEX(P$81:P$92,MATCH(TEXT(MAX(IF($A$94:$A$105=1,$B$94:$B$105)),"mmmm"),TEXT($B$81:$B$92,"mmmm"),0))</f>
        <v>-67</v>
      </c>
      <c r="Q111" s="3">
        <f t="array" ref="Q111">INDEX(Q$94:Q$105,MATCH(TEXT(MAX(IF($A$94:$A$105=1,$B$94:$B$105)),"mmmm"),TEXT($B$94:$B$105,"mmmm"),0))-INDEX(Q$81:Q$92,MATCH(TEXT(MAX(IF($A$94:$A$105=1,$B$94:$B$105)),"mmmm"),TEXT($B$81:$B$92,"mmmm"),0))</f>
        <v>-748</v>
      </c>
      <c r="R111" s="334">
        <f t="array" ref="R111">INDEX(R$94:R$105,MATCH(TEXT(MAX(IF($A$94:$A$105=1,$B$94:$B$105)),"mmmm"),TEXT($B$94:$B$105,"mmmm"),0))-INDEX(R$81:R$92,MATCH(TEXT(MAX(IF($A$94:$A$105=1,$B$94:$B$105)),"mmmm"),TEXT($B$81:$B$92,"mmmm"),0))</f>
        <v>35958</v>
      </c>
    </row>
    <row r="112" spans="1:18" s="85" customFormat="1" ht="16.5" thickBot="1" x14ac:dyDescent="0.25">
      <c r="B112" s="116" t="s">
        <v>37</v>
      </c>
      <c r="C112" s="6">
        <f t="array" ref="C112">IFERROR(C111/INDEX(C$81:C$92,MATCH(TEXT(MAX(IF($A$94:$A$105=1,$B$94:$B$105)),"mmmm"),TEXT($B$81:$B$92,"mmmm"),0)),0)</f>
        <v>3.7516843573437979E-2</v>
      </c>
      <c r="D112" s="6">
        <f t="array" ref="D112">IFERROR(D111/INDEX(D$81:D$92,MATCH(TEXT(MAX(IF($A$94:$A$105=1,$B$94:$B$105)),"mmmm"),TEXT($B$81:$B$92,"mmmm"),0)),0)</f>
        <v>9.0135729306060022E-2</v>
      </c>
      <c r="E112" s="6">
        <f t="array" ref="E112">IFERROR(E111/INDEX(E$81:E$92,MATCH(TEXT(MAX(IF($A$94:$A$105=1,$B$94:$B$105)),"mmmm"),TEXT($B$81:$B$92,"mmmm"),0)),0)</f>
        <v>8.9239466635094942E-3</v>
      </c>
      <c r="F112" s="6">
        <f t="array" ref="F112">IFERROR(F111/INDEX(F$81:F$92,MATCH(TEXT(MAX(IF($A$94:$A$105=1,$B$94:$B$105)),"mmmm"),TEXT($B$81:$B$92,"mmmm"),0)),0)</f>
        <v>0.18000376576915836</v>
      </c>
      <c r="G112" s="6">
        <f t="array" ref="G112">IFERROR(G111/INDEX(G$81:G$92,MATCH(TEXT(MAX(IF($A$94:$A$105=1,$B$94:$B$105)),"mmmm"),TEXT($B$81:$B$92,"mmmm"),0)),0)</f>
        <v>-2.7831707257133027E-2</v>
      </c>
      <c r="H112" s="6">
        <f t="array" ref="H112">IFERROR(H111/INDEX(H$81:H$92,MATCH(TEXT(MAX(IF($A$94:$A$105=1,$B$94:$B$105)),"mmmm"),TEXT($B$81:$B$92,"mmmm"),0)),0)</f>
        <v>-1.5029643045977658E-2</v>
      </c>
      <c r="I112" s="6">
        <f t="array" ref="I112">IFERROR(I111/INDEX(I$81:I$92,MATCH(TEXT(MAX(IF($A$94:$A$105=1,$B$94:$B$105)),"mmmm"),TEXT($B$81:$B$92,"mmmm"),0)),0)</f>
        <v>0.10512646000494426</v>
      </c>
      <c r="J112" s="6">
        <f t="array" ref="J112">IFERROR(J111/INDEX(J$81:J$92,MATCH(TEXT(MAX(IF($A$94:$A$105=1,$B$94:$B$105)),"mmmm"),TEXT($B$81:$B$92,"mmmm"),0)),0)</f>
        <v>-6.0509554140127389E-2</v>
      </c>
      <c r="K112" s="6">
        <f t="array" ref="K112">IFERROR(K111/INDEX(K$81:K$92,MATCH(TEXT(MAX(IF($A$94:$A$105=1,$B$94:$B$105)),"mmmm"),TEXT($B$81:$B$92,"mmmm"),0)),0)</f>
        <v>-2.4887845159314115E-4</v>
      </c>
      <c r="L112" s="6">
        <f t="array" ref="L112">IFERROR(L111/INDEX(L$81:L$92,MATCH(TEXT(MAX(IF($A$94:$A$105=1,$B$94:$B$105)),"mmmm"),TEXT($B$81:$B$92,"mmmm"),0)),0)</f>
        <v>8.0054726866219506E-2</v>
      </c>
      <c r="M112" s="6">
        <f t="array" ref="M112">IFERROR(M111/INDEX(M$81:M$92,MATCH(TEXT(MAX(IF($A$94:$A$105=1,$B$94:$B$105)),"mmmm"),TEXT($B$81:$B$92,"mmmm"),0)),0)</f>
        <v>1.5510081553009456E-2</v>
      </c>
      <c r="N112" s="6">
        <f t="array" ref="N112">IFERROR(N111/INDEX(N$81:N$92,MATCH(TEXT(MAX(IF($A$94:$A$105=1,$B$94:$B$105)),"mmmm"),TEXT($B$81:$B$92,"mmmm"),0)),0)</f>
        <v>-6.0559761094520451E-2</v>
      </c>
      <c r="O112" s="6">
        <f t="array" ref="O112">IFERROR(O111/INDEX(O$81:O$92,MATCH(TEXT(MAX(IF($A$94:$A$105=1,$B$94:$B$105)),"mmmm"),TEXT($B$81:$B$92,"mmmm"),0)),0)</f>
        <v>2.7609055770292656E-3</v>
      </c>
      <c r="P112" s="6">
        <f t="array" ref="P112">IFERROR(P111/INDEX(P$81:P$92,MATCH(TEXT(MAX(IF($A$94:$A$105=1,$B$94:$B$105)),"mmmm"),TEXT($B$81:$B$92,"mmmm"),0)),0)</f>
        <v>-2.5838796760509063E-2</v>
      </c>
      <c r="Q112" s="6">
        <f t="array" ref="Q112">IFERROR(Q111/INDEX(Q$81:Q$92,MATCH(TEXT(MAX(IF($A$94:$A$105=1,$B$94:$B$105)),"mmmm"),TEXT($B$81:$B$92,"mmmm"),0)),0)</f>
        <v>-2.2051236697031337E-2</v>
      </c>
      <c r="R112" s="311">
        <f t="array" ref="R112">IFERROR(R111/INDEX(R$81:R$92,MATCH(TEXT(MAX(IF($A$94:$A$105=1,$B$94:$B$105)),"mmmm"),TEXT($B$81:$B$92,"mmmm"),0)),0)</f>
        <v>2.7490384328691969E-2</v>
      </c>
    </row>
    <row r="113" spans="2:18" s="85" customFormat="1" ht="19.5" hidden="1" thickBot="1" x14ac:dyDescent="0.25">
      <c r="B113" s="150" t="s">
        <v>255</v>
      </c>
      <c r="C113" s="5"/>
      <c r="D113" s="5"/>
      <c r="E113" s="5"/>
      <c r="F113" s="5"/>
      <c r="G113" s="151"/>
      <c r="H113" s="151"/>
      <c r="I113" s="5"/>
      <c r="J113" s="5"/>
      <c r="K113" s="5"/>
      <c r="L113" s="5"/>
      <c r="M113" s="5"/>
      <c r="N113" s="5"/>
      <c r="O113" s="5"/>
      <c r="P113" s="5"/>
      <c r="Q113" s="5"/>
      <c r="R113" s="115"/>
    </row>
    <row r="114" spans="2:18" s="85" customFormat="1" ht="16.5" hidden="1" thickBot="1" x14ac:dyDescent="0.25">
      <c r="B114" s="150" t="s">
        <v>26</v>
      </c>
      <c r="C114" s="5"/>
      <c r="D114" s="5"/>
      <c r="E114" s="5"/>
      <c r="F114" s="5"/>
      <c r="G114" s="5"/>
      <c r="H114" s="5"/>
      <c r="I114" s="5"/>
      <c r="J114" s="5"/>
      <c r="K114" s="5"/>
      <c r="L114" s="5"/>
      <c r="M114" s="5"/>
      <c r="N114" s="5"/>
      <c r="O114" s="5"/>
      <c r="P114" s="5"/>
      <c r="Q114" s="5"/>
      <c r="R114" s="115"/>
    </row>
    <row r="115" spans="2:18" s="85" customFormat="1" ht="16.5" hidden="1" thickBot="1" x14ac:dyDescent="0.25">
      <c r="B115" s="231" t="s">
        <v>102</v>
      </c>
      <c r="C115" s="5"/>
      <c r="D115" s="5"/>
      <c r="E115" s="5"/>
      <c r="F115" s="5"/>
      <c r="G115" s="151"/>
      <c r="H115" s="151"/>
      <c r="I115" s="5"/>
      <c r="J115" s="5"/>
      <c r="K115" s="5"/>
      <c r="L115" s="5"/>
      <c r="M115" s="5"/>
      <c r="N115" s="5"/>
      <c r="O115" s="5"/>
      <c r="P115" s="5"/>
      <c r="Q115" s="5"/>
      <c r="R115" s="115"/>
    </row>
    <row r="116" spans="2:18" s="85" customFormat="1" ht="16.5" hidden="1" thickBot="1" x14ac:dyDescent="0.25">
      <c r="B116" s="232" t="s">
        <v>27</v>
      </c>
      <c r="C116" s="152"/>
      <c r="D116" s="152"/>
      <c r="E116" s="152"/>
      <c r="F116" s="152"/>
      <c r="G116" s="153"/>
      <c r="H116" s="153"/>
      <c r="I116" s="152"/>
      <c r="J116" s="152"/>
      <c r="K116" s="152"/>
      <c r="L116" s="152"/>
      <c r="M116" s="152"/>
      <c r="N116" s="152"/>
      <c r="O116" s="152"/>
      <c r="P116" s="152"/>
      <c r="Q116" s="152"/>
      <c r="R116" s="312"/>
    </row>
    <row r="117" spans="2:18" s="85" customFormat="1" ht="16.5" hidden="1" thickBot="1" x14ac:dyDescent="0.25">
      <c r="B117" s="150"/>
      <c r="C117" s="5"/>
      <c r="D117" s="5"/>
      <c r="E117" s="5"/>
      <c r="F117" s="5"/>
      <c r="G117" s="5"/>
      <c r="H117" s="5"/>
      <c r="I117" s="5"/>
      <c r="J117" s="5"/>
      <c r="K117" s="5"/>
      <c r="L117" s="5"/>
      <c r="M117" s="5"/>
      <c r="N117" s="5"/>
      <c r="O117" s="5"/>
      <c r="P117" s="5"/>
      <c r="Q117" s="5"/>
      <c r="R117" s="115"/>
    </row>
    <row r="118" spans="2:18" s="84" customFormat="1" x14ac:dyDescent="0.2">
      <c r="B118" s="451" t="s">
        <v>24</v>
      </c>
      <c r="C118" s="452"/>
      <c r="D118" s="452"/>
      <c r="E118" s="452"/>
      <c r="F118" s="452"/>
      <c r="G118" s="452"/>
      <c r="H118" s="452"/>
      <c r="I118" s="452"/>
      <c r="J118" s="452"/>
      <c r="K118" s="452"/>
      <c r="L118" s="452"/>
      <c r="M118" s="452"/>
      <c r="N118" s="452"/>
      <c r="O118" s="452"/>
      <c r="P118" s="452"/>
      <c r="Q118" s="452"/>
      <c r="R118" s="453"/>
    </row>
    <row r="119" spans="2:18" s="84" customFormat="1" ht="16.5" thickBot="1" x14ac:dyDescent="0.25">
      <c r="B119" s="454" t="s">
        <v>288</v>
      </c>
      <c r="C119" s="455"/>
      <c r="D119" s="455"/>
      <c r="E119" s="455"/>
      <c r="F119" s="455"/>
      <c r="G119" s="455"/>
      <c r="H119" s="455"/>
      <c r="I119" s="455"/>
      <c r="J119" s="455"/>
      <c r="K119" s="455"/>
      <c r="L119" s="455"/>
      <c r="M119" s="455"/>
      <c r="N119" s="455"/>
      <c r="O119" s="455"/>
      <c r="P119" s="455"/>
      <c r="Q119" s="455"/>
      <c r="R119" s="456"/>
    </row>
  </sheetData>
  <mergeCells count="3">
    <mergeCell ref="B1:R1"/>
    <mergeCell ref="B118:R118"/>
    <mergeCell ref="B119:R119"/>
  </mergeCells>
  <printOptions horizontalCentered="1" gridLines="1"/>
  <pageMargins left="0.28999999999999998" right="0.28999999999999998" top="0.7" bottom="0.43" header="0.3" footer="0.27"/>
  <pageSetup scale="53" firstPageNumber="3"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1"/>
  <sheetViews>
    <sheetView view="pageBreakPreview" topLeftCell="A82" zoomScale="80" zoomScaleNormal="100" zoomScaleSheetLayoutView="80" workbookViewId="0">
      <selection activeCell="C4" sqref="C4"/>
    </sheetView>
  </sheetViews>
  <sheetFormatPr defaultColWidth="13" defaultRowHeight="12.75" x14ac:dyDescent="0.2"/>
  <cols>
    <col min="1" max="1" width="46.7109375" customWidth="1"/>
    <col min="2" max="2" width="14.140625" customWidth="1"/>
    <col min="3" max="3" width="10.7109375" customWidth="1"/>
    <col min="4" max="4" width="12.42578125" customWidth="1"/>
    <col min="5" max="5" width="12.7109375" customWidth="1"/>
    <col min="6" max="7" width="15.140625" customWidth="1"/>
    <col min="8" max="8" width="10.5703125" customWidth="1"/>
    <col min="9" max="9" width="17.28515625" customWidth="1"/>
    <col min="10" max="10" width="11.7109375" customWidth="1"/>
    <col min="11" max="11" width="16" customWidth="1"/>
    <col min="12" max="12" width="10.7109375" customWidth="1"/>
    <col min="13" max="14" width="10.5703125" customWidth="1"/>
    <col min="15" max="15" width="11.7109375" customWidth="1"/>
    <col min="16" max="16" width="10.28515625" customWidth="1"/>
    <col min="17" max="17" width="12.85546875" bestFit="1" customWidth="1"/>
  </cols>
  <sheetData>
    <row r="1" spans="1:17" ht="19.5" thickBot="1" x14ac:dyDescent="0.25">
      <c r="A1" s="457" t="s">
        <v>261</v>
      </c>
      <c r="B1" s="458"/>
      <c r="C1" s="458"/>
      <c r="D1" s="458"/>
      <c r="E1" s="458"/>
      <c r="F1" s="458"/>
      <c r="G1" s="458"/>
      <c r="H1" s="458"/>
      <c r="I1" s="458"/>
      <c r="J1" s="458"/>
      <c r="K1" s="458"/>
      <c r="L1" s="458"/>
      <c r="M1" s="458"/>
      <c r="N1" s="458"/>
      <c r="O1" s="458"/>
      <c r="P1" s="458"/>
      <c r="Q1" s="459"/>
    </row>
    <row r="2" spans="1:17" ht="79.5" thickBot="1" x14ac:dyDescent="0.25">
      <c r="A2" s="144"/>
      <c r="B2" s="145" t="s">
        <v>126</v>
      </c>
      <c r="C2" s="145" t="s">
        <v>127</v>
      </c>
      <c r="D2" s="145" t="s">
        <v>128</v>
      </c>
      <c r="E2" s="145" t="s">
        <v>107</v>
      </c>
      <c r="F2" s="145" t="s">
        <v>129</v>
      </c>
      <c r="G2" s="145" t="s">
        <v>130</v>
      </c>
      <c r="H2" s="145" t="s">
        <v>131</v>
      </c>
      <c r="I2" s="145" t="s">
        <v>19</v>
      </c>
      <c r="J2" s="145" t="s">
        <v>136</v>
      </c>
      <c r="K2" s="145" t="s">
        <v>132</v>
      </c>
      <c r="L2" s="145" t="s">
        <v>20</v>
      </c>
      <c r="M2" s="145" t="s">
        <v>133</v>
      </c>
      <c r="N2" s="145" t="s">
        <v>134</v>
      </c>
      <c r="O2" s="145" t="s">
        <v>135</v>
      </c>
      <c r="P2" s="145" t="s">
        <v>32</v>
      </c>
      <c r="Q2" s="146" t="s">
        <v>0</v>
      </c>
    </row>
    <row r="3" spans="1:17" ht="19.5" thickBot="1" x14ac:dyDescent="0.25">
      <c r="A3" s="233" t="s">
        <v>262</v>
      </c>
      <c r="B3" s="234"/>
      <c r="C3" s="234"/>
      <c r="D3" s="234"/>
      <c r="E3" s="234"/>
      <c r="F3" s="234"/>
      <c r="G3" s="234"/>
      <c r="H3" s="234"/>
      <c r="I3" s="234"/>
      <c r="J3" s="234"/>
      <c r="K3" s="234"/>
      <c r="L3" s="234"/>
      <c r="M3" s="234"/>
      <c r="N3" s="234"/>
      <c r="O3" s="234"/>
      <c r="P3" s="234"/>
      <c r="Q3" s="235"/>
    </row>
    <row r="4" spans="1:17" ht="15.75" x14ac:dyDescent="0.2">
      <c r="A4" s="112">
        <v>42552</v>
      </c>
      <c r="B4" s="101">
        <f>'Medicaid Caseload'!C94-'Caseload by Program'!B18</f>
        <v>36498</v>
      </c>
      <c r="C4" s="101">
        <f>'Medicaid Caseload'!D94-'Caseload by Program'!C18</f>
        <v>9050</v>
      </c>
      <c r="D4" s="101">
        <f>'Medicaid Caseload'!E94-'Caseload by Program'!D18</f>
        <v>59507</v>
      </c>
      <c r="E4" s="101">
        <f>'Medicaid Caseload'!F94-'Caseload by Program'!E18</f>
        <v>4979</v>
      </c>
      <c r="F4" s="101">
        <f>'Medicaid Caseload'!G94-'Caseload by Program'!F18</f>
        <v>130521</v>
      </c>
      <c r="G4" s="101">
        <f>'Medicaid Caseload'!H94-'Caseload by Program'!G18</f>
        <v>79194</v>
      </c>
      <c r="H4" s="101">
        <f>'Medicaid Caseload'!I94-'Caseload by Program'!H18</f>
        <v>317545</v>
      </c>
      <c r="I4" s="101">
        <f>'Medicaid Caseload'!J94-'Caseload by Program'!I18</f>
        <v>305</v>
      </c>
      <c r="J4" s="101">
        <f>'Medicaid Caseload'!K94-'Caseload by Program'!J18</f>
        <v>427604</v>
      </c>
      <c r="K4" s="101">
        <f>'Medicaid Caseload'!L94-'Caseload by Program'!K18</f>
        <v>56871</v>
      </c>
      <c r="L4" s="101">
        <f>'Medicaid Caseload'!M94-'Caseload by Program'!L18</f>
        <v>19509</v>
      </c>
      <c r="M4" s="101">
        <f>'Medicaid Caseload'!N94-'Caseload by Program'!M18</f>
        <v>13371</v>
      </c>
      <c r="N4" s="101">
        <f>'Medicaid Caseload'!O94-'Caseload by Program'!N18</f>
        <v>1716</v>
      </c>
      <c r="O4" s="101">
        <f>'Medicaid Caseload'!P94-'Caseload by Program'!O18</f>
        <v>2630</v>
      </c>
      <c r="P4" s="101">
        <f>'Medicaid Caseload'!Q94-'Caseload by Program'!P18</f>
        <v>33508</v>
      </c>
      <c r="Q4" s="113">
        <f>'Medicaid Caseload'!R94-'Caseload by Program'!Q18</f>
        <v>1192808</v>
      </c>
    </row>
    <row r="5" spans="1:17" ht="15.75" x14ac:dyDescent="0.2">
      <c r="A5" s="106">
        <v>42583</v>
      </c>
      <c r="B5" s="3">
        <f>'Medicaid Caseload'!C95-'Caseload by Program'!B19</f>
        <v>38201</v>
      </c>
      <c r="C5" s="3">
        <f>'Medicaid Caseload'!D95-'Caseload by Program'!C19</f>
        <v>9313</v>
      </c>
      <c r="D5" s="3">
        <f>'Medicaid Caseload'!E95-'Caseload by Program'!D19</f>
        <v>59708</v>
      </c>
      <c r="E5" s="3">
        <f>'Medicaid Caseload'!F95-'Caseload by Program'!E19</f>
        <v>5105</v>
      </c>
      <c r="F5" s="3">
        <f>'Medicaid Caseload'!G95-'Caseload by Program'!F19</f>
        <v>130795</v>
      </c>
      <c r="G5" s="3">
        <f>'Medicaid Caseload'!H95-'Caseload by Program'!G19</f>
        <v>79817</v>
      </c>
      <c r="H5" s="3">
        <f>'Medicaid Caseload'!I95-'Caseload by Program'!H19</f>
        <v>325450</v>
      </c>
      <c r="I5" s="3">
        <f>'Medicaid Caseload'!J95-'Caseload by Program'!I19</f>
        <v>303</v>
      </c>
      <c r="J5" s="3">
        <f>'Medicaid Caseload'!K95-'Caseload by Program'!J19</f>
        <v>428891</v>
      </c>
      <c r="K5" s="3">
        <f>'Medicaid Caseload'!L95-'Caseload by Program'!K19</f>
        <v>57511</v>
      </c>
      <c r="L5" s="3">
        <f>'Medicaid Caseload'!M95-'Caseload by Program'!L19</f>
        <v>19605</v>
      </c>
      <c r="M5" s="3">
        <f>'Medicaid Caseload'!N95-'Caseload by Program'!M19</f>
        <v>13421</v>
      </c>
      <c r="N5" s="3">
        <f>'Medicaid Caseload'!O95-'Caseload by Program'!N19</f>
        <v>1717</v>
      </c>
      <c r="O5" s="3">
        <f>'Medicaid Caseload'!P95-'Caseload by Program'!O19</f>
        <v>2634</v>
      </c>
      <c r="P5" s="3">
        <f>'Medicaid Caseload'!Q95-'Caseload by Program'!P19</f>
        <v>33630</v>
      </c>
      <c r="Q5" s="107">
        <f>'Medicaid Caseload'!R95-'Caseload by Program'!Q19</f>
        <v>1206101</v>
      </c>
    </row>
    <row r="6" spans="1:17" ht="15.75" x14ac:dyDescent="0.2">
      <c r="A6" s="106">
        <v>42614</v>
      </c>
      <c r="B6" s="3">
        <f>'Medicaid Caseload'!C96-'Caseload by Program'!B20</f>
        <v>38212</v>
      </c>
      <c r="C6" s="3">
        <f>'Medicaid Caseload'!D96-'Caseload by Program'!C20</f>
        <v>9305</v>
      </c>
      <c r="D6" s="3">
        <f>'Medicaid Caseload'!E96-'Caseload by Program'!D20</f>
        <v>59864</v>
      </c>
      <c r="E6" s="3">
        <f>'Medicaid Caseload'!F96-'Caseload by Program'!E20</f>
        <v>5243</v>
      </c>
      <c r="F6" s="3">
        <f>'Medicaid Caseload'!G96-'Caseload by Program'!F20</f>
        <v>131390</v>
      </c>
      <c r="G6" s="3">
        <f>'Medicaid Caseload'!H96-'Caseload by Program'!G20</f>
        <v>78794</v>
      </c>
      <c r="H6" s="3">
        <f>'Medicaid Caseload'!I96-'Caseload by Program'!H20</f>
        <v>320963</v>
      </c>
      <c r="I6" s="3">
        <f>'Medicaid Caseload'!J96-'Caseload by Program'!I20</f>
        <v>304</v>
      </c>
      <c r="J6" s="3">
        <f>'Medicaid Caseload'!K96-'Caseload by Program'!J20</f>
        <v>428937</v>
      </c>
      <c r="K6" s="3">
        <f>'Medicaid Caseload'!L96-'Caseload by Program'!K20</f>
        <v>58237</v>
      </c>
      <c r="L6" s="3">
        <f>'Medicaid Caseload'!M96-'Caseload by Program'!L20</f>
        <v>19738</v>
      </c>
      <c r="M6" s="3">
        <f>'Medicaid Caseload'!N96-'Caseload by Program'!M20</f>
        <v>13008</v>
      </c>
      <c r="N6" s="3">
        <f>'Medicaid Caseload'!O96-'Caseload by Program'!N20</f>
        <v>1642</v>
      </c>
      <c r="O6" s="3">
        <f>'Medicaid Caseload'!P96-'Caseload by Program'!O20</f>
        <v>2571</v>
      </c>
      <c r="P6" s="3">
        <f>'Medicaid Caseload'!Q96-'Caseload by Program'!P20</f>
        <v>33615</v>
      </c>
      <c r="Q6" s="107">
        <f>'Medicaid Caseload'!R96-'Caseload by Program'!Q20</f>
        <v>1201823</v>
      </c>
    </row>
    <row r="7" spans="1:17" ht="15.75" x14ac:dyDescent="0.2">
      <c r="A7" s="106">
        <v>42644</v>
      </c>
      <c r="B7" s="3">
        <f>'Medicaid Caseload'!C97-'Caseload by Program'!B21</f>
        <v>37202</v>
      </c>
      <c r="C7" s="3">
        <f>'Medicaid Caseload'!D97-'Caseload by Program'!C21</f>
        <v>9272</v>
      </c>
      <c r="D7" s="3">
        <f>'Medicaid Caseload'!E97-'Caseload by Program'!D21</f>
        <v>59749</v>
      </c>
      <c r="E7" s="3">
        <f>'Medicaid Caseload'!F97-'Caseload by Program'!E21</f>
        <v>5450</v>
      </c>
      <c r="F7" s="3">
        <f>'Medicaid Caseload'!G97-'Caseload by Program'!F21</f>
        <v>133487</v>
      </c>
      <c r="G7" s="3">
        <f>'Medicaid Caseload'!H97-'Caseload by Program'!G21</f>
        <v>77797</v>
      </c>
      <c r="H7" s="3">
        <f>'Medicaid Caseload'!I97-'Caseload by Program'!H21</f>
        <v>318399</v>
      </c>
      <c r="I7" s="3">
        <f>'Medicaid Caseload'!J97-'Caseload by Program'!I21</f>
        <v>305</v>
      </c>
      <c r="J7" s="3">
        <f>'Medicaid Caseload'!K97-'Caseload by Program'!J21</f>
        <v>428598</v>
      </c>
      <c r="K7" s="3">
        <f>'Medicaid Caseload'!L97-'Caseload by Program'!K21</f>
        <v>58269</v>
      </c>
      <c r="L7" s="3">
        <f>'Medicaid Caseload'!M97-'Caseload by Program'!L21</f>
        <v>19705</v>
      </c>
      <c r="M7" s="3">
        <f>'Medicaid Caseload'!N97-'Caseload by Program'!M21</f>
        <v>12813</v>
      </c>
      <c r="N7" s="3">
        <f>'Medicaid Caseload'!O97-'Caseload by Program'!N21</f>
        <v>1644</v>
      </c>
      <c r="O7" s="3">
        <f>'Medicaid Caseload'!P97-'Caseload by Program'!O21</f>
        <v>2455</v>
      </c>
      <c r="P7" s="3">
        <f>'Medicaid Caseload'!Q97-'Caseload by Program'!P21</f>
        <v>33456</v>
      </c>
      <c r="Q7" s="107">
        <f>'Medicaid Caseload'!R97-'Caseload by Program'!Q21</f>
        <v>1198601</v>
      </c>
    </row>
    <row r="8" spans="1:17" ht="15.75" x14ac:dyDescent="0.2">
      <c r="A8" s="106">
        <v>42675</v>
      </c>
      <c r="B8" s="3">
        <f>'Medicaid Caseload'!C98-'Caseload by Program'!B22</f>
        <v>37122</v>
      </c>
      <c r="C8" s="3">
        <f>'Medicaid Caseload'!D98-'Caseload by Program'!C22</f>
        <v>9321</v>
      </c>
      <c r="D8" s="3">
        <f>'Medicaid Caseload'!E98-'Caseload by Program'!D22</f>
        <v>59721</v>
      </c>
      <c r="E8" s="3">
        <f>'Medicaid Caseload'!F98-'Caseload by Program'!E22</f>
        <v>5528</v>
      </c>
      <c r="F8" s="3">
        <f>'Medicaid Caseload'!G98-'Caseload by Program'!F22</f>
        <v>135439</v>
      </c>
      <c r="G8" s="3">
        <f>'Medicaid Caseload'!H98-'Caseload by Program'!G22</f>
        <v>79390</v>
      </c>
      <c r="H8" s="3">
        <f>'Medicaid Caseload'!I98-'Caseload by Program'!H22</f>
        <v>322948</v>
      </c>
      <c r="I8" s="3">
        <f>'Medicaid Caseload'!J98-'Caseload by Program'!I22</f>
        <v>299</v>
      </c>
      <c r="J8" s="3">
        <f>'Medicaid Caseload'!K98-'Caseload by Program'!J22</f>
        <v>431214</v>
      </c>
      <c r="K8" s="3">
        <f>'Medicaid Caseload'!L98-'Caseload by Program'!K22</f>
        <v>55783</v>
      </c>
      <c r="L8" s="3">
        <f>'Medicaid Caseload'!M98-'Caseload by Program'!L22</f>
        <v>19785</v>
      </c>
      <c r="M8" s="3">
        <f>'Medicaid Caseload'!N98-'Caseload by Program'!M22</f>
        <v>12555</v>
      </c>
      <c r="N8" s="3">
        <f>'Medicaid Caseload'!O98-'Caseload by Program'!N22</f>
        <v>1601</v>
      </c>
      <c r="O8" s="3">
        <f>'Medicaid Caseload'!P98-'Caseload by Program'!O22</f>
        <v>2434</v>
      </c>
      <c r="P8" s="3">
        <f>'Medicaid Caseload'!Q98-'Caseload by Program'!P22</f>
        <v>33412</v>
      </c>
      <c r="Q8" s="107">
        <f>'Medicaid Caseload'!R98-'Caseload by Program'!Q22</f>
        <v>1206552</v>
      </c>
    </row>
    <row r="9" spans="1:17" ht="15.75" x14ac:dyDescent="0.2">
      <c r="A9" s="106">
        <v>42705</v>
      </c>
      <c r="B9" s="3">
        <f>'Medicaid Caseload'!C99-'Caseload by Program'!B23</f>
        <v>36756</v>
      </c>
      <c r="C9" s="3">
        <f>'Medicaid Caseload'!D99-'Caseload by Program'!C23</f>
        <v>9293</v>
      </c>
      <c r="D9" s="3">
        <f>'Medicaid Caseload'!E99-'Caseload by Program'!D23</f>
        <v>58518</v>
      </c>
      <c r="E9" s="3">
        <f>'Medicaid Caseload'!F99-'Caseload by Program'!E23</f>
        <v>5721</v>
      </c>
      <c r="F9" s="3">
        <f>'Medicaid Caseload'!G99-'Caseload by Program'!F23</f>
        <v>136824</v>
      </c>
      <c r="G9" s="3">
        <f>'Medicaid Caseload'!H99-'Caseload by Program'!G23</f>
        <v>79880</v>
      </c>
      <c r="H9" s="3">
        <f>'Medicaid Caseload'!I99-'Caseload by Program'!H23</f>
        <v>325892</v>
      </c>
      <c r="I9" s="3">
        <f>'Medicaid Caseload'!J99-'Caseload by Program'!I23</f>
        <v>296</v>
      </c>
      <c r="J9" s="3">
        <f>'Medicaid Caseload'!K99-'Caseload by Program'!J23</f>
        <v>429807</v>
      </c>
      <c r="K9" s="3">
        <f>'Medicaid Caseload'!L99-'Caseload by Program'!K23</f>
        <v>56536</v>
      </c>
      <c r="L9" s="3">
        <f>'Medicaid Caseload'!M99-'Caseload by Program'!L23</f>
        <v>19780</v>
      </c>
      <c r="M9" s="3">
        <f>'Medicaid Caseload'!N99-'Caseload by Program'!M23</f>
        <v>12333</v>
      </c>
      <c r="N9" s="3">
        <f>'Medicaid Caseload'!O99-'Caseload by Program'!N23</f>
        <v>1600</v>
      </c>
      <c r="O9" s="3">
        <f>'Medicaid Caseload'!P99-'Caseload by Program'!O23</f>
        <v>2430</v>
      </c>
      <c r="P9" s="3">
        <f>'Medicaid Caseload'!Q99-'Caseload by Program'!P23</f>
        <v>33385</v>
      </c>
      <c r="Q9" s="107">
        <f>'Medicaid Caseload'!R99-'Caseload by Program'!Q23</f>
        <v>1209051</v>
      </c>
    </row>
    <row r="10" spans="1:17" ht="15.75" x14ac:dyDescent="0.2">
      <c r="A10" s="106">
        <v>42736</v>
      </c>
      <c r="B10" s="3">
        <f>'Medicaid Caseload'!C100-'Caseload by Program'!B24</f>
        <v>36849</v>
      </c>
      <c r="C10" s="3">
        <f>'Medicaid Caseload'!D100-'Caseload by Program'!C24</f>
        <v>9445</v>
      </c>
      <c r="D10" s="3">
        <f>'Medicaid Caseload'!E100-'Caseload by Program'!D24</f>
        <v>59741</v>
      </c>
      <c r="E10" s="3">
        <f>'Medicaid Caseload'!F100-'Caseload by Program'!E24</f>
        <v>5877</v>
      </c>
      <c r="F10" s="3">
        <f>'Medicaid Caseload'!G100-'Caseload by Program'!F24</f>
        <v>137555</v>
      </c>
      <c r="G10" s="3">
        <f>'Medicaid Caseload'!H100-'Caseload by Program'!G24</f>
        <v>77266</v>
      </c>
      <c r="H10" s="3">
        <f>'Medicaid Caseload'!I100-'Caseload by Program'!H24</f>
        <v>324614</v>
      </c>
      <c r="I10" s="3">
        <f>'Medicaid Caseload'!J100-'Caseload by Program'!I24</f>
        <v>288</v>
      </c>
      <c r="J10" s="3">
        <f>'Medicaid Caseload'!K100-'Caseload by Program'!J24</f>
        <v>428198</v>
      </c>
      <c r="K10" s="3">
        <f>'Medicaid Caseload'!L100-'Caseload by Program'!K24</f>
        <v>58592</v>
      </c>
      <c r="L10" s="3">
        <f>'Medicaid Caseload'!M100-'Caseload by Program'!L24</f>
        <v>19792</v>
      </c>
      <c r="M10" s="3">
        <f>'Medicaid Caseload'!N100-'Caseload by Program'!M24</f>
        <v>12175</v>
      </c>
      <c r="N10" s="3">
        <f>'Medicaid Caseload'!O100-'Caseload by Program'!N24</f>
        <v>1674</v>
      </c>
      <c r="O10" s="3">
        <f>'Medicaid Caseload'!P100-'Caseload by Program'!O24</f>
        <v>2524</v>
      </c>
      <c r="P10" s="3">
        <f>'Medicaid Caseload'!Q100-'Caseload by Program'!P24</f>
        <v>33170</v>
      </c>
      <c r="Q10" s="107">
        <f>'Medicaid Caseload'!R100-'Caseload by Program'!Q24</f>
        <v>1207760</v>
      </c>
    </row>
    <row r="11" spans="1:17" ht="15.75" x14ac:dyDescent="0.2">
      <c r="A11" s="106">
        <v>42767</v>
      </c>
      <c r="B11" s="3"/>
      <c r="C11" s="3"/>
      <c r="D11" s="3"/>
      <c r="E11" s="3"/>
      <c r="F11" s="3"/>
      <c r="G11" s="3"/>
      <c r="H11" s="3"/>
      <c r="I11" s="3"/>
      <c r="J11" s="3"/>
      <c r="K11" s="3"/>
      <c r="L11" s="3"/>
      <c r="M11" s="3"/>
      <c r="N11" s="3"/>
      <c r="O11" s="3"/>
      <c r="P11" s="3"/>
      <c r="Q11" s="107"/>
    </row>
    <row r="12" spans="1:17" ht="15.75" x14ac:dyDescent="0.2">
      <c r="A12" s="106">
        <v>42795</v>
      </c>
      <c r="B12" s="3"/>
      <c r="C12" s="3"/>
      <c r="D12" s="3"/>
      <c r="E12" s="3"/>
      <c r="F12" s="3"/>
      <c r="G12" s="3"/>
      <c r="H12" s="3"/>
      <c r="I12" s="3"/>
      <c r="J12" s="3"/>
      <c r="K12" s="3"/>
      <c r="L12" s="3"/>
      <c r="M12" s="3"/>
      <c r="N12" s="3"/>
      <c r="O12" s="3"/>
      <c r="P12" s="3"/>
      <c r="Q12" s="107"/>
    </row>
    <row r="13" spans="1:17" ht="15.75" x14ac:dyDescent="0.2">
      <c r="A13" s="106">
        <v>42826</v>
      </c>
      <c r="B13" s="3"/>
      <c r="C13" s="3"/>
      <c r="D13" s="3"/>
      <c r="E13" s="3"/>
      <c r="F13" s="3"/>
      <c r="G13" s="3"/>
      <c r="H13" s="3"/>
      <c r="I13" s="3"/>
      <c r="J13" s="3"/>
      <c r="K13" s="3"/>
      <c r="L13" s="3"/>
      <c r="M13" s="3"/>
      <c r="N13" s="3"/>
      <c r="O13" s="3"/>
      <c r="P13" s="3"/>
      <c r="Q13" s="107"/>
    </row>
    <row r="14" spans="1:17" ht="15.75" x14ac:dyDescent="0.2">
      <c r="A14" s="106">
        <v>42856</v>
      </c>
      <c r="B14" s="3"/>
      <c r="C14" s="3"/>
      <c r="D14" s="3"/>
      <c r="E14" s="3"/>
      <c r="F14" s="3"/>
      <c r="G14" s="3"/>
      <c r="H14" s="3"/>
      <c r="I14" s="3"/>
      <c r="J14" s="3"/>
      <c r="K14" s="3"/>
      <c r="L14" s="3"/>
      <c r="M14" s="3"/>
      <c r="N14" s="3"/>
      <c r="O14" s="3"/>
      <c r="P14" s="3"/>
      <c r="Q14" s="107"/>
    </row>
    <row r="15" spans="1:17" ht="16.5" thickBot="1" x14ac:dyDescent="0.25">
      <c r="A15" s="147">
        <v>42887</v>
      </c>
      <c r="B15" s="148"/>
      <c r="C15" s="148"/>
      <c r="D15" s="148"/>
      <c r="E15" s="148"/>
      <c r="F15" s="148"/>
      <c r="G15" s="148"/>
      <c r="H15" s="148"/>
      <c r="I15" s="148"/>
      <c r="J15" s="148"/>
      <c r="K15" s="148"/>
      <c r="L15" s="148"/>
      <c r="M15" s="148"/>
      <c r="N15" s="148"/>
      <c r="O15" s="148"/>
      <c r="P15" s="148"/>
      <c r="Q15" s="149"/>
    </row>
    <row r="16" spans="1:17" ht="17.25" thickTop="1" thickBot="1" x14ac:dyDescent="0.3">
      <c r="A16" s="114" t="s">
        <v>301</v>
      </c>
      <c r="B16" s="5">
        <f>ROUND(+AVERAGE(B4:B15),0)</f>
        <v>37263</v>
      </c>
      <c r="C16" s="5">
        <f>ROUND(+AVERAGE(C4:C15),0)</f>
        <v>9286</v>
      </c>
      <c r="D16" s="5">
        <f>ROUND(+AVERAGE(D4:D15),0)</f>
        <v>59544</v>
      </c>
      <c r="E16" s="5">
        <f t="shared" ref="E16:O16" si="0">ROUND(+AVERAGE(E4:E15),0)</f>
        <v>5415</v>
      </c>
      <c r="F16" s="5">
        <f>ROUND(+AVERAGE(F4:F15),0)</f>
        <v>133716</v>
      </c>
      <c r="G16" s="5">
        <f>ROUND(+AVERAGE(G4:G15),0)</f>
        <v>78877</v>
      </c>
      <c r="H16" s="5">
        <f>ROUNDDOWN(+AVERAGE(H4:H15),0)</f>
        <v>322258</v>
      </c>
      <c r="I16" s="5">
        <f t="shared" si="0"/>
        <v>300</v>
      </c>
      <c r="J16" s="5">
        <f>ROUNDDOWN(+AVERAGE(J4:J15),0)</f>
        <v>429035</v>
      </c>
      <c r="K16" s="5">
        <f>ROUND(+AVERAGE(K4:K15),0)</f>
        <v>57400</v>
      </c>
      <c r="L16" s="5">
        <f t="shared" si="0"/>
        <v>19702</v>
      </c>
      <c r="M16" s="5">
        <f t="shared" si="0"/>
        <v>12811</v>
      </c>
      <c r="N16" s="5">
        <f t="shared" si="0"/>
        <v>1656</v>
      </c>
      <c r="O16" s="5">
        <f t="shared" si="0"/>
        <v>2525</v>
      </c>
      <c r="P16" s="5">
        <f>ROUND(+AVERAGE(P4:P15),0)</f>
        <v>33454</v>
      </c>
      <c r="Q16" s="115">
        <f>ROUND(SUM(B16:P16),0)</f>
        <v>1203242</v>
      </c>
    </row>
    <row r="17" spans="1:17" ht="19.5" thickBot="1" x14ac:dyDescent="0.25">
      <c r="A17" s="233" t="s">
        <v>263</v>
      </c>
      <c r="B17" s="234"/>
      <c r="C17" s="234"/>
      <c r="D17" s="234"/>
      <c r="E17" s="234"/>
      <c r="F17" s="234"/>
      <c r="G17" s="234"/>
      <c r="H17" s="234"/>
      <c r="I17" s="234"/>
      <c r="J17" s="234"/>
      <c r="K17" s="234"/>
      <c r="L17" s="234"/>
      <c r="M17" s="234"/>
      <c r="N17" s="234"/>
      <c r="O17" s="234"/>
      <c r="P17" s="234"/>
      <c r="Q17" s="235"/>
    </row>
    <row r="18" spans="1:17" ht="15.75" x14ac:dyDescent="0.2">
      <c r="A18" s="112">
        <f>A4</f>
        <v>42552</v>
      </c>
      <c r="B18" s="101">
        <f t="shared" ref="B18:B24" si="1">SUM(B32,B46,B60,B74)</f>
        <v>6606</v>
      </c>
      <c r="C18" s="101">
        <f t="shared" ref="C18:P24" si="2">SUM(C32,C46,C60,C74)</f>
        <v>1881</v>
      </c>
      <c r="D18" s="101">
        <f t="shared" si="2"/>
        <v>8329</v>
      </c>
      <c r="E18" s="101">
        <f t="shared" si="2"/>
        <v>355</v>
      </c>
      <c r="F18" s="101">
        <f t="shared" si="2"/>
        <v>20367</v>
      </c>
      <c r="G18" s="101">
        <f t="shared" si="2"/>
        <v>11428</v>
      </c>
      <c r="H18" s="101">
        <f t="shared" si="2"/>
        <v>34363</v>
      </c>
      <c r="I18" s="101">
        <f t="shared" si="2"/>
        <v>8</v>
      </c>
      <c r="J18" s="101">
        <f t="shared" si="2"/>
        <v>43359</v>
      </c>
      <c r="K18" s="101">
        <f t="shared" si="2"/>
        <v>6111</v>
      </c>
      <c r="L18" s="101">
        <f t="shared" si="2"/>
        <v>609</v>
      </c>
      <c r="M18" s="101">
        <f t="shared" si="2"/>
        <v>1525</v>
      </c>
      <c r="N18" s="101">
        <f t="shared" si="2"/>
        <v>167</v>
      </c>
      <c r="O18" s="101">
        <f t="shared" si="2"/>
        <v>0</v>
      </c>
      <c r="P18" s="101">
        <f t="shared" si="2"/>
        <v>4</v>
      </c>
      <c r="Q18" s="113">
        <f t="shared" ref="Q18:Q24" si="3">ROUND(SUM(Q32,Q46,Q60,Q74),0)</f>
        <v>135112</v>
      </c>
    </row>
    <row r="19" spans="1:17" ht="15.75" x14ac:dyDescent="0.2">
      <c r="A19" s="106">
        <f t="shared" ref="A19:A30" si="4">A5</f>
        <v>42583</v>
      </c>
      <c r="B19" s="3">
        <f t="shared" si="1"/>
        <v>5173</v>
      </c>
      <c r="C19" s="3">
        <f t="shared" si="2"/>
        <v>1698</v>
      </c>
      <c r="D19" s="3">
        <f t="shared" si="2"/>
        <v>8198</v>
      </c>
      <c r="E19" s="3">
        <f t="shared" si="2"/>
        <v>347</v>
      </c>
      <c r="F19" s="3">
        <f t="shared" si="2"/>
        <v>19878</v>
      </c>
      <c r="G19" s="3">
        <f t="shared" si="2"/>
        <v>11227</v>
      </c>
      <c r="H19" s="3">
        <f t="shared" si="2"/>
        <v>34521</v>
      </c>
      <c r="I19" s="3">
        <f t="shared" si="2"/>
        <v>7</v>
      </c>
      <c r="J19" s="3">
        <f t="shared" si="2"/>
        <v>43089</v>
      </c>
      <c r="K19" s="3">
        <f t="shared" si="2"/>
        <v>6204</v>
      </c>
      <c r="L19" s="3">
        <f t="shared" si="2"/>
        <v>598</v>
      </c>
      <c r="M19" s="3">
        <f t="shared" si="2"/>
        <v>1490</v>
      </c>
      <c r="N19" s="3">
        <f t="shared" si="2"/>
        <v>155</v>
      </c>
      <c r="O19" s="3">
        <f t="shared" si="2"/>
        <v>0</v>
      </c>
      <c r="P19" s="3">
        <f t="shared" ref="P19:P24" si="5">SUM(P33,P47,P61,P75)</f>
        <v>6</v>
      </c>
      <c r="Q19" s="107">
        <f t="shared" si="3"/>
        <v>132591</v>
      </c>
    </row>
    <row r="20" spans="1:17" ht="15.75" x14ac:dyDescent="0.2">
      <c r="A20" s="106">
        <f t="shared" si="4"/>
        <v>42614</v>
      </c>
      <c r="B20" s="3">
        <f t="shared" si="1"/>
        <v>5421</v>
      </c>
      <c r="C20" s="3">
        <f t="shared" si="2"/>
        <v>1734</v>
      </c>
      <c r="D20" s="3">
        <f t="shared" si="2"/>
        <v>8179</v>
      </c>
      <c r="E20" s="3">
        <f t="shared" si="2"/>
        <v>355</v>
      </c>
      <c r="F20" s="3">
        <f t="shared" si="2"/>
        <v>19881</v>
      </c>
      <c r="G20" s="3">
        <f t="shared" si="2"/>
        <v>11216</v>
      </c>
      <c r="H20" s="3">
        <f t="shared" si="2"/>
        <v>35162</v>
      </c>
      <c r="I20" s="3">
        <f t="shared" si="2"/>
        <v>7</v>
      </c>
      <c r="J20" s="3">
        <f t="shared" si="2"/>
        <v>42817</v>
      </c>
      <c r="K20" s="3">
        <f t="shared" si="2"/>
        <v>6194</v>
      </c>
      <c r="L20" s="3">
        <f t="shared" si="2"/>
        <v>558</v>
      </c>
      <c r="M20" s="3">
        <f t="shared" si="2"/>
        <v>1393</v>
      </c>
      <c r="N20" s="3">
        <f t="shared" si="2"/>
        <v>155</v>
      </c>
      <c r="O20" s="3">
        <f t="shared" si="2"/>
        <v>0</v>
      </c>
      <c r="P20" s="3">
        <f t="shared" si="5"/>
        <v>8</v>
      </c>
      <c r="Q20" s="107">
        <f t="shared" si="3"/>
        <v>133080</v>
      </c>
    </row>
    <row r="21" spans="1:17" ht="15.75" x14ac:dyDescent="0.2">
      <c r="A21" s="106">
        <f t="shared" si="4"/>
        <v>42644</v>
      </c>
      <c r="B21" s="3">
        <f t="shared" si="1"/>
        <v>6523</v>
      </c>
      <c r="C21" s="3">
        <f t="shared" si="2"/>
        <v>1859</v>
      </c>
      <c r="D21" s="3">
        <f t="shared" si="2"/>
        <v>8202</v>
      </c>
      <c r="E21" s="3">
        <f t="shared" si="2"/>
        <v>375</v>
      </c>
      <c r="F21" s="3">
        <f t="shared" si="2"/>
        <v>20092</v>
      </c>
      <c r="G21" s="3">
        <f t="shared" si="2"/>
        <v>10740</v>
      </c>
      <c r="H21" s="3">
        <f t="shared" si="2"/>
        <v>34971</v>
      </c>
      <c r="I21" s="3">
        <f t="shared" si="2"/>
        <v>7</v>
      </c>
      <c r="J21" s="3">
        <f t="shared" si="2"/>
        <v>42518</v>
      </c>
      <c r="K21" s="3">
        <f t="shared" si="2"/>
        <v>6185</v>
      </c>
      <c r="L21" s="3">
        <f t="shared" si="2"/>
        <v>555</v>
      </c>
      <c r="M21" s="3">
        <f t="shared" si="2"/>
        <v>1355</v>
      </c>
      <c r="N21" s="3">
        <f t="shared" si="2"/>
        <v>146</v>
      </c>
      <c r="O21" s="3">
        <f t="shared" si="2"/>
        <v>0</v>
      </c>
      <c r="P21" s="3">
        <f t="shared" si="5"/>
        <v>5</v>
      </c>
      <c r="Q21" s="107">
        <f t="shared" si="3"/>
        <v>133533</v>
      </c>
    </row>
    <row r="22" spans="1:17" ht="15.75" x14ac:dyDescent="0.2">
      <c r="A22" s="106">
        <f t="shared" si="4"/>
        <v>42675</v>
      </c>
      <c r="B22" s="3">
        <f t="shared" si="1"/>
        <v>6791</v>
      </c>
      <c r="C22" s="3">
        <f t="shared" si="2"/>
        <v>1912</v>
      </c>
      <c r="D22" s="3">
        <f t="shared" si="2"/>
        <v>8193</v>
      </c>
      <c r="E22" s="3">
        <f t="shared" si="2"/>
        <v>390</v>
      </c>
      <c r="F22" s="3">
        <f t="shared" si="2"/>
        <v>20248</v>
      </c>
      <c r="G22" s="3">
        <f t="shared" si="2"/>
        <v>10768</v>
      </c>
      <c r="H22" s="3">
        <f t="shared" si="2"/>
        <v>36038</v>
      </c>
      <c r="I22" s="3">
        <f t="shared" si="2"/>
        <v>7</v>
      </c>
      <c r="J22" s="3">
        <f t="shared" si="2"/>
        <v>42649</v>
      </c>
      <c r="K22" s="3">
        <f t="shared" si="2"/>
        <v>5867</v>
      </c>
      <c r="L22" s="3">
        <f t="shared" si="2"/>
        <v>521</v>
      </c>
      <c r="M22" s="3">
        <f t="shared" si="2"/>
        <v>1321</v>
      </c>
      <c r="N22" s="3">
        <f t="shared" si="2"/>
        <v>137</v>
      </c>
      <c r="O22" s="3">
        <f t="shared" si="2"/>
        <v>0</v>
      </c>
      <c r="P22" s="3">
        <f t="shared" si="5"/>
        <v>4</v>
      </c>
      <c r="Q22" s="107">
        <f t="shared" si="3"/>
        <v>134846</v>
      </c>
    </row>
    <row r="23" spans="1:17" ht="15.75" x14ac:dyDescent="0.2">
      <c r="A23" s="106">
        <f t="shared" si="4"/>
        <v>42705</v>
      </c>
      <c r="B23" s="3">
        <f t="shared" si="1"/>
        <v>6725</v>
      </c>
      <c r="C23" s="3">
        <f t="shared" si="2"/>
        <v>1888</v>
      </c>
      <c r="D23" s="3">
        <f t="shared" si="2"/>
        <v>7991</v>
      </c>
      <c r="E23" s="3">
        <f t="shared" si="2"/>
        <v>393</v>
      </c>
      <c r="F23" s="3">
        <f t="shared" si="2"/>
        <v>20331</v>
      </c>
      <c r="G23" s="3">
        <f t="shared" si="2"/>
        <v>10850</v>
      </c>
      <c r="H23" s="3">
        <f t="shared" si="2"/>
        <v>36301</v>
      </c>
      <c r="I23" s="3">
        <f t="shared" si="2"/>
        <v>7</v>
      </c>
      <c r="J23" s="3">
        <f t="shared" si="2"/>
        <v>42247</v>
      </c>
      <c r="K23" s="3">
        <f t="shared" si="2"/>
        <v>5988</v>
      </c>
      <c r="L23" s="3">
        <f t="shared" si="2"/>
        <v>516</v>
      </c>
      <c r="M23" s="3">
        <f t="shared" si="2"/>
        <v>1275</v>
      </c>
      <c r="N23" s="3">
        <f t="shared" si="2"/>
        <v>136</v>
      </c>
      <c r="O23" s="3">
        <f t="shared" si="2"/>
        <v>0</v>
      </c>
      <c r="P23" s="3">
        <f t="shared" si="5"/>
        <v>5</v>
      </c>
      <c r="Q23" s="107">
        <f t="shared" si="3"/>
        <v>134653</v>
      </c>
    </row>
    <row r="24" spans="1:17" ht="15.75" x14ac:dyDescent="0.2">
      <c r="A24" s="106">
        <f t="shared" si="4"/>
        <v>42736</v>
      </c>
      <c r="B24" s="3">
        <f t="shared" si="1"/>
        <v>7039</v>
      </c>
      <c r="C24" s="3">
        <f t="shared" si="2"/>
        <v>1960</v>
      </c>
      <c r="D24" s="3">
        <f t="shared" si="2"/>
        <v>8433</v>
      </c>
      <c r="E24" s="3">
        <f t="shared" si="2"/>
        <v>390</v>
      </c>
      <c r="F24" s="3">
        <f t="shared" si="2"/>
        <v>20679</v>
      </c>
      <c r="G24" s="3">
        <f t="shared" si="2"/>
        <v>10289</v>
      </c>
      <c r="H24" s="3">
        <f t="shared" si="2"/>
        <v>37484</v>
      </c>
      <c r="I24" s="3">
        <f t="shared" si="2"/>
        <v>7</v>
      </c>
      <c r="J24" s="3">
        <f t="shared" si="2"/>
        <v>41794</v>
      </c>
      <c r="K24" s="3">
        <f t="shared" si="2"/>
        <v>6140</v>
      </c>
      <c r="L24" s="3">
        <f t="shared" si="2"/>
        <v>505</v>
      </c>
      <c r="M24" s="3">
        <f t="shared" si="2"/>
        <v>1352</v>
      </c>
      <c r="N24" s="3">
        <f t="shared" si="2"/>
        <v>142</v>
      </c>
      <c r="O24" s="3">
        <f t="shared" si="2"/>
        <v>2</v>
      </c>
      <c r="P24" s="3">
        <f t="shared" si="5"/>
        <v>3</v>
      </c>
      <c r="Q24" s="107">
        <f t="shared" si="3"/>
        <v>136219</v>
      </c>
    </row>
    <row r="25" spans="1:17" ht="15.75" x14ac:dyDescent="0.2">
      <c r="A25" s="106">
        <f t="shared" si="4"/>
        <v>42767</v>
      </c>
      <c r="B25" s="3"/>
      <c r="C25" s="3"/>
      <c r="D25" s="3"/>
      <c r="E25" s="3"/>
      <c r="F25" s="3"/>
      <c r="G25" s="3"/>
      <c r="H25" s="3"/>
      <c r="I25" s="3"/>
      <c r="J25" s="3"/>
      <c r="K25" s="3"/>
      <c r="L25" s="3"/>
      <c r="M25" s="3"/>
      <c r="N25" s="3"/>
      <c r="O25" s="3"/>
      <c r="P25" s="3"/>
      <c r="Q25" s="107"/>
    </row>
    <row r="26" spans="1:17" ht="15.75" x14ac:dyDescent="0.2">
      <c r="A26" s="106">
        <f t="shared" si="4"/>
        <v>42795</v>
      </c>
      <c r="B26" s="3"/>
      <c r="C26" s="3"/>
      <c r="D26" s="3"/>
      <c r="E26" s="3"/>
      <c r="F26" s="3"/>
      <c r="G26" s="3"/>
      <c r="H26" s="3"/>
      <c r="I26" s="3"/>
      <c r="J26" s="3"/>
      <c r="K26" s="3"/>
      <c r="L26" s="3"/>
      <c r="M26" s="3"/>
      <c r="N26" s="3"/>
      <c r="O26" s="3"/>
      <c r="P26" s="3"/>
      <c r="Q26" s="107"/>
    </row>
    <row r="27" spans="1:17" ht="15.75" x14ac:dyDescent="0.2">
      <c r="A27" s="106">
        <f t="shared" si="4"/>
        <v>42826</v>
      </c>
      <c r="B27" s="3"/>
      <c r="C27" s="3"/>
      <c r="D27" s="3"/>
      <c r="E27" s="3"/>
      <c r="F27" s="3"/>
      <c r="G27" s="3"/>
      <c r="H27" s="3"/>
      <c r="I27" s="3"/>
      <c r="J27" s="3"/>
      <c r="K27" s="3"/>
      <c r="L27" s="3"/>
      <c r="M27" s="3"/>
      <c r="N27" s="3"/>
      <c r="O27" s="3"/>
      <c r="P27" s="3"/>
      <c r="Q27" s="107"/>
    </row>
    <row r="28" spans="1:17" ht="15.75" x14ac:dyDescent="0.2">
      <c r="A28" s="106">
        <f t="shared" si="4"/>
        <v>42856</v>
      </c>
      <c r="B28" s="3"/>
      <c r="C28" s="3"/>
      <c r="D28" s="3"/>
      <c r="E28" s="3"/>
      <c r="F28" s="3"/>
      <c r="G28" s="3"/>
      <c r="H28" s="3"/>
      <c r="I28" s="3"/>
      <c r="J28" s="3"/>
      <c r="K28" s="3"/>
      <c r="L28" s="3"/>
      <c r="M28" s="3"/>
      <c r="N28" s="3"/>
      <c r="O28" s="3"/>
      <c r="P28" s="3"/>
      <c r="Q28" s="107"/>
    </row>
    <row r="29" spans="1:17" ht="16.5" thickBot="1" x14ac:dyDescent="0.25">
      <c r="A29" s="147">
        <f t="shared" si="4"/>
        <v>42887</v>
      </c>
      <c r="B29" s="148"/>
      <c r="C29" s="148"/>
      <c r="D29" s="148"/>
      <c r="E29" s="148"/>
      <c r="F29" s="148"/>
      <c r="G29" s="148"/>
      <c r="H29" s="148"/>
      <c r="I29" s="148"/>
      <c r="J29" s="148"/>
      <c r="K29" s="148"/>
      <c r="L29" s="148"/>
      <c r="M29" s="148"/>
      <c r="N29" s="148"/>
      <c r="O29" s="148"/>
      <c r="P29" s="148"/>
      <c r="Q29" s="149"/>
    </row>
    <row r="30" spans="1:17" ht="17.25" thickTop="1" thickBot="1" x14ac:dyDescent="0.3">
      <c r="A30" s="114" t="str">
        <f t="shared" si="4"/>
        <v>FY 2016-17 Year-to-Date Average</v>
      </c>
      <c r="B30" s="5">
        <f>ROUNDUP(+AVERAGE(B18:B29),0)</f>
        <v>6326</v>
      </c>
      <c r="C30" s="5">
        <f>ROUND(+AVERAGE(C18:C29),0)</f>
        <v>1847</v>
      </c>
      <c r="D30" s="5">
        <f>ROUND(+AVERAGE(D18:D29),0)</f>
        <v>8218</v>
      </c>
      <c r="E30" s="5">
        <f>ROUND(+AVERAGE(E18:E29),0)</f>
        <v>372</v>
      </c>
      <c r="F30" s="5">
        <f>ROUND(+AVERAGE(F18:F29),0)</f>
        <v>20211</v>
      </c>
      <c r="G30" s="5">
        <f t="shared" ref="G30" si="6">ROUND(+AVERAGE(G18:G29),0)</f>
        <v>10931</v>
      </c>
      <c r="H30" s="5">
        <f>ROUND(+AVERAGE(H18:H29),0)</f>
        <v>35549</v>
      </c>
      <c r="I30" s="5">
        <f t="shared" ref="I30:P30" si="7">ROUND(+AVERAGE(I18:I29),0)</f>
        <v>7</v>
      </c>
      <c r="J30" s="5">
        <f>ROUND(+AVERAGE(J18:J29),0)</f>
        <v>42639</v>
      </c>
      <c r="K30" s="5">
        <f>ROUND(+AVERAGE(K18:K29),0)</f>
        <v>6098</v>
      </c>
      <c r="L30" s="5">
        <f t="shared" si="7"/>
        <v>552</v>
      </c>
      <c r="M30" s="5">
        <f>ROUNDUP(+AVERAGE(M18:M29),0)</f>
        <v>1388</v>
      </c>
      <c r="N30" s="5">
        <f>ROUND(+AVERAGE(N18:N29),0)</f>
        <v>148</v>
      </c>
      <c r="O30" s="5">
        <f t="shared" si="7"/>
        <v>0</v>
      </c>
      <c r="P30" s="5">
        <f t="shared" si="7"/>
        <v>5</v>
      </c>
      <c r="Q30" s="115">
        <f>ROUND(SUM(B30:P30),0)</f>
        <v>134291</v>
      </c>
    </row>
    <row r="31" spans="1:17" ht="16.5" thickBot="1" x14ac:dyDescent="0.25">
      <c r="A31" s="233" t="s">
        <v>164</v>
      </c>
      <c r="B31" s="234"/>
      <c r="C31" s="234"/>
      <c r="D31" s="234"/>
      <c r="E31" s="234"/>
      <c r="F31" s="234"/>
      <c r="G31" s="234"/>
      <c r="H31" s="234"/>
      <c r="I31" s="234"/>
      <c r="J31" s="234"/>
      <c r="K31" s="234"/>
      <c r="L31" s="234"/>
      <c r="M31" s="234"/>
      <c r="N31" s="234"/>
      <c r="O31" s="234"/>
      <c r="P31" s="234"/>
      <c r="Q31" s="235"/>
    </row>
    <row r="32" spans="1:17" ht="15.75" x14ac:dyDescent="0.2">
      <c r="A32" s="112">
        <f>A4</f>
        <v>42552</v>
      </c>
      <c r="B32" s="101">
        <f>'[7]HMO + PACE'!B36</f>
        <v>1544</v>
      </c>
      <c r="C32" s="101">
        <f>'[7]HMO + PACE'!C36</f>
        <v>548</v>
      </c>
      <c r="D32" s="101">
        <f>'[7]HMO + PACE'!D36</f>
        <v>3051</v>
      </c>
      <c r="E32" s="101">
        <f>'[7]HMO + PACE'!E36</f>
        <v>283</v>
      </c>
      <c r="F32" s="101">
        <f>'[7]HMO + PACE'!F36</f>
        <v>7638</v>
      </c>
      <c r="G32" s="101">
        <f>'[7]HMO + PACE'!G36</f>
        <v>5166</v>
      </c>
      <c r="H32" s="101">
        <f>'[7]HMO + PACE'!H36</f>
        <v>15217</v>
      </c>
      <c r="I32" s="101">
        <f>'[7]HMO + PACE'!I36</f>
        <v>6</v>
      </c>
      <c r="J32" s="101">
        <f>'[7]HMO + PACE'!J36</f>
        <v>4</v>
      </c>
      <c r="K32" s="101">
        <f>'[7]HMO + PACE'!K36</f>
        <v>0</v>
      </c>
      <c r="L32" s="101">
        <f>'[7]HMO + PACE'!L36</f>
        <v>0</v>
      </c>
      <c r="M32" s="101">
        <f>'[7]HMO + PACE'!M36</f>
        <v>700</v>
      </c>
      <c r="N32" s="101">
        <f>'[7]HMO + PACE'!N36</f>
        <v>81</v>
      </c>
      <c r="O32" s="101">
        <f>'[7]HMO + PACE'!O36</f>
        <v>0</v>
      </c>
      <c r="P32" s="101">
        <f>'[7]HMO + PACE'!P36</f>
        <v>2</v>
      </c>
      <c r="Q32" s="113">
        <f>'[7]HMO + PACE'!Q36</f>
        <v>34240</v>
      </c>
    </row>
    <row r="33" spans="1:17" ht="15.75" x14ac:dyDescent="0.2">
      <c r="A33" s="106">
        <f t="shared" ref="A33:A44" si="8">A5</f>
        <v>42583</v>
      </c>
      <c r="B33" s="3">
        <f>'[7]HMO + PACE'!B37</f>
        <v>1529</v>
      </c>
      <c r="C33" s="3">
        <f>'[7]HMO + PACE'!C37</f>
        <v>545</v>
      </c>
      <c r="D33" s="3">
        <f>'[7]HMO + PACE'!D37</f>
        <v>3013</v>
      </c>
      <c r="E33" s="3">
        <f>'[7]HMO + PACE'!E37</f>
        <v>275</v>
      </c>
      <c r="F33" s="3">
        <f>'[7]HMO + PACE'!F37</f>
        <v>7312</v>
      </c>
      <c r="G33" s="3">
        <f>'[7]HMO + PACE'!G37</f>
        <v>5047</v>
      </c>
      <c r="H33" s="3">
        <f>'[7]HMO + PACE'!H37</f>
        <v>14766</v>
      </c>
      <c r="I33" s="3">
        <f>'[7]HMO + PACE'!I37</f>
        <v>6</v>
      </c>
      <c r="J33" s="3">
        <f>'[7]HMO + PACE'!J37</f>
        <v>5</v>
      </c>
      <c r="K33" s="3">
        <f>'[7]HMO + PACE'!K37</f>
        <v>1</v>
      </c>
      <c r="L33" s="3">
        <f>'[7]HMO + PACE'!L37</f>
        <v>1</v>
      </c>
      <c r="M33" s="3">
        <f>'[7]HMO + PACE'!M37</f>
        <v>652</v>
      </c>
      <c r="N33" s="3">
        <f>'[7]HMO + PACE'!N37</f>
        <v>71</v>
      </c>
      <c r="O33" s="3">
        <f>'[7]HMO + PACE'!O37</f>
        <v>0</v>
      </c>
      <c r="P33" s="3">
        <f>'[7]HMO + PACE'!P37</f>
        <v>3</v>
      </c>
      <c r="Q33" s="107">
        <f>'[7]HMO + PACE'!Q37</f>
        <v>33226</v>
      </c>
    </row>
    <row r="34" spans="1:17" ht="15.75" x14ac:dyDescent="0.2">
      <c r="A34" s="106">
        <f t="shared" si="8"/>
        <v>42614</v>
      </c>
      <c r="B34" s="3">
        <f>'[7]HMO + PACE'!B38</f>
        <v>1562</v>
      </c>
      <c r="C34" s="3">
        <f>'[7]HMO + PACE'!C38</f>
        <v>549</v>
      </c>
      <c r="D34" s="3">
        <f>'[7]HMO + PACE'!D38</f>
        <v>3009</v>
      </c>
      <c r="E34" s="3">
        <f>'[7]HMO + PACE'!E38</f>
        <v>285</v>
      </c>
      <c r="F34" s="3">
        <f>'[7]HMO + PACE'!F38</f>
        <v>7283</v>
      </c>
      <c r="G34" s="3">
        <f>'[7]HMO + PACE'!G38</f>
        <v>5046</v>
      </c>
      <c r="H34" s="3">
        <f>'[7]HMO + PACE'!H38</f>
        <v>14833</v>
      </c>
      <c r="I34" s="3">
        <f>'[7]HMO + PACE'!I38</f>
        <v>6</v>
      </c>
      <c r="J34" s="3">
        <f>'[7]HMO + PACE'!J38</f>
        <v>3</v>
      </c>
      <c r="K34" s="3">
        <f>'[7]HMO + PACE'!K38</f>
        <v>1</v>
      </c>
      <c r="L34" s="3">
        <f>'[7]HMO + PACE'!L38</f>
        <v>0</v>
      </c>
      <c r="M34" s="3">
        <f>'[7]HMO + PACE'!M38</f>
        <v>615</v>
      </c>
      <c r="N34" s="3">
        <f>'[7]HMO + PACE'!N38</f>
        <v>71</v>
      </c>
      <c r="O34" s="3">
        <f>'[7]HMO + PACE'!O38</f>
        <v>0</v>
      </c>
      <c r="P34" s="3">
        <f>'[7]HMO + PACE'!P38</f>
        <v>2</v>
      </c>
      <c r="Q34" s="107">
        <f>'[7]HMO + PACE'!Q38</f>
        <v>33265</v>
      </c>
    </row>
    <row r="35" spans="1:17" ht="15.75" x14ac:dyDescent="0.2">
      <c r="A35" s="106">
        <f t="shared" si="8"/>
        <v>42644</v>
      </c>
      <c r="B35" s="3">
        <f>'[7]HMO + PACE'!B39</f>
        <v>1573</v>
      </c>
      <c r="C35" s="3">
        <f>'[7]HMO + PACE'!C39</f>
        <v>550</v>
      </c>
      <c r="D35" s="3">
        <f>'[7]HMO + PACE'!D39</f>
        <v>3030</v>
      </c>
      <c r="E35" s="3">
        <f>'[7]HMO + PACE'!E39</f>
        <v>301</v>
      </c>
      <c r="F35" s="3">
        <f>'[7]HMO + PACE'!F39</f>
        <v>7374</v>
      </c>
      <c r="G35" s="3">
        <f>'[7]HMO + PACE'!G39</f>
        <v>4854</v>
      </c>
      <c r="H35" s="3">
        <f>'[7]HMO + PACE'!H39</f>
        <v>14775</v>
      </c>
      <c r="I35" s="3">
        <f>'[7]HMO + PACE'!I39</f>
        <v>6</v>
      </c>
      <c r="J35" s="3">
        <f>'[7]HMO + PACE'!J39</f>
        <v>3</v>
      </c>
      <c r="K35" s="3">
        <f>'[7]HMO + PACE'!K39</f>
        <v>0</v>
      </c>
      <c r="L35" s="3">
        <f>'[7]HMO + PACE'!L39</f>
        <v>0</v>
      </c>
      <c r="M35" s="3">
        <f>'[7]HMO + PACE'!M39</f>
        <v>594</v>
      </c>
      <c r="N35" s="3">
        <f>'[7]HMO + PACE'!N39</f>
        <v>63</v>
      </c>
      <c r="O35" s="3">
        <f>'[7]HMO + PACE'!O39</f>
        <v>0</v>
      </c>
      <c r="P35" s="3">
        <f>'[7]HMO + PACE'!P39</f>
        <v>2</v>
      </c>
      <c r="Q35" s="107">
        <f>'[7]HMO + PACE'!Q39</f>
        <v>33125</v>
      </c>
    </row>
    <row r="36" spans="1:17" ht="15.75" x14ac:dyDescent="0.2">
      <c r="A36" s="106">
        <f t="shared" si="8"/>
        <v>42675</v>
      </c>
      <c r="B36" s="3">
        <f>'[7]HMO + PACE'!B40</f>
        <v>1598</v>
      </c>
      <c r="C36" s="3">
        <f>'[7]HMO + PACE'!C40</f>
        <v>560</v>
      </c>
      <c r="D36" s="3">
        <f>'[7]HMO + PACE'!D40</f>
        <v>3036</v>
      </c>
      <c r="E36" s="3">
        <f>'[7]HMO + PACE'!E40</f>
        <v>317</v>
      </c>
      <c r="F36" s="3">
        <f>'[7]HMO + PACE'!F40</f>
        <v>7431</v>
      </c>
      <c r="G36" s="3">
        <f>'[7]HMO + PACE'!G40</f>
        <v>4854</v>
      </c>
      <c r="H36" s="3">
        <f>'[7]HMO + PACE'!H40</f>
        <v>15140</v>
      </c>
      <c r="I36" s="3">
        <f>'[7]HMO + PACE'!I40</f>
        <v>6</v>
      </c>
      <c r="J36" s="3">
        <f>'[7]HMO + PACE'!J40</f>
        <v>3</v>
      </c>
      <c r="K36" s="3">
        <f>'[7]HMO + PACE'!K40</f>
        <v>1</v>
      </c>
      <c r="L36" s="3">
        <f>'[7]HMO + PACE'!L40</f>
        <v>0</v>
      </c>
      <c r="M36" s="3">
        <f>'[7]HMO + PACE'!M40</f>
        <v>578</v>
      </c>
      <c r="N36" s="3">
        <f>'[7]HMO + PACE'!N40</f>
        <v>68</v>
      </c>
      <c r="O36" s="3">
        <f>'[7]HMO + PACE'!O40</f>
        <v>0</v>
      </c>
      <c r="P36" s="3">
        <f>'[7]HMO + PACE'!P40</f>
        <v>4</v>
      </c>
      <c r="Q36" s="107">
        <f>'[7]HMO + PACE'!Q40</f>
        <v>33596</v>
      </c>
    </row>
    <row r="37" spans="1:17" ht="15.75" x14ac:dyDescent="0.2">
      <c r="A37" s="106">
        <f t="shared" si="8"/>
        <v>42705</v>
      </c>
      <c r="B37" s="3">
        <f>'[7]HMO + PACE'!B41</f>
        <v>1573</v>
      </c>
      <c r="C37" s="3">
        <f>'[7]HMO + PACE'!C41</f>
        <v>560</v>
      </c>
      <c r="D37" s="3">
        <f>'[7]HMO + PACE'!D41</f>
        <v>2964</v>
      </c>
      <c r="E37" s="3">
        <f>'[7]HMO + PACE'!E41</f>
        <v>323</v>
      </c>
      <c r="F37" s="3">
        <f>'[7]HMO + PACE'!F41</f>
        <v>7498</v>
      </c>
      <c r="G37" s="3">
        <f>'[7]HMO + PACE'!G41</f>
        <v>4923</v>
      </c>
      <c r="H37" s="3">
        <f>'[7]HMO + PACE'!H41</f>
        <v>15116</v>
      </c>
      <c r="I37" s="3">
        <f>'[7]HMO + PACE'!I41</f>
        <v>6</v>
      </c>
      <c r="J37" s="3">
        <f>'[7]HMO + PACE'!J41</f>
        <v>13</v>
      </c>
      <c r="K37" s="3">
        <f>'[7]HMO + PACE'!K41</f>
        <v>0</v>
      </c>
      <c r="L37" s="3">
        <f>'[7]HMO + PACE'!L41</f>
        <v>0</v>
      </c>
      <c r="M37" s="3">
        <f>'[7]HMO + PACE'!M41</f>
        <v>563</v>
      </c>
      <c r="N37" s="3">
        <f>'[7]HMO + PACE'!N41</f>
        <v>66</v>
      </c>
      <c r="O37" s="3">
        <f>'[7]HMO + PACE'!O41</f>
        <v>0</v>
      </c>
      <c r="P37" s="3">
        <f>'[7]HMO + PACE'!P41</f>
        <v>3</v>
      </c>
      <c r="Q37" s="107">
        <f>'[7]HMO + PACE'!Q41</f>
        <v>33608</v>
      </c>
    </row>
    <row r="38" spans="1:17" ht="15.75" x14ac:dyDescent="0.2">
      <c r="A38" s="106">
        <f t="shared" si="8"/>
        <v>42736</v>
      </c>
      <c r="B38" s="3">
        <f>'[7]HMO + PACE'!B42</f>
        <v>1679</v>
      </c>
      <c r="C38" s="3">
        <f>'[7]HMO + PACE'!C42</f>
        <v>590</v>
      </c>
      <c r="D38" s="3">
        <f>'[7]HMO + PACE'!D42</f>
        <v>3268</v>
      </c>
      <c r="E38" s="3">
        <f>'[7]HMO + PACE'!E42</f>
        <v>323</v>
      </c>
      <c r="F38" s="3">
        <f>'[7]HMO + PACE'!F42</f>
        <v>7902</v>
      </c>
      <c r="G38" s="3">
        <f>'[7]HMO + PACE'!G42</f>
        <v>4739</v>
      </c>
      <c r="H38" s="3">
        <f>'[7]HMO + PACE'!H42</f>
        <v>16220</v>
      </c>
      <c r="I38" s="3">
        <f>'[7]HMO + PACE'!I42</f>
        <v>6</v>
      </c>
      <c r="J38" s="3">
        <f>'[7]HMO + PACE'!J42</f>
        <v>4</v>
      </c>
      <c r="K38" s="3">
        <f>'[7]HMO + PACE'!K42</f>
        <v>0</v>
      </c>
      <c r="L38" s="3">
        <f>'[7]HMO + PACE'!L42</f>
        <v>2</v>
      </c>
      <c r="M38" s="3">
        <f>'[7]HMO + PACE'!M42</f>
        <v>622</v>
      </c>
      <c r="N38" s="3">
        <f>'[7]HMO + PACE'!N42</f>
        <v>73</v>
      </c>
      <c r="O38" s="3">
        <f>'[7]HMO + PACE'!O42</f>
        <v>0</v>
      </c>
      <c r="P38" s="3">
        <f>'[7]HMO + PACE'!P42</f>
        <v>0</v>
      </c>
      <c r="Q38" s="107">
        <f>'[7]HMO + PACE'!Q42</f>
        <v>35428</v>
      </c>
    </row>
    <row r="39" spans="1:17" ht="15.75" x14ac:dyDescent="0.2">
      <c r="A39" s="106">
        <f t="shared" si="8"/>
        <v>42767</v>
      </c>
      <c r="B39" s="3"/>
      <c r="C39" s="3"/>
      <c r="D39" s="3"/>
      <c r="E39" s="3"/>
      <c r="F39" s="3"/>
      <c r="G39" s="3"/>
      <c r="H39" s="3"/>
      <c r="I39" s="3"/>
      <c r="J39" s="3"/>
      <c r="K39" s="3"/>
      <c r="L39" s="3"/>
      <c r="M39" s="3"/>
      <c r="N39" s="3"/>
      <c r="O39" s="3"/>
      <c r="P39" s="3"/>
      <c r="Q39" s="107"/>
    </row>
    <row r="40" spans="1:17" ht="15.75" x14ac:dyDescent="0.2">
      <c r="A40" s="106">
        <f t="shared" si="8"/>
        <v>42795</v>
      </c>
      <c r="B40" s="3"/>
      <c r="C40" s="3"/>
      <c r="D40" s="3"/>
      <c r="E40" s="3"/>
      <c r="F40" s="3"/>
      <c r="G40" s="3"/>
      <c r="H40" s="3"/>
      <c r="I40" s="3"/>
      <c r="J40" s="3"/>
      <c r="K40" s="3"/>
      <c r="L40" s="3"/>
      <c r="M40" s="3"/>
      <c r="N40" s="3"/>
      <c r="O40" s="3"/>
      <c r="P40" s="3"/>
      <c r="Q40" s="107"/>
    </row>
    <row r="41" spans="1:17" ht="15.75" x14ac:dyDescent="0.2">
      <c r="A41" s="106">
        <f t="shared" si="8"/>
        <v>42826</v>
      </c>
      <c r="B41" s="3"/>
      <c r="C41" s="3"/>
      <c r="D41" s="3"/>
      <c r="E41" s="3"/>
      <c r="F41" s="3"/>
      <c r="G41" s="3"/>
      <c r="H41" s="3"/>
      <c r="I41" s="3"/>
      <c r="J41" s="3"/>
      <c r="K41" s="3"/>
      <c r="L41" s="3"/>
      <c r="M41" s="3"/>
      <c r="N41" s="3"/>
      <c r="O41" s="3"/>
      <c r="P41" s="3"/>
      <c r="Q41" s="107"/>
    </row>
    <row r="42" spans="1:17" ht="15.75" x14ac:dyDescent="0.2">
      <c r="A42" s="106">
        <f t="shared" si="8"/>
        <v>42856</v>
      </c>
      <c r="B42" s="3"/>
      <c r="C42" s="3"/>
      <c r="D42" s="3"/>
      <c r="E42" s="3"/>
      <c r="F42" s="3"/>
      <c r="G42" s="3"/>
      <c r="H42" s="3"/>
      <c r="I42" s="3"/>
      <c r="J42" s="3"/>
      <c r="K42" s="3"/>
      <c r="L42" s="3"/>
      <c r="M42" s="3"/>
      <c r="N42" s="3"/>
      <c r="O42" s="3"/>
      <c r="P42" s="3"/>
      <c r="Q42" s="107"/>
    </row>
    <row r="43" spans="1:17" ht="16.5" thickBot="1" x14ac:dyDescent="0.25">
      <c r="A43" s="147">
        <f t="shared" si="8"/>
        <v>42887</v>
      </c>
      <c r="B43" s="148"/>
      <c r="C43" s="148"/>
      <c r="D43" s="148"/>
      <c r="E43" s="148"/>
      <c r="F43" s="219"/>
      <c r="G43" s="219"/>
      <c r="H43" s="148"/>
      <c r="I43" s="148"/>
      <c r="J43" s="148"/>
      <c r="K43" s="148"/>
      <c r="L43" s="148"/>
      <c r="M43" s="148"/>
      <c r="N43" s="148"/>
      <c r="O43" s="148"/>
      <c r="P43" s="148"/>
      <c r="Q43" s="149"/>
    </row>
    <row r="44" spans="1:17" ht="17.25" thickTop="1" thickBot="1" x14ac:dyDescent="0.3">
      <c r="A44" s="114" t="str">
        <f t="shared" si="8"/>
        <v>FY 2016-17 Year-to-Date Average</v>
      </c>
      <c r="B44" s="5">
        <f>ROUND(+AVERAGE(B32:B43),0)</f>
        <v>1580</v>
      </c>
      <c r="C44" s="5">
        <f>ROUND(+AVERAGE(C32:C43),0)</f>
        <v>557</v>
      </c>
      <c r="D44" s="5">
        <f>ROUND(+AVERAGE(D32:D43),0)</f>
        <v>3053</v>
      </c>
      <c r="E44" s="5">
        <f t="shared" ref="E44:P44" si="9">ROUND(+AVERAGE(E32:E43),0)</f>
        <v>301</v>
      </c>
      <c r="F44" s="5">
        <f>ROUNDUP(+AVERAGE(F32:F43),0)</f>
        <v>7492</v>
      </c>
      <c r="G44" s="5">
        <f>ROUND(+AVERAGE(G32:G43),0)</f>
        <v>4947</v>
      </c>
      <c r="H44" s="5">
        <f>ROUNDUP(+AVERAGE(H32:H43),0)</f>
        <v>15153</v>
      </c>
      <c r="I44" s="5">
        <f t="shared" si="9"/>
        <v>6</v>
      </c>
      <c r="J44" s="5">
        <f>ROUND(+AVERAGE(J32:J43),0)</f>
        <v>5</v>
      </c>
      <c r="K44" s="5">
        <f t="shared" si="9"/>
        <v>0</v>
      </c>
      <c r="L44" s="5">
        <f t="shared" si="9"/>
        <v>0</v>
      </c>
      <c r="M44" s="5">
        <f t="shared" si="9"/>
        <v>618</v>
      </c>
      <c r="N44" s="5">
        <f t="shared" si="9"/>
        <v>70</v>
      </c>
      <c r="O44" s="5">
        <f t="shared" si="9"/>
        <v>0</v>
      </c>
      <c r="P44" s="5">
        <f t="shared" si="9"/>
        <v>2</v>
      </c>
      <c r="Q44" s="115">
        <f>ROUND(SUM(B44:P44),0)</f>
        <v>33784</v>
      </c>
    </row>
    <row r="45" spans="1:17" ht="16.5" thickBot="1" x14ac:dyDescent="0.25">
      <c r="A45" s="233" t="s">
        <v>303</v>
      </c>
      <c r="B45" s="234"/>
      <c r="C45" s="234"/>
      <c r="D45" s="234"/>
      <c r="E45" s="234"/>
      <c r="F45" s="234"/>
      <c r="G45" s="234"/>
      <c r="H45" s="234"/>
      <c r="I45" s="234"/>
      <c r="J45" s="234"/>
      <c r="K45" s="234"/>
      <c r="L45" s="234"/>
      <c r="M45" s="234"/>
      <c r="N45" s="234"/>
      <c r="O45" s="234"/>
      <c r="P45" s="234"/>
      <c r="Q45" s="235"/>
    </row>
    <row r="46" spans="1:17" ht="15.75" x14ac:dyDescent="0.2">
      <c r="A46" s="112">
        <f>A4</f>
        <v>42552</v>
      </c>
      <c r="B46" s="101">
        <f>'[7]HMO + PACE'!B102</f>
        <v>35</v>
      </c>
      <c r="C46" s="101">
        <f>'[7]HMO + PACE'!C102</f>
        <v>71</v>
      </c>
      <c r="D46" s="101">
        <f>'[7]HMO + PACE'!D102</f>
        <v>824</v>
      </c>
      <c r="E46" s="101">
        <f>'[7]HMO + PACE'!E102</f>
        <v>25</v>
      </c>
      <c r="F46" s="101">
        <f>'[7]HMO + PACE'!F102</f>
        <v>3458</v>
      </c>
      <c r="G46" s="101">
        <f>'[7]HMO + PACE'!G102</f>
        <v>2077</v>
      </c>
      <c r="H46" s="101">
        <f>'[7]HMO + PACE'!H102</f>
        <v>5351</v>
      </c>
      <c r="I46" s="101">
        <f>'[7]HMO + PACE'!I102</f>
        <v>0</v>
      </c>
      <c r="J46" s="101">
        <f>'[7]HMO + PACE'!J102</f>
        <v>9005</v>
      </c>
      <c r="K46" s="101">
        <f>'[7]HMO + PACE'!K102</f>
        <v>1615</v>
      </c>
      <c r="L46" s="101">
        <f>'[7]HMO + PACE'!L102</f>
        <v>333</v>
      </c>
      <c r="M46" s="101">
        <f>'[7]HMO + PACE'!M102</f>
        <v>179</v>
      </c>
      <c r="N46" s="101">
        <f>'[7]HMO + PACE'!N102</f>
        <v>19</v>
      </c>
      <c r="O46" s="101">
        <f>'[7]HMO + PACE'!O102</f>
        <v>0</v>
      </c>
      <c r="P46" s="101">
        <f>'[7]HMO + PACE'!P102</f>
        <v>0</v>
      </c>
      <c r="Q46" s="113">
        <f>'[7]HMO + PACE'!Q102</f>
        <v>22992</v>
      </c>
    </row>
    <row r="47" spans="1:17" ht="15.75" x14ac:dyDescent="0.2">
      <c r="A47" s="106">
        <f t="shared" ref="A47:A58" si="10">A5</f>
        <v>42583</v>
      </c>
      <c r="B47" s="3">
        <f>'[7]HMO + PACE'!B103</f>
        <v>33</v>
      </c>
      <c r="C47" s="3">
        <f>'[7]HMO + PACE'!C103</f>
        <v>70</v>
      </c>
      <c r="D47" s="3">
        <f>'[7]HMO + PACE'!D103</f>
        <v>810</v>
      </c>
      <c r="E47" s="3">
        <f>'[7]HMO + PACE'!E103</f>
        <v>24</v>
      </c>
      <c r="F47" s="3">
        <f>'[7]HMO + PACE'!F103</f>
        <v>3436</v>
      </c>
      <c r="G47" s="3">
        <f>'[7]HMO + PACE'!G103</f>
        <v>2038</v>
      </c>
      <c r="H47" s="3">
        <f>'[7]HMO + PACE'!H103</f>
        <v>5307</v>
      </c>
      <c r="I47" s="3">
        <f>'[7]HMO + PACE'!I103</f>
        <v>0</v>
      </c>
      <c r="J47" s="3">
        <f>'[7]HMO + PACE'!J103</f>
        <v>8925</v>
      </c>
      <c r="K47" s="3">
        <f>'[7]HMO + PACE'!K103</f>
        <v>1649</v>
      </c>
      <c r="L47" s="3">
        <f>'[7]HMO + PACE'!L103</f>
        <v>328</v>
      </c>
      <c r="M47" s="3">
        <f>'[7]HMO + PACE'!M103</f>
        <v>173</v>
      </c>
      <c r="N47" s="3">
        <f>'[7]HMO + PACE'!N103</f>
        <v>19</v>
      </c>
      <c r="O47" s="3">
        <f>'[7]HMO + PACE'!O103</f>
        <v>0</v>
      </c>
      <c r="P47" s="3">
        <f>'[7]HMO + PACE'!P103</f>
        <v>0</v>
      </c>
      <c r="Q47" s="107">
        <f>'[7]HMO + PACE'!Q103</f>
        <v>22812</v>
      </c>
    </row>
    <row r="48" spans="1:17" ht="15.75" x14ac:dyDescent="0.2">
      <c r="A48" s="106">
        <f t="shared" si="10"/>
        <v>42614</v>
      </c>
      <c r="B48" s="3">
        <f>'[7]HMO + PACE'!B104</f>
        <v>36</v>
      </c>
      <c r="C48" s="3">
        <f>'[7]HMO + PACE'!C104</f>
        <v>75</v>
      </c>
      <c r="D48" s="3">
        <f>'[7]HMO + PACE'!D104</f>
        <v>796</v>
      </c>
      <c r="E48" s="3">
        <f>'[7]HMO + PACE'!E104</f>
        <v>28</v>
      </c>
      <c r="F48" s="3">
        <f>'[7]HMO + PACE'!F104</f>
        <v>3434</v>
      </c>
      <c r="G48" s="3">
        <f>'[7]HMO + PACE'!G104</f>
        <v>2051</v>
      </c>
      <c r="H48" s="3">
        <f>'[7]HMO + PACE'!H104</f>
        <v>5350</v>
      </c>
      <c r="I48" s="3">
        <f>'[7]HMO + PACE'!I104</f>
        <v>0</v>
      </c>
      <c r="J48" s="3">
        <f>'[7]HMO + PACE'!J104</f>
        <v>8965</v>
      </c>
      <c r="K48" s="3">
        <f>'[7]HMO + PACE'!K104</f>
        <v>1632</v>
      </c>
      <c r="L48" s="3">
        <f>'[7]HMO + PACE'!L104</f>
        <v>319</v>
      </c>
      <c r="M48" s="3">
        <f>'[7]HMO + PACE'!M104</f>
        <v>163</v>
      </c>
      <c r="N48" s="3">
        <f>'[7]HMO + PACE'!N104</f>
        <v>20</v>
      </c>
      <c r="O48" s="3">
        <f>'[7]HMO + PACE'!O104</f>
        <v>0</v>
      </c>
      <c r="P48" s="3">
        <f>'[7]HMO + PACE'!P104</f>
        <v>2</v>
      </c>
      <c r="Q48" s="107">
        <f>'[7]HMO + PACE'!Q104</f>
        <v>22871</v>
      </c>
    </row>
    <row r="49" spans="1:17" ht="15.75" x14ac:dyDescent="0.2">
      <c r="A49" s="106">
        <f t="shared" si="10"/>
        <v>42644</v>
      </c>
      <c r="B49" s="3">
        <f>'[7]HMO + PACE'!B105</f>
        <v>36</v>
      </c>
      <c r="C49" s="3">
        <f>'[7]HMO + PACE'!C105</f>
        <v>75</v>
      </c>
      <c r="D49" s="3">
        <f>'[7]HMO + PACE'!D105</f>
        <v>789</v>
      </c>
      <c r="E49" s="3">
        <f>'[7]HMO + PACE'!E105</f>
        <v>28</v>
      </c>
      <c r="F49" s="3">
        <f>'[7]HMO + PACE'!F105</f>
        <v>3447</v>
      </c>
      <c r="G49" s="3">
        <f>'[7]HMO + PACE'!G105</f>
        <v>1971</v>
      </c>
      <c r="H49" s="3">
        <f>'[7]HMO + PACE'!H105</f>
        <v>5208</v>
      </c>
      <c r="I49" s="3">
        <f>'[7]HMO + PACE'!I105</f>
        <v>0</v>
      </c>
      <c r="J49" s="3">
        <f>'[7]HMO + PACE'!J105</f>
        <v>8884</v>
      </c>
      <c r="K49" s="3">
        <f>'[7]HMO + PACE'!K105</f>
        <v>1629</v>
      </c>
      <c r="L49" s="3">
        <f>'[7]HMO + PACE'!L105</f>
        <v>316</v>
      </c>
      <c r="M49" s="3">
        <f>'[7]HMO + PACE'!M105</f>
        <v>163</v>
      </c>
      <c r="N49" s="3">
        <f>'[7]HMO + PACE'!N105</f>
        <v>19</v>
      </c>
      <c r="O49" s="3">
        <f>'[7]HMO + PACE'!O105</f>
        <v>0</v>
      </c>
      <c r="P49" s="3">
        <f>'[7]HMO + PACE'!P105</f>
        <v>1</v>
      </c>
      <c r="Q49" s="107">
        <f>'[7]HMO + PACE'!Q105</f>
        <v>22566</v>
      </c>
    </row>
    <row r="50" spans="1:17" ht="15.75" x14ac:dyDescent="0.2">
      <c r="A50" s="106">
        <f t="shared" si="10"/>
        <v>42675</v>
      </c>
      <c r="B50" s="3">
        <f>'[7]HMO + PACE'!B106</f>
        <v>38</v>
      </c>
      <c r="C50" s="3">
        <f>'[7]HMO + PACE'!C106</f>
        <v>73</v>
      </c>
      <c r="D50" s="3">
        <f>'[7]HMO + PACE'!D106</f>
        <v>790</v>
      </c>
      <c r="E50" s="3">
        <f>'[7]HMO + PACE'!E106</f>
        <v>25</v>
      </c>
      <c r="F50" s="3">
        <f>'[7]HMO + PACE'!F106</f>
        <v>3455</v>
      </c>
      <c r="G50" s="3">
        <f>'[7]HMO + PACE'!G106</f>
        <v>1974</v>
      </c>
      <c r="H50" s="3">
        <f>'[7]HMO + PACE'!H106</f>
        <v>5214</v>
      </c>
      <c r="I50" s="3">
        <f>'[7]HMO + PACE'!I106</f>
        <v>0</v>
      </c>
      <c r="J50" s="3">
        <f>'[7]HMO + PACE'!J106</f>
        <v>8918</v>
      </c>
      <c r="K50" s="3">
        <f>'[7]HMO + PACE'!K106</f>
        <v>1544</v>
      </c>
      <c r="L50" s="3">
        <f>'[7]HMO + PACE'!L106</f>
        <v>305</v>
      </c>
      <c r="M50" s="3">
        <f>'[7]HMO + PACE'!M106</f>
        <v>160</v>
      </c>
      <c r="N50" s="3">
        <f>'[7]HMO + PACE'!N106</f>
        <v>19</v>
      </c>
      <c r="O50" s="3">
        <f>'[7]HMO + PACE'!O106</f>
        <v>0</v>
      </c>
      <c r="P50" s="3">
        <f>'[7]HMO + PACE'!P106</f>
        <v>0</v>
      </c>
      <c r="Q50" s="107">
        <f>'[7]HMO + PACE'!Q106</f>
        <v>22515</v>
      </c>
    </row>
    <row r="51" spans="1:17" ht="15.75" x14ac:dyDescent="0.2">
      <c r="A51" s="106">
        <f t="shared" si="10"/>
        <v>42705</v>
      </c>
      <c r="B51" s="3">
        <f>'[7]HMO + PACE'!B107</f>
        <v>39</v>
      </c>
      <c r="C51" s="3">
        <f>'[7]HMO + PACE'!C107</f>
        <v>74</v>
      </c>
      <c r="D51" s="3">
        <f>'[7]HMO + PACE'!D107</f>
        <v>752</v>
      </c>
      <c r="E51" s="3">
        <f>'[7]HMO + PACE'!E107</f>
        <v>21</v>
      </c>
      <c r="F51" s="3">
        <f>'[7]HMO + PACE'!F107</f>
        <v>3428</v>
      </c>
      <c r="G51" s="3">
        <f>'[7]HMO + PACE'!G107</f>
        <v>1968</v>
      </c>
      <c r="H51" s="3">
        <f>'[7]HMO + PACE'!H107</f>
        <v>5197</v>
      </c>
      <c r="I51" s="3">
        <f>'[7]HMO + PACE'!I107</f>
        <v>0</v>
      </c>
      <c r="J51" s="3">
        <f>'[7]HMO + PACE'!J107</f>
        <v>8800</v>
      </c>
      <c r="K51" s="3">
        <f>'[7]HMO + PACE'!K107</f>
        <v>1559</v>
      </c>
      <c r="L51" s="3">
        <f>'[7]HMO + PACE'!L107</f>
        <v>306</v>
      </c>
      <c r="M51" s="3">
        <f>'[7]HMO + PACE'!M107</f>
        <v>160</v>
      </c>
      <c r="N51" s="3">
        <f>'[7]HMO + PACE'!N107</f>
        <v>21</v>
      </c>
      <c r="O51" s="3">
        <f>'[7]HMO + PACE'!O107</f>
        <v>0</v>
      </c>
      <c r="P51" s="3">
        <f>'[7]HMO + PACE'!P107</f>
        <v>0</v>
      </c>
      <c r="Q51" s="107">
        <f>'[7]HMO + PACE'!Q107</f>
        <v>22325</v>
      </c>
    </row>
    <row r="52" spans="1:17" ht="15.75" x14ac:dyDescent="0.2">
      <c r="A52" s="106">
        <f t="shared" si="10"/>
        <v>42736</v>
      </c>
      <c r="B52" s="3">
        <f>'[7]HMO + PACE'!B108</f>
        <v>36</v>
      </c>
      <c r="C52" s="3">
        <f>'[7]HMO + PACE'!C108</f>
        <v>77</v>
      </c>
      <c r="D52" s="3">
        <f>'[7]HMO + PACE'!D108</f>
        <v>767</v>
      </c>
      <c r="E52" s="3">
        <f>'[7]HMO + PACE'!E108</f>
        <v>22</v>
      </c>
      <c r="F52" s="3">
        <f>'[7]HMO + PACE'!F108</f>
        <v>3383</v>
      </c>
      <c r="G52" s="3">
        <f>'[7]HMO + PACE'!G108</f>
        <v>1870</v>
      </c>
      <c r="H52" s="3">
        <f>'[7]HMO + PACE'!H108</f>
        <v>5176</v>
      </c>
      <c r="I52" s="3">
        <f>'[7]HMO + PACE'!I108</f>
        <v>0</v>
      </c>
      <c r="J52" s="3">
        <f>'[7]HMO + PACE'!J108</f>
        <v>8603</v>
      </c>
      <c r="K52" s="3">
        <f>'[7]HMO + PACE'!K108</f>
        <v>1609</v>
      </c>
      <c r="L52" s="3">
        <f>'[7]HMO + PACE'!L108</f>
        <v>303</v>
      </c>
      <c r="M52" s="3">
        <f>'[7]HMO + PACE'!M108</f>
        <v>165</v>
      </c>
      <c r="N52" s="3">
        <f>'[7]HMO + PACE'!N108</f>
        <v>23</v>
      </c>
      <c r="O52" s="3">
        <f>'[7]HMO + PACE'!O108</f>
        <v>0</v>
      </c>
      <c r="P52" s="3">
        <f>'[7]HMO + PACE'!P108</f>
        <v>0</v>
      </c>
      <c r="Q52" s="107">
        <f>'[7]HMO + PACE'!Q108</f>
        <v>22034</v>
      </c>
    </row>
    <row r="53" spans="1:17" ht="15.75" x14ac:dyDescent="0.2">
      <c r="A53" s="106">
        <f t="shared" si="10"/>
        <v>42767</v>
      </c>
      <c r="B53" s="3"/>
      <c r="C53" s="3"/>
      <c r="D53" s="3"/>
      <c r="E53" s="3"/>
      <c r="F53" s="3"/>
      <c r="G53" s="3"/>
      <c r="H53" s="3"/>
      <c r="I53" s="3"/>
      <c r="J53" s="3"/>
      <c r="K53" s="3"/>
      <c r="L53" s="3"/>
      <c r="M53" s="3"/>
      <c r="N53" s="3"/>
      <c r="O53" s="3"/>
      <c r="P53" s="3"/>
      <c r="Q53" s="107"/>
    </row>
    <row r="54" spans="1:17" ht="15.75" x14ac:dyDescent="0.2">
      <c r="A54" s="106">
        <f t="shared" si="10"/>
        <v>42795</v>
      </c>
      <c r="B54" s="3"/>
      <c r="C54" s="3"/>
      <c r="D54" s="3"/>
      <c r="E54" s="3"/>
      <c r="F54" s="3"/>
      <c r="G54" s="3"/>
      <c r="H54" s="3"/>
      <c r="I54" s="3"/>
      <c r="J54" s="3"/>
      <c r="K54" s="3"/>
      <c r="L54" s="3"/>
      <c r="M54" s="3"/>
      <c r="N54" s="3"/>
      <c r="O54" s="3"/>
      <c r="P54" s="3"/>
      <c r="Q54" s="107"/>
    </row>
    <row r="55" spans="1:17" ht="15.75" x14ac:dyDescent="0.2">
      <c r="A55" s="106">
        <f t="shared" si="10"/>
        <v>42826</v>
      </c>
      <c r="B55" s="3"/>
      <c r="C55" s="3"/>
      <c r="D55" s="3"/>
      <c r="E55" s="3"/>
      <c r="F55" s="3"/>
      <c r="G55" s="3"/>
      <c r="H55" s="3"/>
      <c r="I55" s="3"/>
      <c r="J55" s="3"/>
      <c r="K55" s="3"/>
      <c r="L55" s="3"/>
      <c r="M55" s="3"/>
      <c r="N55" s="3"/>
      <c r="O55" s="3"/>
      <c r="P55" s="3"/>
      <c r="Q55" s="107"/>
    </row>
    <row r="56" spans="1:17" ht="15.75" x14ac:dyDescent="0.2">
      <c r="A56" s="106">
        <f t="shared" si="10"/>
        <v>42856</v>
      </c>
      <c r="B56" s="3"/>
      <c r="C56" s="3"/>
      <c r="D56" s="3"/>
      <c r="E56" s="3"/>
      <c r="F56" s="3"/>
      <c r="G56" s="3"/>
      <c r="H56" s="3"/>
      <c r="I56" s="3"/>
      <c r="J56" s="3"/>
      <c r="K56" s="3"/>
      <c r="L56" s="3"/>
      <c r="M56" s="3"/>
      <c r="N56" s="3"/>
      <c r="O56" s="3"/>
      <c r="P56" s="3"/>
      <c r="Q56" s="107"/>
    </row>
    <row r="57" spans="1:17" ht="16.5" thickBot="1" x14ac:dyDescent="0.25">
      <c r="A57" s="147">
        <f t="shared" si="10"/>
        <v>42887</v>
      </c>
      <c r="B57" s="148"/>
      <c r="C57" s="148"/>
      <c r="D57" s="148"/>
      <c r="E57" s="148"/>
      <c r="F57" s="219"/>
      <c r="G57" s="219"/>
      <c r="H57" s="148"/>
      <c r="I57" s="148"/>
      <c r="J57" s="148"/>
      <c r="K57" s="148"/>
      <c r="L57" s="148"/>
      <c r="M57" s="148"/>
      <c r="N57" s="148"/>
      <c r="O57" s="148"/>
      <c r="P57" s="148"/>
      <c r="Q57" s="149"/>
    </row>
    <row r="58" spans="1:17" ht="17.25" thickTop="1" thickBot="1" x14ac:dyDescent="0.3">
      <c r="A58" s="114" t="str">
        <f t="shared" si="10"/>
        <v>FY 2016-17 Year-to-Date Average</v>
      </c>
      <c r="B58" s="5">
        <f t="shared" ref="B58:H58" si="11">ROUND(+AVERAGE(B46:B57),0)</f>
        <v>36</v>
      </c>
      <c r="C58" s="5">
        <f t="shared" si="11"/>
        <v>74</v>
      </c>
      <c r="D58" s="5">
        <f t="shared" si="11"/>
        <v>790</v>
      </c>
      <c r="E58" s="5">
        <f t="shared" si="11"/>
        <v>25</v>
      </c>
      <c r="F58" s="5">
        <f t="shared" si="11"/>
        <v>3434</v>
      </c>
      <c r="G58" s="5">
        <f t="shared" si="11"/>
        <v>1993</v>
      </c>
      <c r="H58" s="5">
        <f t="shared" si="11"/>
        <v>5258</v>
      </c>
      <c r="I58" s="5">
        <f t="shared" ref="I58:P58" si="12">ROUND(+AVERAGE(I46:I57),0)</f>
        <v>0</v>
      </c>
      <c r="J58" s="5">
        <f t="shared" si="12"/>
        <v>8871</v>
      </c>
      <c r="K58" s="5">
        <f t="shared" si="12"/>
        <v>1605</v>
      </c>
      <c r="L58" s="5">
        <f t="shared" si="12"/>
        <v>316</v>
      </c>
      <c r="M58" s="5">
        <f t="shared" si="12"/>
        <v>166</v>
      </c>
      <c r="N58" s="5">
        <f t="shared" si="12"/>
        <v>20</v>
      </c>
      <c r="O58" s="5">
        <f t="shared" si="12"/>
        <v>0</v>
      </c>
      <c r="P58" s="5">
        <f t="shared" si="12"/>
        <v>0</v>
      </c>
      <c r="Q58" s="115">
        <f>ROUND(SUM(B58:P58),0)</f>
        <v>22588</v>
      </c>
    </row>
    <row r="59" spans="1:17" ht="16.5" thickBot="1" x14ac:dyDescent="0.25">
      <c r="A59" s="233" t="s">
        <v>165</v>
      </c>
      <c r="B59" s="234"/>
      <c r="C59" s="234"/>
      <c r="D59" s="234"/>
      <c r="E59" s="234"/>
      <c r="F59" s="234"/>
      <c r="G59" s="234"/>
      <c r="H59" s="234"/>
      <c r="I59" s="234"/>
      <c r="J59" s="234"/>
      <c r="K59" s="234"/>
      <c r="L59" s="234"/>
      <c r="M59" s="234"/>
      <c r="N59" s="234"/>
      <c r="O59" s="234"/>
      <c r="P59" s="234"/>
      <c r="Q59" s="235"/>
    </row>
    <row r="60" spans="1:17" ht="15.75" x14ac:dyDescent="0.2">
      <c r="A60" s="112">
        <f>A4</f>
        <v>42552</v>
      </c>
      <c r="B60" s="101">
        <f>'[7]HMO + PACE'!B85</f>
        <v>2526</v>
      </c>
      <c r="C60" s="101">
        <f>'[7]HMO + PACE'!C85</f>
        <v>914</v>
      </c>
      <c r="D60" s="101">
        <f>'[7]HMO + PACE'!D85</f>
        <v>4285</v>
      </c>
      <c r="E60" s="101">
        <f>'[7]HMO + PACE'!E85</f>
        <v>47</v>
      </c>
      <c r="F60" s="101">
        <f>'[7]HMO + PACE'!F85</f>
        <v>9271</v>
      </c>
      <c r="G60" s="101">
        <f>'[7]HMO + PACE'!G85</f>
        <v>4185</v>
      </c>
      <c r="H60" s="101">
        <f>'[7]HMO + PACE'!H85</f>
        <v>13795</v>
      </c>
      <c r="I60" s="101">
        <f>'[7]HMO + PACE'!I85</f>
        <v>2</v>
      </c>
      <c r="J60" s="101">
        <f>'[7]HMO + PACE'!J85</f>
        <v>34350</v>
      </c>
      <c r="K60" s="101">
        <f>'[7]HMO + PACE'!K85</f>
        <v>4496</v>
      </c>
      <c r="L60" s="101">
        <f>'[7]HMO + PACE'!L85</f>
        <v>276</v>
      </c>
      <c r="M60" s="101">
        <f>'[7]HMO + PACE'!M85</f>
        <v>646</v>
      </c>
      <c r="N60" s="101">
        <f>'[7]HMO + PACE'!N85</f>
        <v>67</v>
      </c>
      <c r="O60" s="101">
        <f>'[7]HMO + PACE'!O85</f>
        <v>0</v>
      </c>
      <c r="P60" s="101">
        <f>'[7]HMO + PACE'!P85</f>
        <v>2</v>
      </c>
      <c r="Q60" s="113">
        <f>'[7]HMO + PACE'!Q85</f>
        <v>74862</v>
      </c>
    </row>
    <row r="61" spans="1:17" ht="15.75" x14ac:dyDescent="0.2">
      <c r="A61" s="106">
        <f t="shared" ref="A61:A72" si="13">A5</f>
        <v>42583</v>
      </c>
      <c r="B61" s="3">
        <f>'[7]HMO + PACE'!B86</f>
        <v>2570</v>
      </c>
      <c r="C61" s="3">
        <f>'[7]HMO + PACE'!C86</f>
        <v>914</v>
      </c>
      <c r="D61" s="3">
        <f>'[7]HMO + PACE'!D86</f>
        <v>4270</v>
      </c>
      <c r="E61" s="3">
        <f>'[7]HMO + PACE'!E86</f>
        <v>48</v>
      </c>
      <c r="F61" s="3">
        <f>'[7]HMO + PACE'!F86</f>
        <v>9130</v>
      </c>
      <c r="G61" s="3">
        <f>'[7]HMO + PACE'!G86</f>
        <v>4142</v>
      </c>
      <c r="H61" s="3">
        <f>'[7]HMO + PACE'!H86</f>
        <v>14448</v>
      </c>
      <c r="I61" s="3">
        <f>'[7]HMO + PACE'!I86</f>
        <v>1</v>
      </c>
      <c r="J61" s="3">
        <f>'[7]HMO + PACE'!J86</f>
        <v>34158</v>
      </c>
      <c r="K61" s="3">
        <f>'[7]HMO + PACE'!K86</f>
        <v>4554</v>
      </c>
      <c r="L61" s="3">
        <f>'[7]HMO + PACE'!L86</f>
        <v>269</v>
      </c>
      <c r="M61" s="3">
        <f>'[7]HMO + PACE'!M86</f>
        <v>665</v>
      </c>
      <c r="N61" s="3">
        <f>'[7]HMO + PACE'!N86</f>
        <v>65</v>
      </c>
      <c r="O61" s="3">
        <f>'[7]HMO + PACE'!O86</f>
        <v>0</v>
      </c>
      <c r="P61" s="3">
        <f>'[7]HMO + PACE'!P86</f>
        <v>3</v>
      </c>
      <c r="Q61" s="107">
        <f>'[7]HMO + PACE'!Q86</f>
        <v>75237</v>
      </c>
    </row>
    <row r="62" spans="1:17" ht="15.75" x14ac:dyDescent="0.2">
      <c r="A62" s="106">
        <f t="shared" si="13"/>
        <v>42614</v>
      </c>
      <c r="B62" s="3">
        <f>'[7]HMO + PACE'!B87</f>
        <v>2602</v>
      </c>
      <c r="C62" s="3">
        <f>'[7]HMO + PACE'!C87</f>
        <v>919</v>
      </c>
      <c r="D62" s="3">
        <f>'[7]HMO + PACE'!D87</f>
        <v>4256</v>
      </c>
      <c r="E62" s="3">
        <f>'[7]HMO + PACE'!E87</f>
        <v>42</v>
      </c>
      <c r="F62" s="3">
        <f>'[7]HMO + PACE'!F87</f>
        <v>9164</v>
      </c>
      <c r="G62" s="3">
        <f>'[7]HMO + PACE'!G87</f>
        <v>4119</v>
      </c>
      <c r="H62" s="3">
        <f>'[7]HMO + PACE'!H87</f>
        <v>14978</v>
      </c>
      <c r="I62" s="3">
        <f>'[7]HMO + PACE'!I87</f>
        <v>1</v>
      </c>
      <c r="J62" s="3">
        <f>'[7]HMO + PACE'!J87</f>
        <v>33849</v>
      </c>
      <c r="K62" s="3">
        <f>'[7]HMO + PACE'!K87</f>
        <v>4561</v>
      </c>
      <c r="L62" s="3">
        <f>'[7]HMO + PACE'!L87</f>
        <v>239</v>
      </c>
      <c r="M62" s="3">
        <f>'[7]HMO + PACE'!M87</f>
        <v>615</v>
      </c>
      <c r="N62" s="3">
        <f>'[7]HMO + PACE'!N87</f>
        <v>64</v>
      </c>
      <c r="O62" s="3">
        <f>'[7]HMO + PACE'!O87</f>
        <v>0</v>
      </c>
      <c r="P62" s="3">
        <f>'[7]HMO + PACE'!P87</f>
        <v>4</v>
      </c>
      <c r="Q62" s="107">
        <f>'[7]HMO + PACE'!Q87</f>
        <v>75413</v>
      </c>
    </row>
    <row r="63" spans="1:17" ht="15.75" x14ac:dyDescent="0.2">
      <c r="A63" s="106">
        <f t="shared" si="13"/>
        <v>42644</v>
      </c>
      <c r="B63" s="3">
        <f>'[7]HMO + PACE'!B88</f>
        <v>2601</v>
      </c>
      <c r="C63" s="3">
        <f>'[7]HMO + PACE'!C88</f>
        <v>925</v>
      </c>
      <c r="D63" s="3">
        <f>'[7]HMO + PACE'!D88</f>
        <v>4226</v>
      </c>
      <c r="E63" s="3">
        <f>'[7]HMO + PACE'!E88</f>
        <v>46</v>
      </c>
      <c r="F63" s="3">
        <f>'[7]HMO + PACE'!F88</f>
        <v>9271</v>
      </c>
      <c r="G63" s="3">
        <f>'[7]HMO + PACE'!G88</f>
        <v>3915</v>
      </c>
      <c r="H63" s="3">
        <f>'[7]HMO + PACE'!H88</f>
        <v>14988</v>
      </c>
      <c r="I63" s="3">
        <f>'[7]HMO + PACE'!I88</f>
        <v>1</v>
      </c>
      <c r="J63" s="3">
        <f>'[7]HMO + PACE'!J88</f>
        <v>33631</v>
      </c>
      <c r="K63" s="3">
        <f>'[7]HMO + PACE'!K88</f>
        <v>4556</v>
      </c>
      <c r="L63" s="3">
        <f>'[7]HMO + PACE'!L88</f>
        <v>239</v>
      </c>
      <c r="M63" s="3">
        <f>'[7]HMO + PACE'!M88</f>
        <v>598</v>
      </c>
      <c r="N63" s="3">
        <f>'[7]HMO + PACE'!N88</f>
        <v>64</v>
      </c>
      <c r="O63" s="3">
        <f>'[7]HMO + PACE'!O88</f>
        <v>0</v>
      </c>
      <c r="P63" s="3">
        <f>'[7]HMO + PACE'!P88</f>
        <v>2</v>
      </c>
      <c r="Q63" s="107">
        <f>'[7]HMO + PACE'!Q88</f>
        <v>75063</v>
      </c>
    </row>
    <row r="64" spans="1:17" ht="15.75" x14ac:dyDescent="0.2">
      <c r="A64" s="106">
        <f t="shared" si="13"/>
        <v>42675</v>
      </c>
      <c r="B64" s="3">
        <f>'[7]HMO + PACE'!B89</f>
        <v>2661</v>
      </c>
      <c r="C64" s="3">
        <f>'[7]HMO + PACE'!C89</f>
        <v>934</v>
      </c>
      <c r="D64" s="3">
        <f>'[7]HMO + PACE'!D89</f>
        <v>4203</v>
      </c>
      <c r="E64" s="3">
        <f>'[7]HMO + PACE'!E89</f>
        <v>48</v>
      </c>
      <c r="F64" s="3">
        <f>'[7]HMO + PACE'!F89</f>
        <v>9362</v>
      </c>
      <c r="G64" s="3">
        <f>'[7]HMO + PACE'!G89</f>
        <v>3940</v>
      </c>
      <c r="H64" s="3">
        <f>'[7]HMO + PACE'!H89</f>
        <v>15684</v>
      </c>
      <c r="I64" s="3">
        <f>'[7]HMO + PACE'!I89</f>
        <v>1</v>
      </c>
      <c r="J64" s="3">
        <f>'[7]HMO + PACE'!J89</f>
        <v>33728</v>
      </c>
      <c r="K64" s="3">
        <f>'[7]HMO + PACE'!K89</f>
        <v>4322</v>
      </c>
      <c r="L64" s="3">
        <f>'[7]HMO + PACE'!L89</f>
        <v>216</v>
      </c>
      <c r="M64" s="3">
        <f>'[7]HMO + PACE'!M89</f>
        <v>583</v>
      </c>
      <c r="N64" s="3">
        <f>'[7]HMO + PACE'!N89</f>
        <v>50</v>
      </c>
      <c r="O64" s="3">
        <f>'[7]HMO + PACE'!O89</f>
        <v>0</v>
      </c>
      <c r="P64" s="3">
        <f>'[7]HMO + PACE'!P89</f>
        <v>0</v>
      </c>
      <c r="Q64" s="107">
        <f>'[7]HMO + PACE'!Q89</f>
        <v>75732</v>
      </c>
    </row>
    <row r="65" spans="1:17" ht="15.75" x14ac:dyDescent="0.2">
      <c r="A65" s="106">
        <f t="shared" si="13"/>
        <v>42705</v>
      </c>
      <c r="B65" s="3">
        <f>'[7]HMO + PACE'!B90</f>
        <v>2616</v>
      </c>
      <c r="C65" s="3">
        <f>'[7]HMO + PACE'!C90</f>
        <v>918</v>
      </c>
      <c r="D65" s="3">
        <f>'[7]HMO + PACE'!D90</f>
        <v>4118</v>
      </c>
      <c r="E65" s="3">
        <f>'[7]HMO + PACE'!E90</f>
        <v>49</v>
      </c>
      <c r="F65" s="3">
        <f>'[7]HMO + PACE'!F90</f>
        <v>9405</v>
      </c>
      <c r="G65" s="3">
        <f>'[7]HMO + PACE'!G90</f>
        <v>3959</v>
      </c>
      <c r="H65" s="3">
        <f>'[7]HMO + PACE'!H90</f>
        <v>15988</v>
      </c>
      <c r="I65" s="3">
        <f>'[7]HMO + PACE'!I90</f>
        <v>1</v>
      </c>
      <c r="J65" s="3">
        <f>'[7]HMO + PACE'!J90</f>
        <v>33434</v>
      </c>
      <c r="K65" s="3">
        <f>'[7]HMO + PACE'!K90</f>
        <v>4429</v>
      </c>
      <c r="L65" s="3">
        <f>'[7]HMO + PACE'!L90</f>
        <v>210</v>
      </c>
      <c r="M65" s="3">
        <f>'[7]HMO + PACE'!M90</f>
        <v>552</v>
      </c>
      <c r="N65" s="3">
        <f>'[7]HMO + PACE'!N90</f>
        <v>49</v>
      </c>
      <c r="O65" s="3">
        <f>'[7]HMO + PACE'!O90</f>
        <v>0</v>
      </c>
      <c r="P65" s="3">
        <f>'[7]HMO + PACE'!P90</f>
        <v>2</v>
      </c>
      <c r="Q65" s="107">
        <f>'[7]HMO + PACE'!Q90</f>
        <v>75730</v>
      </c>
    </row>
    <row r="66" spans="1:17" ht="15.75" x14ac:dyDescent="0.2">
      <c r="A66" s="106">
        <f t="shared" si="13"/>
        <v>42736</v>
      </c>
      <c r="B66" s="3">
        <f>'[7]HMO + PACE'!B91</f>
        <v>2696</v>
      </c>
      <c r="C66" s="3">
        <f>'[7]HMO + PACE'!C91</f>
        <v>940</v>
      </c>
      <c r="D66" s="3">
        <f>'[7]HMO + PACE'!D91</f>
        <v>4228</v>
      </c>
      <c r="E66" s="3">
        <f>'[7]HMO + PACE'!E91</f>
        <v>45</v>
      </c>
      <c r="F66" s="3">
        <f>'[7]HMO + PACE'!F91</f>
        <v>9394</v>
      </c>
      <c r="G66" s="3">
        <f>'[7]HMO + PACE'!G91</f>
        <v>3680</v>
      </c>
      <c r="H66" s="3">
        <f>'[7]HMO + PACE'!H91</f>
        <v>16088</v>
      </c>
      <c r="I66" s="3">
        <f>'[7]HMO + PACE'!I91</f>
        <v>1</v>
      </c>
      <c r="J66" s="3">
        <f>'[7]HMO + PACE'!J91</f>
        <v>33187</v>
      </c>
      <c r="K66" s="3">
        <f>'[7]HMO + PACE'!K91</f>
        <v>4531</v>
      </c>
      <c r="L66" s="3">
        <f>'[7]HMO + PACE'!L91</f>
        <v>200</v>
      </c>
      <c r="M66" s="3">
        <f>'[7]HMO + PACE'!M91</f>
        <v>565</v>
      </c>
      <c r="N66" s="3">
        <f>'[7]HMO + PACE'!N91</f>
        <v>46</v>
      </c>
      <c r="O66" s="3">
        <f>'[7]HMO + PACE'!O91</f>
        <v>2</v>
      </c>
      <c r="P66" s="3">
        <f>'[7]HMO + PACE'!P91</f>
        <v>2</v>
      </c>
      <c r="Q66" s="107">
        <f>'[7]HMO + PACE'!Q91</f>
        <v>75605</v>
      </c>
    </row>
    <row r="67" spans="1:17" ht="15.75" x14ac:dyDescent="0.2">
      <c r="A67" s="106">
        <f t="shared" si="13"/>
        <v>42767</v>
      </c>
      <c r="B67" s="3"/>
      <c r="C67" s="3"/>
      <c r="D67" s="3"/>
      <c r="E67" s="3"/>
      <c r="F67" s="3"/>
      <c r="G67" s="3"/>
      <c r="H67" s="3"/>
      <c r="I67" s="3"/>
      <c r="J67" s="3"/>
      <c r="K67" s="3"/>
      <c r="L67" s="3"/>
      <c r="M67" s="3"/>
      <c r="N67" s="3"/>
      <c r="O67" s="3"/>
      <c r="P67" s="3"/>
      <c r="Q67" s="107"/>
    </row>
    <row r="68" spans="1:17" ht="15.75" x14ac:dyDescent="0.2">
      <c r="A68" s="106">
        <f t="shared" si="13"/>
        <v>42795</v>
      </c>
      <c r="B68" s="3"/>
      <c r="C68" s="3"/>
      <c r="D68" s="3"/>
      <c r="E68" s="3"/>
      <c r="F68" s="3"/>
      <c r="G68" s="3"/>
      <c r="H68" s="3"/>
      <c r="I68" s="3"/>
      <c r="J68" s="3"/>
      <c r="K68" s="3"/>
      <c r="L68" s="3"/>
      <c r="M68" s="3"/>
      <c r="N68" s="3"/>
      <c r="O68" s="3"/>
      <c r="P68" s="3"/>
      <c r="Q68" s="107"/>
    </row>
    <row r="69" spans="1:17" ht="15.75" x14ac:dyDescent="0.2">
      <c r="A69" s="106">
        <f t="shared" si="13"/>
        <v>42826</v>
      </c>
      <c r="B69" s="3"/>
      <c r="C69" s="3"/>
      <c r="D69" s="3"/>
      <c r="E69" s="3"/>
      <c r="F69" s="3"/>
      <c r="G69" s="3"/>
      <c r="H69" s="3"/>
      <c r="I69" s="3"/>
      <c r="J69" s="3"/>
      <c r="K69" s="3"/>
      <c r="L69" s="3"/>
      <c r="M69" s="3"/>
      <c r="N69" s="3"/>
      <c r="O69" s="3"/>
      <c r="P69" s="3"/>
      <c r="Q69" s="107"/>
    </row>
    <row r="70" spans="1:17" ht="15.75" x14ac:dyDescent="0.2">
      <c r="A70" s="106">
        <f t="shared" si="13"/>
        <v>42856</v>
      </c>
      <c r="B70" s="3"/>
      <c r="C70" s="3"/>
      <c r="D70" s="3"/>
      <c r="E70" s="3"/>
      <c r="F70" s="3"/>
      <c r="G70" s="3"/>
      <c r="H70" s="3"/>
      <c r="I70" s="3"/>
      <c r="J70" s="3"/>
      <c r="K70" s="3"/>
      <c r="L70" s="3"/>
      <c r="M70" s="3"/>
      <c r="N70" s="3"/>
      <c r="O70" s="3"/>
      <c r="P70" s="3"/>
      <c r="Q70" s="107"/>
    </row>
    <row r="71" spans="1:17" ht="16.5" thickBot="1" x14ac:dyDescent="0.25">
      <c r="A71" s="147">
        <f t="shared" si="13"/>
        <v>42887</v>
      </c>
      <c r="B71" s="148"/>
      <c r="C71" s="148"/>
      <c r="D71" s="148"/>
      <c r="E71" s="148"/>
      <c r="F71" s="219"/>
      <c r="G71" s="219"/>
      <c r="H71" s="148"/>
      <c r="I71" s="148"/>
      <c r="J71" s="148"/>
      <c r="K71" s="148"/>
      <c r="L71" s="148"/>
      <c r="M71" s="148"/>
      <c r="N71" s="148"/>
      <c r="O71" s="148"/>
      <c r="P71" s="148"/>
      <c r="Q71" s="149"/>
    </row>
    <row r="72" spans="1:17" ht="17.25" thickTop="1" thickBot="1" x14ac:dyDescent="0.3">
      <c r="A72" s="114" t="str">
        <f t="shared" si="13"/>
        <v>FY 2016-17 Year-to-Date Average</v>
      </c>
      <c r="B72" s="5">
        <f>ROUND(+AVERAGE(B60:B71),0)</f>
        <v>2610</v>
      </c>
      <c r="C72" s="5">
        <f>ROUND(+AVERAGE(C60:C71),0)</f>
        <v>923</v>
      </c>
      <c r="D72" s="5">
        <f>ROUND(+AVERAGE(D60:D71),0)</f>
        <v>4227</v>
      </c>
      <c r="E72" s="5">
        <f>ROUND(+AVERAGE(E60:E71),0)</f>
        <v>46</v>
      </c>
      <c r="F72" s="5">
        <f>ROUND(+AVERAGE(F60:F71),0)</f>
        <v>9285</v>
      </c>
      <c r="G72" s="5">
        <f t="shared" ref="G72:O72" si="14">ROUND(+AVERAGE(G60:G71),0)</f>
        <v>3991</v>
      </c>
      <c r="H72" s="5">
        <f>ROUNDUP(+AVERAGE(H60:H71),0)</f>
        <v>15139</v>
      </c>
      <c r="I72" s="5">
        <f t="shared" ref="I72:M72" si="15">ROUND(+AVERAGE(I60:I71),0)</f>
        <v>1</v>
      </c>
      <c r="J72" s="5">
        <f>ROUNDUP(+AVERAGE(J60:J71),0)</f>
        <v>33763</v>
      </c>
      <c r="K72" s="5">
        <f t="shared" si="15"/>
        <v>4493</v>
      </c>
      <c r="L72" s="5">
        <f t="shared" si="15"/>
        <v>236</v>
      </c>
      <c r="M72" s="5">
        <f t="shared" si="15"/>
        <v>603</v>
      </c>
      <c r="N72" s="5">
        <f t="shared" si="14"/>
        <v>58</v>
      </c>
      <c r="O72" s="5">
        <f t="shared" si="14"/>
        <v>0</v>
      </c>
      <c r="P72" s="5">
        <f>ROUND(+AVERAGE(P60:P71),0)</f>
        <v>2</v>
      </c>
      <c r="Q72" s="115">
        <f>ROUND(SUM(B72:P72),0)</f>
        <v>75377</v>
      </c>
    </row>
    <row r="73" spans="1:17" ht="19.5" thickBot="1" x14ac:dyDescent="0.25">
      <c r="A73" s="233" t="s">
        <v>328</v>
      </c>
      <c r="B73" s="234"/>
      <c r="C73" s="234"/>
      <c r="D73" s="234"/>
      <c r="E73" s="234"/>
      <c r="F73" s="234"/>
      <c r="G73" s="234"/>
      <c r="H73" s="234"/>
      <c r="I73" s="234"/>
      <c r="J73" s="234"/>
      <c r="K73" s="234"/>
      <c r="L73" s="234"/>
      <c r="M73" s="234"/>
      <c r="N73" s="234"/>
      <c r="O73" s="234"/>
      <c r="P73" s="234"/>
      <c r="Q73" s="235"/>
    </row>
    <row r="74" spans="1:17" ht="15.75" x14ac:dyDescent="0.2">
      <c r="A74" s="112">
        <f>A4</f>
        <v>42552</v>
      </c>
      <c r="B74" s="101">
        <f>'[7]HMO + PACE'!B150</f>
        <v>2501</v>
      </c>
      <c r="C74" s="101">
        <f>'[7]HMO + PACE'!C150</f>
        <v>348</v>
      </c>
      <c r="D74" s="101">
        <f>'[7]HMO + PACE'!D150</f>
        <v>169</v>
      </c>
      <c r="E74" s="101">
        <f>'[7]HMO + PACE'!E150</f>
        <v>0</v>
      </c>
      <c r="F74" s="101">
        <f>'[7]HMO + PACE'!F150</f>
        <v>0</v>
      </c>
      <c r="G74" s="101">
        <f>'[7]HMO + PACE'!G150</f>
        <v>0</v>
      </c>
      <c r="H74" s="101">
        <f>'[7]HMO + PACE'!H150</f>
        <v>0</v>
      </c>
      <c r="I74" s="101">
        <f>'[7]HMO + PACE'!I150</f>
        <v>0</v>
      </c>
      <c r="J74" s="101">
        <f>'[7]HMO + PACE'!J150</f>
        <v>0</v>
      </c>
      <c r="K74" s="101">
        <f>'[7]HMO + PACE'!K150</f>
        <v>0</v>
      </c>
      <c r="L74" s="101">
        <f>'[7]HMO + PACE'!L150</f>
        <v>0</v>
      </c>
      <c r="M74" s="101">
        <f>'[7]HMO + PACE'!M150</f>
        <v>0</v>
      </c>
      <c r="N74" s="101">
        <f>'[7]HMO + PACE'!N150</f>
        <v>0</v>
      </c>
      <c r="O74" s="101">
        <f>'[7]HMO + PACE'!O150</f>
        <v>0</v>
      </c>
      <c r="P74" s="101">
        <f>'[7]HMO + PACE'!P150</f>
        <v>0</v>
      </c>
      <c r="Q74" s="113">
        <f>'[7]HMO + PACE'!Q150</f>
        <v>3018</v>
      </c>
    </row>
    <row r="75" spans="1:17" ht="15.75" x14ac:dyDescent="0.2">
      <c r="A75" s="106">
        <f t="shared" ref="A75:A86" si="16">A5</f>
        <v>42583</v>
      </c>
      <c r="B75" s="3">
        <f>'[7]HMO + PACE'!B151</f>
        <v>1041</v>
      </c>
      <c r="C75" s="3">
        <f>'[7]HMO + PACE'!C151</f>
        <v>169</v>
      </c>
      <c r="D75" s="3">
        <f>'[7]HMO + PACE'!D151</f>
        <v>105</v>
      </c>
      <c r="E75" s="3">
        <f>'[7]HMO + PACE'!E151</f>
        <v>0</v>
      </c>
      <c r="F75" s="3">
        <f>'[7]HMO + PACE'!F151</f>
        <v>0</v>
      </c>
      <c r="G75" s="3">
        <f>'[7]HMO + PACE'!G151</f>
        <v>0</v>
      </c>
      <c r="H75" s="3">
        <f>'[7]HMO + PACE'!H151</f>
        <v>0</v>
      </c>
      <c r="I75" s="3">
        <f>'[7]HMO + PACE'!I151</f>
        <v>0</v>
      </c>
      <c r="J75" s="3">
        <f>'[7]HMO + PACE'!J151</f>
        <v>1</v>
      </c>
      <c r="K75" s="3">
        <f>'[7]HMO + PACE'!K151</f>
        <v>0</v>
      </c>
      <c r="L75" s="3">
        <f>'[7]HMO + PACE'!L151</f>
        <v>0</v>
      </c>
      <c r="M75" s="3">
        <f>'[7]HMO + PACE'!M151</f>
        <v>0</v>
      </c>
      <c r="N75" s="3">
        <f>'[7]HMO + PACE'!N151</f>
        <v>0</v>
      </c>
      <c r="O75" s="3">
        <f>'[7]HMO + PACE'!O151</f>
        <v>0</v>
      </c>
      <c r="P75" s="3">
        <f>'[7]HMO + PACE'!P151</f>
        <v>0</v>
      </c>
      <c r="Q75" s="107">
        <f>'[7]HMO + PACE'!Q151</f>
        <v>1316</v>
      </c>
    </row>
    <row r="76" spans="1:17" ht="15.75" x14ac:dyDescent="0.2">
      <c r="A76" s="106">
        <f t="shared" si="16"/>
        <v>42614</v>
      </c>
      <c r="B76" s="3">
        <f>'[7]HMO + PACE'!B152</f>
        <v>1221</v>
      </c>
      <c r="C76" s="3">
        <f>'[7]HMO + PACE'!C152</f>
        <v>191</v>
      </c>
      <c r="D76" s="3">
        <f>'[7]HMO + PACE'!D152</f>
        <v>118</v>
      </c>
      <c r="E76" s="3">
        <f>'[7]HMO + PACE'!E152</f>
        <v>0</v>
      </c>
      <c r="F76" s="3">
        <f>'[7]HMO + PACE'!F152</f>
        <v>0</v>
      </c>
      <c r="G76" s="3">
        <f>'[7]HMO + PACE'!G152</f>
        <v>0</v>
      </c>
      <c r="H76" s="3">
        <f>'[7]HMO + PACE'!H152</f>
        <v>1</v>
      </c>
      <c r="I76" s="3">
        <f>'[7]HMO + PACE'!I152</f>
        <v>0</v>
      </c>
      <c r="J76" s="3">
        <f>'[7]HMO + PACE'!J152</f>
        <v>0</v>
      </c>
      <c r="K76" s="3">
        <f>'[7]HMO + PACE'!K152</f>
        <v>0</v>
      </c>
      <c r="L76" s="3">
        <f>'[7]HMO + PACE'!L152</f>
        <v>0</v>
      </c>
      <c r="M76" s="3">
        <f>'[7]HMO + PACE'!M152</f>
        <v>0</v>
      </c>
      <c r="N76" s="3">
        <f>'[7]HMO + PACE'!N152</f>
        <v>0</v>
      </c>
      <c r="O76" s="3">
        <f>'[7]HMO + PACE'!O152</f>
        <v>0</v>
      </c>
      <c r="P76" s="3">
        <f>'[7]HMO + PACE'!P152</f>
        <v>0</v>
      </c>
      <c r="Q76" s="107">
        <f>'[7]HMO + PACE'!Q152</f>
        <v>1531</v>
      </c>
    </row>
    <row r="77" spans="1:17" ht="15.75" x14ac:dyDescent="0.2">
      <c r="A77" s="106">
        <f t="shared" si="16"/>
        <v>42644</v>
      </c>
      <c r="B77" s="3">
        <f>'[7]HMO + PACE'!B153</f>
        <v>2313</v>
      </c>
      <c r="C77" s="3">
        <f>'[7]HMO + PACE'!C153</f>
        <v>309</v>
      </c>
      <c r="D77" s="3">
        <f>'[7]HMO + PACE'!D153</f>
        <v>157</v>
      </c>
      <c r="E77" s="3">
        <f>'[7]HMO + PACE'!E153</f>
        <v>0</v>
      </c>
      <c r="F77" s="3">
        <f>'[7]HMO + PACE'!F153</f>
        <v>0</v>
      </c>
      <c r="G77" s="3">
        <f>'[7]HMO + PACE'!G153</f>
        <v>0</v>
      </c>
      <c r="H77" s="3">
        <f>'[7]HMO + PACE'!H153</f>
        <v>0</v>
      </c>
      <c r="I77" s="3">
        <f>'[7]HMO + PACE'!I153</f>
        <v>0</v>
      </c>
      <c r="J77" s="3">
        <f>'[7]HMO + PACE'!J153</f>
        <v>0</v>
      </c>
      <c r="K77" s="3">
        <f>'[7]HMO + PACE'!K153</f>
        <v>0</v>
      </c>
      <c r="L77" s="3">
        <f>'[7]HMO + PACE'!L153</f>
        <v>0</v>
      </c>
      <c r="M77" s="3">
        <f>'[7]HMO + PACE'!M153</f>
        <v>0</v>
      </c>
      <c r="N77" s="3">
        <f>'[7]HMO + PACE'!N153</f>
        <v>0</v>
      </c>
      <c r="O77" s="3">
        <f>'[7]HMO + PACE'!O153</f>
        <v>0</v>
      </c>
      <c r="P77" s="3">
        <f>'[7]HMO + PACE'!P153</f>
        <v>0</v>
      </c>
      <c r="Q77" s="107">
        <f>'[7]HMO + PACE'!Q153</f>
        <v>2779</v>
      </c>
    </row>
    <row r="78" spans="1:17" ht="15.75" x14ac:dyDescent="0.2">
      <c r="A78" s="106">
        <f t="shared" si="16"/>
        <v>42675</v>
      </c>
      <c r="B78" s="3">
        <f>'[7]HMO + PACE'!B154</f>
        <v>2494</v>
      </c>
      <c r="C78" s="3">
        <f>'[7]HMO + PACE'!C154</f>
        <v>345</v>
      </c>
      <c r="D78" s="3">
        <f>'[7]HMO + PACE'!D154</f>
        <v>164</v>
      </c>
      <c r="E78" s="3">
        <f>'[7]HMO + PACE'!E154</f>
        <v>0</v>
      </c>
      <c r="F78" s="3">
        <f>'[7]HMO + PACE'!F154</f>
        <v>0</v>
      </c>
      <c r="G78" s="3">
        <f>'[7]HMO + PACE'!G154</f>
        <v>0</v>
      </c>
      <c r="H78" s="3">
        <f>'[7]HMO + PACE'!H154</f>
        <v>0</v>
      </c>
      <c r="I78" s="3">
        <f>'[7]HMO + PACE'!I154</f>
        <v>0</v>
      </c>
      <c r="J78" s="3">
        <f>'[7]HMO + PACE'!J154</f>
        <v>0</v>
      </c>
      <c r="K78" s="3">
        <f>'[7]HMO + PACE'!K154</f>
        <v>0</v>
      </c>
      <c r="L78" s="3">
        <f>'[7]HMO + PACE'!L154</f>
        <v>0</v>
      </c>
      <c r="M78" s="3">
        <f>'[7]HMO + PACE'!M154</f>
        <v>0</v>
      </c>
      <c r="N78" s="3">
        <f>'[7]HMO + PACE'!N154</f>
        <v>0</v>
      </c>
      <c r="O78" s="3">
        <f>'[7]HMO + PACE'!O154</f>
        <v>0</v>
      </c>
      <c r="P78" s="3">
        <f>'[7]HMO + PACE'!P154</f>
        <v>0</v>
      </c>
      <c r="Q78" s="107">
        <f>'[7]HMO + PACE'!Q154</f>
        <v>3003</v>
      </c>
    </row>
    <row r="79" spans="1:17" ht="15.75" x14ac:dyDescent="0.2">
      <c r="A79" s="106">
        <f t="shared" si="16"/>
        <v>42705</v>
      </c>
      <c r="B79" s="3">
        <f>'[7]HMO + PACE'!B155</f>
        <v>2497</v>
      </c>
      <c r="C79" s="3">
        <f>'[7]HMO + PACE'!C155</f>
        <v>336</v>
      </c>
      <c r="D79" s="3">
        <f>'[7]HMO + PACE'!D155</f>
        <v>157</v>
      </c>
      <c r="E79" s="3">
        <f>'[7]HMO + PACE'!E155</f>
        <v>0</v>
      </c>
      <c r="F79" s="3">
        <f>'[7]HMO + PACE'!F155</f>
        <v>0</v>
      </c>
      <c r="G79" s="3">
        <f>'[7]HMO + PACE'!G155</f>
        <v>0</v>
      </c>
      <c r="H79" s="3">
        <f>'[7]HMO + PACE'!H155</f>
        <v>0</v>
      </c>
      <c r="I79" s="3">
        <f>'[7]HMO + PACE'!I155</f>
        <v>0</v>
      </c>
      <c r="J79" s="3">
        <f>'[7]HMO + PACE'!J155</f>
        <v>0</v>
      </c>
      <c r="K79" s="3">
        <f>'[7]HMO + PACE'!K155</f>
        <v>0</v>
      </c>
      <c r="L79" s="3">
        <f>'[7]HMO + PACE'!L155</f>
        <v>0</v>
      </c>
      <c r="M79" s="3">
        <f>'[7]HMO + PACE'!M155</f>
        <v>0</v>
      </c>
      <c r="N79" s="3">
        <f>'[7]HMO + PACE'!N155</f>
        <v>0</v>
      </c>
      <c r="O79" s="3">
        <f>'[7]HMO + PACE'!O155</f>
        <v>0</v>
      </c>
      <c r="P79" s="3">
        <f>'[7]HMO + PACE'!P155</f>
        <v>0</v>
      </c>
      <c r="Q79" s="107">
        <f>'[7]HMO + PACE'!Q155</f>
        <v>2990</v>
      </c>
    </row>
    <row r="80" spans="1:17" ht="15.75" x14ac:dyDescent="0.2">
      <c r="A80" s="106">
        <f t="shared" si="16"/>
        <v>42736</v>
      </c>
      <c r="B80" s="3">
        <f>'[7]HMO + PACE'!B156</f>
        <v>2628</v>
      </c>
      <c r="C80" s="3">
        <f>'[7]HMO + PACE'!C156</f>
        <v>353</v>
      </c>
      <c r="D80" s="3">
        <f>'[7]HMO + PACE'!D156</f>
        <v>170</v>
      </c>
      <c r="E80" s="3">
        <f>'[7]HMO + PACE'!E156</f>
        <v>0</v>
      </c>
      <c r="F80" s="3">
        <f>'[7]HMO + PACE'!F156</f>
        <v>0</v>
      </c>
      <c r="G80" s="3">
        <f>'[7]HMO + PACE'!G156</f>
        <v>0</v>
      </c>
      <c r="H80" s="3">
        <f>'[7]HMO + PACE'!H156</f>
        <v>0</v>
      </c>
      <c r="I80" s="3">
        <f>'[7]HMO + PACE'!I156</f>
        <v>0</v>
      </c>
      <c r="J80" s="3">
        <f>'[7]HMO + PACE'!J156</f>
        <v>0</v>
      </c>
      <c r="K80" s="3">
        <f>'[7]HMO + PACE'!K156</f>
        <v>0</v>
      </c>
      <c r="L80" s="3">
        <f>'[7]HMO + PACE'!L156</f>
        <v>0</v>
      </c>
      <c r="M80" s="3">
        <f>'[7]HMO + PACE'!M156</f>
        <v>0</v>
      </c>
      <c r="N80" s="3">
        <f>'[7]HMO + PACE'!N156</f>
        <v>0</v>
      </c>
      <c r="O80" s="3">
        <f>'[7]HMO + PACE'!O156</f>
        <v>0</v>
      </c>
      <c r="P80" s="3">
        <f>'[7]HMO + PACE'!P156</f>
        <v>1</v>
      </c>
      <c r="Q80" s="107">
        <f>'[7]HMO + PACE'!Q156</f>
        <v>3152</v>
      </c>
    </row>
    <row r="81" spans="1:17" ht="15.75" x14ac:dyDescent="0.2">
      <c r="A81" s="106">
        <f t="shared" si="16"/>
        <v>42767</v>
      </c>
      <c r="B81" s="3"/>
      <c r="C81" s="3"/>
      <c r="D81" s="3"/>
      <c r="E81" s="3"/>
      <c r="F81" s="3"/>
      <c r="G81" s="3"/>
      <c r="H81" s="3"/>
      <c r="I81" s="3"/>
      <c r="J81" s="3"/>
      <c r="K81" s="3"/>
      <c r="L81" s="3"/>
      <c r="M81" s="3"/>
      <c r="N81" s="3"/>
      <c r="O81" s="3"/>
      <c r="P81" s="3"/>
      <c r="Q81" s="107"/>
    </row>
    <row r="82" spans="1:17" ht="15.75" x14ac:dyDescent="0.2">
      <c r="A82" s="106">
        <f t="shared" si="16"/>
        <v>42795</v>
      </c>
      <c r="B82" s="3"/>
      <c r="C82" s="3"/>
      <c r="D82" s="3"/>
      <c r="E82" s="3"/>
      <c r="F82" s="3"/>
      <c r="G82" s="3"/>
      <c r="H82" s="3"/>
      <c r="I82" s="3"/>
      <c r="J82" s="3"/>
      <c r="K82" s="3"/>
      <c r="L82" s="3"/>
      <c r="M82" s="3"/>
      <c r="N82" s="3"/>
      <c r="O82" s="3"/>
      <c r="P82" s="3"/>
      <c r="Q82" s="107"/>
    </row>
    <row r="83" spans="1:17" ht="15.75" x14ac:dyDescent="0.2">
      <c r="A83" s="106">
        <f t="shared" si="16"/>
        <v>42826</v>
      </c>
      <c r="B83" s="3"/>
      <c r="C83" s="3"/>
      <c r="D83" s="3"/>
      <c r="E83" s="3"/>
      <c r="F83" s="3"/>
      <c r="G83" s="3"/>
      <c r="H83" s="3"/>
      <c r="I83" s="3"/>
      <c r="J83" s="3"/>
      <c r="K83" s="3"/>
      <c r="L83" s="3"/>
      <c r="M83" s="3"/>
      <c r="N83" s="3"/>
      <c r="O83" s="3"/>
      <c r="P83" s="3"/>
      <c r="Q83" s="107"/>
    </row>
    <row r="84" spans="1:17" ht="15.75" x14ac:dyDescent="0.2">
      <c r="A84" s="106">
        <f t="shared" si="16"/>
        <v>42856</v>
      </c>
      <c r="B84" s="3"/>
      <c r="C84" s="3"/>
      <c r="D84" s="3"/>
      <c r="E84" s="3"/>
      <c r="F84" s="3"/>
      <c r="G84" s="3"/>
      <c r="H84" s="3"/>
      <c r="I84" s="3"/>
      <c r="J84" s="3"/>
      <c r="K84" s="3"/>
      <c r="L84" s="3"/>
      <c r="M84" s="3"/>
      <c r="N84" s="3"/>
      <c r="O84" s="3"/>
      <c r="P84" s="3"/>
      <c r="Q84" s="107"/>
    </row>
    <row r="85" spans="1:17" ht="16.5" thickBot="1" x14ac:dyDescent="0.25">
      <c r="A85" s="147">
        <f t="shared" si="16"/>
        <v>42887</v>
      </c>
      <c r="B85" s="148"/>
      <c r="C85" s="148"/>
      <c r="D85" s="148"/>
      <c r="E85" s="148"/>
      <c r="F85" s="148"/>
      <c r="G85" s="148"/>
      <c r="H85" s="148"/>
      <c r="I85" s="148"/>
      <c r="J85" s="148"/>
      <c r="K85" s="148"/>
      <c r="L85" s="148"/>
      <c r="M85" s="148"/>
      <c r="N85" s="148"/>
      <c r="O85" s="148"/>
      <c r="P85" s="148"/>
      <c r="Q85" s="149"/>
    </row>
    <row r="86" spans="1:17" ht="17.25" thickTop="1" thickBot="1" x14ac:dyDescent="0.3">
      <c r="A86" s="114" t="str">
        <f t="shared" si="16"/>
        <v>FY 2016-17 Year-to-Date Average</v>
      </c>
      <c r="B86" s="5">
        <f>ROUND(+AVERAGE(B74:B85),0)</f>
        <v>2099</v>
      </c>
      <c r="C86" s="5">
        <f>ROUND(+AVERAGE(C74:C85),0)</f>
        <v>293</v>
      </c>
      <c r="D86" s="5">
        <f t="shared" ref="D86:P86" si="17">ROUND(+AVERAGE(D74:D85),0)</f>
        <v>149</v>
      </c>
      <c r="E86" s="5">
        <f t="shared" si="17"/>
        <v>0</v>
      </c>
      <c r="F86" s="5">
        <f t="shared" si="17"/>
        <v>0</v>
      </c>
      <c r="G86" s="5">
        <f t="shared" si="17"/>
        <v>0</v>
      </c>
      <c r="H86" s="5">
        <f t="shared" si="17"/>
        <v>0</v>
      </c>
      <c r="I86" s="5">
        <f t="shared" si="17"/>
        <v>0</v>
      </c>
      <c r="J86" s="5">
        <f t="shared" si="17"/>
        <v>0</v>
      </c>
      <c r="K86" s="5">
        <f t="shared" si="17"/>
        <v>0</v>
      </c>
      <c r="L86" s="5">
        <f t="shared" si="17"/>
        <v>0</v>
      </c>
      <c r="M86" s="5">
        <f t="shared" si="17"/>
        <v>0</v>
      </c>
      <c r="N86" s="5">
        <f t="shared" si="17"/>
        <v>0</v>
      </c>
      <c r="O86" s="5">
        <f t="shared" si="17"/>
        <v>0</v>
      </c>
      <c r="P86" s="5">
        <f t="shared" si="17"/>
        <v>0</v>
      </c>
      <c r="Q86" s="115">
        <f>ROUND(SUM(B86:P86),0)</f>
        <v>2541</v>
      </c>
    </row>
    <row r="87" spans="1:17" ht="62.25" hidden="1" customHeight="1" thickBot="1" x14ac:dyDescent="0.25">
      <c r="A87" s="144"/>
      <c r="B87" s="145" t="s">
        <v>126</v>
      </c>
      <c r="C87" s="145" t="s">
        <v>127</v>
      </c>
      <c r="D87" s="145" t="s">
        <v>128</v>
      </c>
      <c r="E87" s="145" t="s">
        <v>107</v>
      </c>
      <c r="F87" s="145" t="s">
        <v>129</v>
      </c>
      <c r="G87" s="145" t="s">
        <v>130</v>
      </c>
      <c r="H87" s="145" t="s">
        <v>131</v>
      </c>
      <c r="I87" s="145" t="s">
        <v>19</v>
      </c>
      <c r="J87" s="145" t="s">
        <v>136</v>
      </c>
      <c r="K87" s="145" t="s">
        <v>132</v>
      </c>
      <c r="L87" s="145" t="s">
        <v>20</v>
      </c>
      <c r="M87" s="145" t="s">
        <v>133</v>
      </c>
      <c r="N87" s="145" t="s">
        <v>134</v>
      </c>
      <c r="O87" s="145" t="s">
        <v>135</v>
      </c>
      <c r="P87" s="145" t="s">
        <v>32</v>
      </c>
      <c r="Q87" s="146" t="s">
        <v>0</v>
      </c>
    </row>
    <row r="88" spans="1:17" ht="19.5" thickBot="1" x14ac:dyDescent="0.25">
      <c r="A88" s="233" t="s">
        <v>327</v>
      </c>
      <c r="B88" s="234"/>
      <c r="C88" s="234"/>
      <c r="D88" s="234"/>
      <c r="E88" s="234"/>
      <c r="F88" s="234"/>
      <c r="G88" s="234"/>
      <c r="H88" s="234"/>
      <c r="I88" s="234"/>
      <c r="J88" s="234"/>
      <c r="K88" s="234"/>
      <c r="L88" s="234"/>
      <c r="M88" s="234"/>
      <c r="N88" s="234"/>
      <c r="O88" s="234"/>
      <c r="P88" s="234"/>
      <c r="Q88" s="235"/>
    </row>
    <row r="89" spans="1:17" ht="15.75" x14ac:dyDescent="0.2">
      <c r="A89" s="112">
        <f>A4</f>
        <v>42552</v>
      </c>
      <c r="B89" s="101">
        <f>[7]ACC!B90</f>
        <v>18857</v>
      </c>
      <c r="C89" s="101">
        <f>[7]ACC!C90</f>
        <v>7311</v>
      </c>
      <c r="D89" s="101">
        <f>[7]ACC!D90</f>
        <v>51193</v>
      </c>
      <c r="E89" s="101">
        <f>[7]ACC!E90</f>
        <v>2365</v>
      </c>
      <c r="F89" s="101">
        <f>[7]ACC!F90</f>
        <v>118404</v>
      </c>
      <c r="G89" s="101">
        <f>[7]ACC!G90</f>
        <v>66299</v>
      </c>
      <c r="H89" s="101">
        <f>[7]ACC!H90</f>
        <v>274332</v>
      </c>
      <c r="I89" s="101">
        <f>[7]ACC!I90</f>
        <v>133</v>
      </c>
      <c r="J89" s="101">
        <f>[7]ACC!J90</f>
        <v>380671</v>
      </c>
      <c r="K89" s="101">
        <f>[7]ACC!K90</f>
        <v>52565</v>
      </c>
      <c r="L89" s="101">
        <f>[7]ACC!L90</f>
        <v>16936</v>
      </c>
      <c r="M89" s="101">
        <f>[7]ACC!M90</f>
        <v>8814</v>
      </c>
      <c r="N89" s="101">
        <f>[7]ACC!N90</f>
        <v>1198</v>
      </c>
      <c r="O89" s="101">
        <f>[7]ACC!O90</f>
        <v>0</v>
      </c>
      <c r="P89" s="101">
        <f>[7]ACC!P90</f>
        <v>37</v>
      </c>
      <c r="Q89" s="113">
        <f>[7]ACC!Q90</f>
        <v>999115</v>
      </c>
    </row>
    <row r="90" spans="1:17" ht="15.75" x14ac:dyDescent="0.2">
      <c r="A90" s="106">
        <f t="shared" ref="A90:A101" si="18">A5</f>
        <v>42583</v>
      </c>
      <c r="B90" s="3">
        <f>[7]ACC!B91</f>
        <v>19276</v>
      </c>
      <c r="C90" s="3">
        <f>[7]ACC!C91</f>
        <v>7420</v>
      </c>
      <c r="D90" s="3">
        <f>[7]ACC!D91</f>
        <v>51691</v>
      </c>
      <c r="E90" s="3">
        <f>[7]ACC!E91</f>
        <v>2421</v>
      </c>
      <c r="F90" s="3">
        <f>[7]ACC!F91</f>
        <v>117794</v>
      </c>
      <c r="G90" s="3">
        <f>[7]ACC!G91</f>
        <v>65835</v>
      </c>
      <c r="H90" s="3">
        <f>[7]ACC!H91</f>
        <v>277676</v>
      </c>
      <c r="I90" s="3">
        <f>[7]ACC!I91</f>
        <v>128</v>
      </c>
      <c r="J90" s="3">
        <f>[7]ACC!J91</f>
        <v>380130</v>
      </c>
      <c r="K90" s="3">
        <f>[7]ACC!K91</f>
        <v>52989</v>
      </c>
      <c r="L90" s="3">
        <f>[7]ACC!L91</f>
        <v>17000</v>
      </c>
      <c r="M90" s="3">
        <f>[7]ACC!M91</f>
        <v>8839</v>
      </c>
      <c r="N90" s="3">
        <f>[7]ACC!N91</f>
        <v>1205</v>
      </c>
      <c r="O90" s="3">
        <f>[7]ACC!O91</f>
        <v>0</v>
      </c>
      <c r="P90" s="3">
        <f>[7]ACC!P91</f>
        <v>38</v>
      </c>
      <c r="Q90" s="107">
        <f>[7]ACC!Q91</f>
        <v>1002442</v>
      </c>
    </row>
    <row r="91" spans="1:17" ht="15.75" x14ac:dyDescent="0.2">
      <c r="A91" s="106">
        <f t="shared" si="18"/>
        <v>42614</v>
      </c>
      <c r="B91" s="3">
        <f>[7]ACC!B92</f>
        <v>19562</v>
      </c>
      <c r="C91" s="3">
        <f>[7]ACC!C92</f>
        <v>7449</v>
      </c>
      <c r="D91" s="3">
        <f>[7]ACC!D92</f>
        <v>51814</v>
      </c>
      <c r="E91" s="3">
        <f>[7]ACC!E92</f>
        <v>2469</v>
      </c>
      <c r="F91" s="3">
        <f>[7]ACC!F92</f>
        <v>117155</v>
      </c>
      <c r="G91" s="3">
        <f>[7]ACC!G92</f>
        <v>65632</v>
      </c>
      <c r="H91" s="3">
        <f>[7]ACC!H92</f>
        <v>285162</v>
      </c>
      <c r="I91" s="3">
        <f>[7]ACC!I92</f>
        <v>124</v>
      </c>
      <c r="J91" s="3">
        <f>[7]ACC!J92</f>
        <v>378867</v>
      </c>
      <c r="K91" s="3">
        <f>[7]ACC!K92</f>
        <v>53104</v>
      </c>
      <c r="L91" s="3">
        <f>[7]ACC!L92</f>
        <v>17087</v>
      </c>
      <c r="M91" s="3">
        <f>[7]ACC!M92</f>
        <v>8590</v>
      </c>
      <c r="N91" s="3">
        <f>[7]ACC!N92</f>
        <v>1132</v>
      </c>
      <c r="O91" s="3">
        <f>[7]ACC!O92</f>
        <v>0</v>
      </c>
      <c r="P91" s="3">
        <f>[7]ACC!P92</f>
        <v>19</v>
      </c>
      <c r="Q91" s="107">
        <f>[7]ACC!Q92</f>
        <v>1008166</v>
      </c>
    </row>
    <row r="92" spans="1:17" ht="15.75" x14ac:dyDescent="0.2">
      <c r="A92" s="106">
        <f t="shared" si="18"/>
        <v>42644</v>
      </c>
      <c r="B92" s="3">
        <f>[7]ACC!B93</f>
        <v>19381</v>
      </c>
      <c r="C92" s="3">
        <f>[7]ACC!C93</f>
        <v>7483</v>
      </c>
      <c r="D92" s="3">
        <f>[7]ACC!D93</f>
        <v>51592</v>
      </c>
      <c r="E92" s="3">
        <f>[7]ACC!E93</f>
        <v>2558</v>
      </c>
      <c r="F92" s="3">
        <f>[7]ACC!F93</f>
        <v>117616</v>
      </c>
      <c r="G92" s="3">
        <f>[7]ACC!G93</f>
        <v>62682</v>
      </c>
      <c r="H92" s="3">
        <f>[7]ACC!H93</f>
        <v>282016</v>
      </c>
      <c r="I92" s="3">
        <f>[7]ACC!I93</f>
        <v>122</v>
      </c>
      <c r="J92" s="3">
        <f>[7]ACC!J93</f>
        <v>378127</v>
      </c>
      <c r="K92" s="3">
        <f>[7]ACC!K93</f>
        <v>53055</v>
      </c>
      <c r="L92" s="3">
        <f>[7]ACC!L93</f>
        <v>17131</v>
      </c>
      <c r="M92" s="3">
        <f>[7]ACC!M93</f>
        <v>8300</v>
      </c>
      <c r="N92" s="3">
        <f>[7]ACC!N93</f>
        <v>1127</v>
      </c>
      <c r="O92" s="3">
        <f>[7]ACC!O93</f>
        <v>0</v>
      </c>
      <c r="P92" s="3">
        <f>[7]ACC!P93</f>
        <v>25</v>
      </c>
      <c r="Q92" s="107">
        <f>[7]ACC!Q93</f>
        <v>1001215</v>
      </c>
    </row>
    <row r="93" spans="1:17" ht="15.75" x14ac:dyDescent="0.2">
      <c r="A93" s="106">
        <f t="shared" si="18"/>
        <v>42675</v>
      </c>
      <c r="B93" s="3">
        <f>[7]ACC!B94</f>
        <v>19879</v>
      </c>
      <c r="C93" s="3">
        <f>[7]ACC!C94</f>
        <v>7640</v>
      </c>
      <c r="D93" s="3">
        <f>[7]ACC!D94</f>
        <v>51818</v>
      </c>
      <c r="E93" s="3">
        <f>[7]ACC!E94</f>
        <v>2559</v>
      </c>
      <c r="F93" s="3">
        <f>[7]ACC!F94</f>
        <v>121100</v>
      </c>
      <c r="G93" s="3">
        <f>[7]ACC!G94</f>
        <v>64300</v>
      </c>
      <c r="H93" s="3">
        <f>[7]ACC!H94</f>
        <v>284281</v>
      </c>
      <c r="I93" s="3">
        <f>[7]ACC!I94</f>
        <v>119</v>
      </c>
      <c r="J93" s="3">
        <f>[7]ACC!J94</f>
        <v>382017</v>
      </c>
      <c r="K93" s="3">
        <f>[7]ACC!K94</f>
        <v>50353</v>
      </c>
      <c r="L93" s="3">
        <f>[7]ACC!L94</f>
        <v>17215</v>
      </c>
      <c r="M93" s="3">
        <f>[7]ACC!M94</f>
        <v>8326</v>
      </c>
      <c r="N93" s="3">
        <f>[7]ACC!N94</f>
        <v>1113</v>
      </c>
      <c r="O93" s="3">
        <f>[7]ACC!O94</f>
        <v>1</v>
      </c>
      <c r="P93" s="3">
        <f>[7]ACC!P94</f>
        <v>27</v>
      </c>
      <c r="Q93" s="107">
        <f>[7]ACC!Q94</f>
        <v>1010748</v>
      </c>
    </row>
    <row r="94" spans="1:17" ht="15.75" x14ac:dyDescent="0.2">
      <c r="A94" s="106">
        <f t="shared" si="18"/>
        <v>42705</v>
      </c>
      <c r="B94" s="3">
        <f>[7]ACC!B95</f>
        <v>19760</v>
      </c>
      <c r="C94" s="3">
        <f>[7]ACC!C95</f>
        <v>7654</v>
      </c>
      <c r="D94" s="3">
        <f>[7]ACC!D95</f>
        <v>51686</v>
      </c>
      <c r="E94" s="3">
        <f>[7]ACC!E95</f>
        <v>2591</v>
      </c>
      <c r="F94" s="3">
        <f>[7]ACC!F95</f>
        <v>121895</v>
      </c>
      <c r="G94" s="3">
        <f>[7]ACC!G95</f>
        <v>64798</v>
      </c>
      <c r="H94" s="3">
        <f>[7]ACC!H95</f>
        <v>286345</v>
      </c>
      <c r="I94" s="3">
        <f>[7]ACC!I95</f>
        <v>117</v>
      </c>
      <c r="J94" s="3">
        <f>[7]ACC!J95</f>
        <v>380067</v>
      </c>
      <c r="K94" s="3">
        <f>[7]ACC!K95</f>
        <v>50775</v>
      </c>
      <c r="L94" s="3">
        <f>[7]ACC!L95</f>
        <v>17269</v>
      </c>
      <c r="M94" s="3">
        <f>[7]ACC!M95</f>
        <v>8034</v>
      </c>
      <c r="N94" s="3">
        <f>[7]ACC!N95</f>
        <v>1090</v>
      </c>
      <c r="O94" s="3">
        <f>[7]ACC!O95</f>
        <v>1</v>
      </c>
      <c r="P94" s="3">
        <f>[7]ACC!P95</f>
        <v>25</v>
      </c>
      <c r="Q94" s="107">
        <f>[7]ACC!Q95</f>
        <v>1012107</v>
      </c>
    </row>
    <row r="95" spans="1:17" ht="15.75" x14ac:dyDescent="0.2">
      <c r="A95" s="106">
        <f t="shared" si="18"/>
        <v>42736</v>
      </c>
      <c r="B95" s="3">
        <f>[7]ACC!B96</f>
        <v>19818</v>
      </c>
      <c r="C95" s="3">
        <f>[7]ACC!C96</f>
        <v>7770</v>
      </c>
      <c r="D95" s="3">
        <f>[7]ACC!D96</f>
        <v>51792</v>
      </c>
      <c r="E95" s="3">
        <f>[7]ACC!E96</f>
        <v>2642</v>
      </c>
      <c r="F95" s="3">
        <f>[7]ACC!F96</f>
        <v>122401</v>
      </c>
      <c r="G95" s="3">
        <f>[7]ACC!G96</f>
        <v>60141</v>
      </c>
      <c r="H95" s="3">
        <f>[7]ACC!H96</f>
        <v>283640</v>
      </c>
      <c r="I95" s="3">
        <f>[7]ACC!I96</f>
        <v>113</v>
      </c>
      <c r="J95" s="3">
        <f>[7]ACC!J96</f>
        <v>378246</v>
      </c>
      <c r="K95" s="3">
        <f>[7]ACC!K96</f>
        <v>52280</v>
      </c>
      <c r="L95" s="3">
        <f>[7]ACC!L96</f>
        <v>17242</v>
      </c>
      <c r="M95" s="3">
        <f>[7]ACC!M96</f>
        <v>7839</v>
      </c>
      <c r="N95" s="3">
        <f>[7]ACC!N96</f>
        <v>1083</v>
      </c>
      <c r="O95" s="3">
        <f>[7]ACC!O96</f>
        <v>2</v>
      </c>
      <c r="P95" s="3">
        <f>[7]ACC!P96</f>
        <v>24</v>
      </c>
      <c r="Q95" s="107">
        <f>[7]ACC!Q96</f>
        <v>1005033</v>
      </c>
    </row>
    <row r="96" spans="1:17" ht="15.75" x14ac:dyDescent="0.2">
      <c r="A96" s="106">
        <f t="shared" si="18"/>
        <v>42767</v>
      </c>
      <c r="B96" s="3"/>
      <c r="C96" s="3"/>
      <c r="D96" s="3"/>
      <c r="E96" s="3"/>
      <c r="F96" s="3"/>
      <c r="G96" s="3"/>
      <c r="H96" s="3"/>
      <c r="I96" s="3"/>
      <c r="J96" s="3"/>
      <c r="K96" s="3"/>
      <c r="L96" s="3"/>
      <c r="M96" s="3"/>
      <c r="N96" s="3"/>
      <c r="O96" s="3"/>
      <c r="P96" s="3"/>
      <c r="Q96" s="107"/>
    </row>
    <row r="97" spans="1:17" ht="15.75" x14ac:dyDescent="0.2">
      <c r="A97" s="106">
        <f t="shared" si="18"/>
        <v>42795</v>
      </c>
      <c r="B97" s="3"/>
      <c r="C97" s="3"/>
      <c r="D97" s="3"/>
      <c r="E97" s="3"/>
      <c r="F97" s="3"/>
      <c r="G97" s="3"/>
      <c r="H97" s="3"/>
      <c r="I97" s="3"/>
      <c r="J97" s="3"/>
      <c r="K97" s="3"/>
      <c r="L97" s="3"/>
      <c r="M97" s="3"/>
      <c r="N97" s="3"/>
      <c r="O97" s="3"/>
      <c r="P97" s="3"/>
      <c r="Q97" s="107"/>
    </row>
    <row r="98" spans="1:17" ht="15.75" x14ac:dyDescent="0.2">
      <c r="A98" s="106">
        <f t="shared" si="18"/>
        <v>42826</v>
      </c>
      <c r="B98" s="3"/>
      <c r="C98" s="3"/>
      <c r="D98" s="3"/>
      <c r="E98" s="3"/>
      <c r="F98" s="3"/>
      <c r="G98" s="3"/>
      <c r="H98" s="3"/>
      <c r="I98" s="3"/>
      <c r="J98" s="3"/>
      <c r="K98" s="3"/>
      <c r="L98" s="3"/>
      <c r="M98" s="3"/>
      <c r="N98" s="3"/>
      <c r="O98" s="3"/>
      <c r="P98" s="3"/>
      <c r="Q98" s="107"/>
    </row>
    <row r="99" spans="1:17" ht="15.75" x14ac:dyDescent="0.2">
      <c r="A99" s="106">
        <f t="shared" si="18"/>
        <v>42856</v>
      </c>
      <c r="B99" s="3"/>
      <c r="C99" s="3"/>
      <c r="D99" s="3"/>
      <c r="E99" s="3"/>
      <c r="F99" s="3"/>
      <c r="G99" s="3"/>
      <c r="H99" s="3"/>
      <c r="I99" s="3"/>
      <c r="J99" s="3"/>
      <c r="K99" s="3"/>
      <c r="L99" s="3"/>
      <c r="M99" s="3"/>
      <c r="N99" s="3"/>
      <c r="O99" s="3"/>
      <c r="P99" s="3"/>
      <c r="Q99" s="107"/>
    </row>
    <row r="100" spans="1:17" ht="16.5" thickBot="1" x14ac:dyDescent="0.25">
      <c r="A100" s="147">
        <f t="shared" si="18"/>
        <v>42887</v>
      </c>
      <c r="B100" s="148"/>
      <c r="C100" s="148"/>
      <c r="D100" s="148"/>
      <c r="E100" s="148"/>
      <c r="F100" s="148"/>
      <c r="G100" s="148"/>
      <c r="H100" s="148"/>
      <c r="I100" s="148"/>
      <c r="J100" s="148"/>
      <c r="K100" s="148"/>
      <c r="L100" s="148"/>
      <c r="M100" s="148"/>
      <c r="N100" s="148"/>
      <c r="O100" s="148"/>
      <c r="P100" s="148"/>
      <c r="Q100" s="149"/>
    </row>
    <row r="101" spans="1:17" ht="17.25" thickTop="1" thickBot="1" x14ac:dyDescent="0.3">
      <c r="A101" s="114" t="str">
        <f t="shared" si="18"/>
        <v>FY 2016-17 Year-to-Date Average</v>
      </c>
      <c r="B101" s="5">
        <f>ROUND(+AVERAGE(B89:B100),0)</f>
        <v>19505</v>
      </c>
      <c r="C101" s="5">
        <f>ROUND(+AVERAGE(C89:C100),0)</f>
        <v>7532</v>
      </c>
      <c r="D101" s="5">
        <f>ROUND(+AVERAGE(D89:D100),0)</f>
        <v>51655</v>
      </c>
      <c r="E101" s="5">
        <f t="shared" ref="E101" si="19">ROUND(+AVERAGE(E89:E100),0)</f>
        <v>2515</v>
      </c>
      <c r="F101" s="5">
        <f>ROUND(+AVERAGE(F89:F100),0)</f>
        <v>119481</v>
      </c>
      <c r="G101" s="5">
        <f>ROUND(+AVERAGE(G89:G100),0)</f>
        <v>64241</v>
      </c>
      <c r="H101" s="5">
        <f>ROUNDDOWN(+AVERAGE(H89:H100),0)</f>
        <v>281921</v>
      </c>
      <c r="I101" s="5">
        <f t="shared" ref="I101:O101" si="20">ROUND(+AVERAGE(I89:I100),0)</f>
        <v>122</v>
      </c>
      <c r="J101" s="5">
        <f>ROUNDDOWN(+AVERAGE(J89:J100),0)</f>
        <v>379732</v>
      </c>
      <c r="K101" s="5">
        <f>ROUND(+AVERAGE(K89:K100),0)</f>
        <v>52160</v>
      </c>
      <c r="L101" s="5">
        <f t="shared" si="20"/>
        <v>17126</v>
      </c>
      <c r="M101" s="5">
        <f>ROUND(+AVERAGE(M89:M100),0)</f>
        <v>8392</v>
      </c>
      <c r="N101" s="5">
        <f>ROUNDUP(+AVERAGE(N89:N100),0)</f>
        <v>1136</v>
      </c>
      <c r="O101" s="5">
        <f t="shared" si="20"/>
        <v>1</v>
      </c>
      <c r="P101" s="5">
        <f>ROUNDUP(+AVERAGE(P89:P100),0)</f>
        <v>28</v>
      </c>
      <c r="Q101" s="115">
        <f>ROUND(SUM(B101:P101),0)</f>
        <v>1005547</v>
      </c>
    </row>
    <row r="102" spans="1:17" ht="13.5" hidden="1" thickBot="1" x14ac:dyDescent="0.25">
      <c r="A102" s="355"/>
      <c r="B102" s="191"/>
      <c r="C102" s="191"/>
      <c r="D102" s="191"/>
      <c r="E102" s="191"/>
      <c r="F102" s="191"/>
      <c r="G102" s="191"/>
      <c r="H102" s="191"/>
      <c r="I102" s="191"/>
      <c r="J102" s="191"/>
      <c r="K102" s="191"/>
      <c r="L102" s="191"/>
      <c r="M102" s="191"/>
      <c r="N102" s="191"/>
      <c r="O102" s="191"/>
      <c r="P102" s="191"/>
      <c r="Q102" s="356"/>
    </row>
    <row r="103" spans="1:17" ht="13.5" hidden="1" thickBot="1" x14ac:dyDescent="0.25">
      <c r="A103" s="355"/>
      <c r="B103" s="191"/>
      <c r="C103" s="191"/>
      <c r="D103" s="191"/>
      <c r="E103" s="191"/>
      <c r="F103" s="191"/>
      <c r="G103" s="191"/>
      <c r="H103" s="191"/>
      <c r="I103" s="191"/>
      <c r="J103" s="191"/>
      <c r="K103" s="191"/>
      <c r="L103" s="191"/>
      <c r="M103" s="191"/>
      <c r="N103" s="191"/>
      <c r="O103" s="191"/>
      <c r="P103" s="191"/>
      <c r="Q103" s="356"/>
    </row>
    <row r="104" spans="1:17" ht="13.5" hidden="1" thickBot="1" x14ac:dyDescent="0.25">
      <c r="A104" s="355"/>
      <c r="B104" s="191"/>
      <c r="C104" s="191"/>
      <c r="D104" s="191"/>
      <c r="E104" s="191"/>
      <c r="F104" s="191"/>
      <c r="G104" s="191"/>
      <c r="H104" s="191"/>
      <c r="I104" s="191"/>
      <c r="J104" s="191"/>
      <c r="K104" s="191"/>
      <c r="L104" s="191"/>
      <c r="M104" s="191"/>
      <c r="N104" s="191"/>
      <c r="O104" s="191"/>
      <c r="P104" s="191"/>
      <c r="Q104" s="356"/>
    </row>
    <row r="105" spans="1:17" ht="13.5" hidden="1" thickBot="1" x14ac:dyDescent="0.25">
      <c r="A105" s="355"/>
      <c r="B105" s="191"/>
      <c r="C105" s="191"/>
      <c r="D105" s="191"/>
      <c r="E105" s="191"/>
      <c r="F105" s="191"/>
      <c r="G105" s="191"/>
      <c r="H105" s="191"/>
      <c r="I105" s="191"/>
      <c r="J105" s="191"/>
      <c r="K105" s="191"/>
      <c r="L105" s="191"/>
      <c r="M105" s="191"/>
      <c r="N105" s="191"/>
      <c r="O105" s="191"/>
      <c r="P105" s="191"/>
      <c r="Q105" s="356"/>
    </row>
    <row r="106" spans="1:17" ht="13.5" hidden="1" thickBot="1" x14ac:dyDescent="0.25">
      <c r="A106" s="355"/>
      <c r="B106" s="191"/>
      <c r="C106" s="191"/>
      <c r="D106" s="191"/>
      <c r="E106" s="191"/>
      <c r="F106" s="191"/>
      <c r="G106" s="191"/>
      <c r="H106" s="191"/>
      <c r="I106" s="191"/>
      <c r="J106" s="191"/>
      <c r="K106" s="191"/>
      <c r="L106" s="191"/>
      <c r="M106" s="191"/>
      <c r="N106" s="191"/>
      <c r="O106" s="191"/>
      <c r="P106" s="191"/>
      <c r="Q106" s="356"/>
    </row>
    <row r="107" spans="1:17" ht="13.5" hidden="1" thickBot="1" x14ac:dyDescent="0.25">
      <c r="A107" s="355"/>
      <c r="B107" s="191"/>
      <c r="C107" s="191"/>
      <c r="D107" s="191"/>
      <c r="E107" s="191"/>
      <c r="F107" s="191"/>
      <c r="G107" s="191"/>
      <c r="H107" s="191"/>
      <c r="I107" s="191"/>
      <c r="J107" s="191"/>
      <c r="K107" s="191"/>
      <c r="L107" s="191"/>
      <c r="M107" s="191"/>
      <c r="N107" s="191"/>
      <c r="O107" s="191"/>
      <c r="P107" s="191"/>
      <c r="Q107" s="356"/>
    </row>
    <row r="108" spans="1:17" ht="13.5" hidden="1" thickBot="1" x14ac:dyDescent="0.25">
      <c r="A108" s="355"/>
      <c r="B108" s="191"/>
      <c r="C108" s="191"/>
      <c r="D108" s="191"/>
      <c r="E108" s="191"/>
      <c r="F108" s="191"/>
      <c r="G108" s="191"/>
      <c r="H108" s="191"/>
      <c r="I108" s="191"/>
      <c r="J108" s="191"/>
      <c r="K108" s="191"/>
      <c r="L108" s="191"/>
      <c r="M108" s="191"/>
      <c r="N108" s="191"/>
      <c r="O108" s="191"/>
      <c r="P108" s="191"/>
      <c r="Q108" s="356"/>
    </row>
    <row r="109" spans="1:17" ht="13.5" hidden="1" thickBot="1" x14ac:dyDescent="0.25">
      <c r="A109" s="355"/>
      <c r="B109" s="191"/>
      <c r="C109" s="191"/>
      <c r="D109" s="191"/>
      <c r="E109" s="191"/>
      <c r="F109" s="191"/>
      <c r="G109" s="191"/>
      <c r="H109" s="191"/>
      <c r="I109" s="191"/>
      <c r="J109" s="191"/>
      <c r="K109" s="191"/>
      <c r="L109" s="191"/>
      <c r="M109" s="191"/>
      <c r="N109" s="191"/>
      <c r="O109" s="191"/>
      <c r="P109" s="191"/>
      <c r="Q109" s="356"/>
    </row>
    <row r="110" spans="1:17" ht="13.5" hidden="1" thickBot="1" x14ac:dyDescent="0.25">
      <c r="A110" s="355"/>
      <c r="B110" s="191"/>
      <c r="C110" s="191"/>
      <c r="D110" s="191"/>
      <c r="E110" s="191"/>
      <c r="F110" s="191"/>
      <c r="G110" s="191"/>
      <c r="H110" s="191"/>
      <c r="I110" s="191"/>
      <c r="J110" s="191"/>
      <c r="K110" s="191"/>
      <c r="L110" s="191"/>
      <c r="M110" s="191"/>
      <c r="N110" s="191"/>
      <c r="O110" s="191"/>
      <c r="P110" s="191"/>
      <c r="Q110" s="356"/>
    </row>
    <row r="111" spans="1:17" ht="13.5" hidden="1" thickBot="1" x14ac:dyDescent="0.25">
      <c r="A111" s="355"/>
      <c r="B111" s="191"/>
      <c r="C111" s="191"/>
      <c r="D111" s="191"/>
      <c r="E111" s="191"/>
      <c r="F111" s="191"/>
      <c r="G111" s="191"/>
      <c r="H111" s="191"/>
      <c r="I111" s="191"/>
      <c r="J111" s="191"/>
      <c r="K111" s="191"/>
      <c r="L111" s="191"/>
      <c r="M111" s="191"/>
      <c r="N111" s="191"/>
      <c r="O111" s="191"/>
      <c r="P111" s="191"/>
      <c r="Q111" s="356"/>
    </row>
    <row r="112" spans="1:17" ht="13.5" hidden="1" thickBot="1" x14ac:dyDescent="0.25">
      <c r="A112" s="355"/>
      <c r="B112" s="191"/>
      <c r="C112" s="191"/>
      <c r="D112" s="191"/>
      <c r="E112" s="191"/>
      <c r="F112" s="191"/>
      <c r="G112" s="191"/>
      <c r="H112" s="191"/>
      <c r="I112" s="191"/>
      <c r="J112" s="191"/>
      <c r="K112" s="191"/>
      <c r="L112" s="191"/>
      <c r="M112" s="191"/>
      <c r="N112" s="191"/>
      <c r="O112" s="191"/>
      <c r="P112" s="191"/>
      <c r="Q112" s="356"/>
    </row>
    <row r="113" spans="1:17" ht="13.5" hidden="1" thickBot="1" x14ac:dyDescent="0.25">
      <c r="A113" s="355"/>
      <c r="B113" s="191"/>
      <c r="C113" s="191"/>
      <c r="D113" s="191"/>
      <c r="E113" s="191"/>
      <c r="F113" s="191"/>
      <c r="G113" s="191"/>
      <c r="H113" s="191"/>
      <c r="I113" s="191"/>
      <c r="J113" s="191"/>
      <c r="K113" s="191"/>
      <c r="L113" s="191"/>
      <c r="M113" s="191"/>
      <c r="N113" s="191"/>
      <c r="O113" s="191"/>
      <c r="P113" s="191"/>
      <c r="Q113" s="356"/>
    </row>
    <row r="114" spans="1:17" ht="13.5" hidden="1" thickBot="1" x14ac:dyDescent="0.25">
      <c r="A114" s="355"/>
      <c r="B114" s="191"/>
      <c r="C114" s="191"/>
      <c r="D114" s="191"/>
      <c r="E114" s="191"/>
      <c r="F114" s="191"/>
      <c r="G114" s="191"/>
      <c r="H114" s="191"/>
      <c r="I114" s="191"/>
      <c r="J114" s="191"/>
      <c r="K114" s="191"/>
      <c r="L114" s="191"/>
      <c r="M114" s="191"/>
      <c r="N114" s="191"/>
      <c r="O114" s="191"/>
      <c r="P114" s="191"/>
      <c r="Q114" s="356"/>
    </row>
    <row r="115" spans="1:17" ht="13.5" hidden="1" thickBot="1" x14ac:dyDescent="0.25">
      <c r="A115" s="355"/>
      <c r="B115" s="191"/>
      <c r="C115" s="191"/>
      <c r="D115" s="191"/>
      <c r="E115" s="191"/>
      <c r="F115" s="191"/>
      <c r="G115" s="191"/>
      <c r="H115" s="191"/>
      <c r="I115" s="191"/>
      <c r="J115" s="191"/>
      <c r="K115" s="191"/>
      <c r="L115" s="191"/>
      <c r="M115" s="191"/>
      <c r="N115" s="191"/>
      <c r="O115" s="191"/>
      <c r="P115" s="191"/>
      <c r="Q115" s="356"/>
    </row>
    <row r="116" spans="1:17" x14ac:dyDescent="0.2">
      <c r="A116" s="460" t="s">
        <v>24</v>
      </c>
      <c r="B116" s="461"/>
      <c r="C116" s="461"/>
      <c r="D116" s="461"/>
      <c r="E116" s="461"/>
      <c r="F116" s="461"/>
      <c r="G116" s="461"/>
      <c r="H116" s="461"/>
      <c r="I116" s="461"/>
      <c r="J116" s="461"/>
      <c r="K116" s="461"/>
      <c r="L116" s="461"/>
      <c r="M116" s="461"/>
      <c r="N116" s="461"/>
      <c r="O116" s="461"/>
      <c r="P116" s="461"/>
      <c r="Q116" s="462"/>
    </row>
    <row r="117" spans="1:17" ht="15.75" customHeight="1" x14ac:dyDescent="0.2">
      <c r="A117" s="463" t="s">
        <v>46</v>
      </c>
      <c r="B117" s="464"/>
      <c r="C117" s="464"/>
      <c r="D117" s="464"/>
      <c r="E117" s="464"/>
      <c r="F117" s="464"/>
      <c r="G117" s="464"/>
      <c r="H117" s="464"/>
      <c r="I117" s="464"/>
      <c r="J117" s="464"/>
      <c r="K117" s="464"/>
      <c r="L117" s="464"/>
      <c r="M117" s="464"/>
      <c r="N117" s="464"/>
      <c r="O117" s="464"/>
      <c r="P117" s="464"/>
      <c r="Q117" s="465"/>
    </row>
    <row r="118" spans="1:17" x14ac:dyDescent="0.2">
      <c r="A118" s="466" t="s">
        <v>264</v>
      </c>
      <c r="B118" s="467"/>
      <c r="C118" s="467"/>
      <c r="D118" s="467"/>
      <c r="E118" s="467"/>
      <c r="F118" s="467"/>
      <c r="G118" s="467"/>
      <c r="H118" s="467"/>
      <c r="I118" s="467"/>
      <c r="J118" s="467"/>
      <c r="K118" s="467"/>
      <c r="L118" s="467"/>
      <c r="M118" s="467"/>
      <c r="N118" s="467"/>
      <c r="O118" s="467"/>
      <c r="P118" s="467"/>
      <c r="Q118" s="468"/>
    </row>
    <row r="119" spans="1:17" x14ac:dyDescent="0.2">
      <c r="A119" s="469" t="s">
        <v>319</v>
      </c>
      <c r="B119" s="470"/>
      <c r="C119" s="470"/>
      <c r="D119" s="470"/>
      <c r="E119" s="470"/>
      <c r="F119" s="470"/>
      <c r="G119" s="470"/>
      <c r="H119" s="470"/>
      <c r="I119" s="470"/>
      <c r="J119" s="470"/>
      <c r="K119" s="470"/>
      <c r="L119" s="470"/>
      <c r="M119" s="470"/>
      <c r="N119" s="470"/>
      <c r="O119" s="470"/>
      <c r="P119" s="470"/>
      <c r="Q119" s="471"/>
    </row>
    <row r="120" spans="1:17" x14ac:dyDescent="0.2">
      <c r="A120" s="475" t="s">
        <v>334</v>
      </c>
      <c r="B120" s="476"/>
      <c r="C120" s="476"/>
      <c r="D120" s="476"/>
      <c r="E120" s="476"/>
      <c r="F120" s="476"/>
      <c r="G120" s="476"/>
      <c r="H120" s="476"/>
      <c r="I120" s="476"/>
      <c r="J120" s="476"/>
      <c r="K120" s="476"/>
      <c r="L120" s="476"/>
      <c r="M120" s="476"/>
      <c r="N120" s="476"/>
      <c r="O120" s="476"/>
      <c r="P120" s="476"/>
      <c r="Q120" s="477"/>
    </row>
    <row r="121" spans="1:17" ht="13.5" thickBot="1" x14ac:dyDescent="0.25">
      <c r="A121" s="472" t="s">
        <v>326</v>
      </c>
      <c r="B121" s="473"/>
      <c r="C121" s="473"/>
      <c r="D121" s="473"/>
      <c r="E121" s="473"/>
      <c r="F121" s="473"/>
      <c r="G121" s="473"/>
      <c r="H121" s="473"/>
      <c r="I121" s="473"/>
      <c r="J121" s="473"/>
      <c r="K121" s="473"/>
      <c r="L121" s="473"/>
      <c r="M121" s="473"/>
      <c r="N121" s="473"/>
      <c r="O121" s="473"/>
      <c r="P121" s="473"/>
      <c r="Q121" s="474"/>
    </row>
  </sheetData>
  <mergeCells count="7">
    <mergeCell ref="A1:Q1"/>
    <mergeCell ref="A116:Q116"/>
    <mergeCell ref="A117:Q117"/>
    <mergeCell ref="A118:Q118"/>
    <mergeCell ref="A119:Q119"/>
    <mergeCell ref="A121:Q121"/>
    <mergeCell ref="A120:Q120"/>
  </mergeCells>
  <printOptions horizontalCentered="1" gridLines="1"/>
  <pageMargins left="0.28999999999999998" right="0.28999999999999998" top="0.7" bottom="0.43" header="0.3" footer="0.27"/>
  <pageSetup scale="52" fitToHeight="0"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rowBreaks count="1" manualBreakCount="1">
    <brk id="58"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85"/>
  <sheetViews>
    <sheetView view="pageBreakPreview" topLeftCell="A67" zoomScaleNormal="100" zoomScaleSheetLayoutView="100" workbookViewId="0">
      <selection activeCell="C4" sqref="C4"/>
    </sheetView>
  </sheetViews>
  <sheetFormatPr defaultRowHeight="12.75" x14ac:dyDescent="0.2"/>
  <cols>
    <col min="2" max="2" width="9.28515625" bestFit="1" customWidth="1"/>
    <col min="3" max="3" width="11.7109375" bestFit="1" customWidth="1"/>
    <col min="4" max="15" width="10.7109375" customWidth="1"/>
    <col min="16" max="16" width="13.42578125" customWidth="1"/>
  </cols>
  <sheetData>
    <row r="1" spans="2:16" ht="13.5" thickBot="1" x14ac:dyDescent="0.25"/>
    <row r="2" spans="2:16" ht="16.5" thickBot="1" x14ac:dyDescent="0.3">
      <c r="B2" s="481" t="s">
        <v>171</v>
      </c>
      <c r="C2" s="482"/>
      <c r="D2" s="482"/>
      <c r="E2" s="482"/>
      <c r="F2" s="482"/>
      <c r="G2" s="482"/>
      <c r="H2" s="482"/>
      <c r="I2" s="482"/>
      <c r="J2" s="482"/>
      <c r="K2" s="482"/>
      <c r="L2" s="482"/>
      <c r="M2" s="482"/>
      <c r="N2" s="482"/>
      <c r="O2" s="482"/>
      <c r="P2" s="483"/>
    </row>
    <row r="3" spans="2:16" ht="63.75" thickBot="1" x14ac:dyDescent="0.25">
      <c r="B3" s="70" t="s">
        <v>236</v>
      </c>
      <c r="C3" s="70" t="s">
        <v>237</v>
      </c>
      <c r="D3" s="397">
        <v>42552</v>
      </c>
      <c r="E3" s="397">
        <v>42583</v>
      </c>
      <c r="F3" s="397">
        <v>42614</v>
      </c>
      <c r="G3" s="397">
        <v>42644</v>
      </c>
      <c r="H3" s="397">
        <v>42675</v>
      </c>
      <c r="I3" s="397">
        <v>42705</v>
      </c>
      <c r="J3" s="397">
        <v>42736</v>
      </c>
      <c r="K3" s="397">
        <v>42767</v>
      </c>
      <c r="L3" s="397">
        <v>42795</v>
      </c>
      <c r="M3" s="397">
        <v>42826</v>
      </c>
      <c r="N3" s="397">
        <v>42856</v>
      </c>
      <c r="O3" s="398">
        <v>42887</v>
      </c>
      <c r="P3" s="317" t="s">
        <v>305</v>
      </c>
    </row>
    <row r="4" spans="2:16" ht="15.75" x14ac:dyDescent="0.25">
      <c r="B4" s="484" t="s">
        <v>256</v>
      </c>
      <c r="C4" s="192" t="s">
        <v>175</v>
      </c>
      <c r="D4" s="195">
        <f>IF([8]Table!E3&lt;30,"NR",[8]Table!E3)</f>
        <v>2928</v>
      </c>
      <c r="E4" s="195">
        <f>IF([8]Table!F3&lt;30,"NR",[8]Table!F3)</f>
        <v>2975</v>
      </c>
      <c r="F4" s="195">
        <f>IF([8]Table!G3&lt;30,"NR",[8]Table!G3)</f>
        <v>3011</v>
      </c>
      <c r="G4" s="195">
        <f>IF([8]Table!H3&lt;30,"NR",[8]Table!H3)</f>
        <v>2959</v>
      </c>
      <c r="H4" s="195">
        <f>IF([8]Table!I3&lt;30,"NR",[8]Table!I3)</f>
        <v>3006</v>
      </c>
      <c r="I4" s="195">
        <f>IF([8]Table!J3&lt;30,"NR",[8]Table!J3)</f>
        <v>3011</v>
      </c>
      <c r="J4" s="195">
        <f>IF([8]Table!K3&lt;30,"NR",[8]Table!K3)</f>
        <v>2987</v>
      </c>
      <c r="K4" s="195"/>
      <c r="L4" s="195"/>
      <c r="M4" s="195"/>
      <c r="N4" s="195"/>
      <c r="O4" s="196"/>
      <c r="P4" s="197">
        <f>ROUNDUP(AVERAGE(D4:O4),0)</f>
        <v>2983</v>
      </c>
    </row>
    <row r="5" spans="2:16" ht="15.75" x14ac:dyDescent="0.25">
      <c r="B5" s="485"/>
      <c r="C5" s="193" t="s">
        <v>187</v>
      </c>
      <c r="D5" s="26">
        <f>IF([8]Table!E4&lt;30,"NR",[8]Table!E4)</f>
        <v>8105</v>
      </c>
      <c r="E5" s="26">
        <f>IF([8]Table!F4&lt;30,"NR",[8]Table!F4)</f>
        <v>8136</v>
      </c>
      <c r="F5" s="26">
        <f>IF([8]Table!G4&lt;30,"NR",[8]Table!G4)</f>
        <v>8165</v>
      </c>
      <c r="G5" s="26">
        <f>IF([8]Table!H4&lt;30,"NR",[8]Table!H4)</f>
        <v>8142</v>
      </c>
      <c r="H5" s="26">
        <f>IF([8]Table!I4&lt;30,"NR",[8]Table!I4)</f>
        <v>8258</v>
      </c>
      <c r="I5" s="26">
        <f>IF([8]Table!J4&lt;30,"NR",[8]Table!J4)</f>
        <v>8289</v>
      </c>
      <c r="J5" s="26">
        <f>IF([8]Table!K4&lt;30,"NR",[8]Table!K4)</f>
        <v>8193</v>
      </c>
      <c r="K5" s="26"/>
      <c r="L5" s="26"/>
      <c r="M5" s="26"/>
      <c r="N5" s="26"/>
      <c r="O5" s="198"/>
      <c r="P5" s="199">
        <f t="shared" ref="P5:P10" si="0">ROUND(AVERAGE(D5:O5),0)</f>
        <v>8184</v>
      </c>
    </row>
    <row r="6" spans="2:16" ht="15.75" x14ac:dyDescent="0.25">
      <c r="B6" s="485"/>
      <c r="C6" s="193" t="s">
        <v>189</v>
      </c>
      <c r="D6" s="26">
        <f>IF([8]Table!E5&lt;30,"NR",[8]Table!E5)</f>
        <v>449</v>
      </c>
      <c r="E6" s="26">
        <f>IF([8]Table!F5&lt;30,"NR",[8]Table!F5)</f>
        <v>468</v>
      </c>
      <c r="F6" s="26">
        <f>IF([8]Table!G5&lt;30,"NR",[8]Table!G5)</f>
        <v>480</v>
      </c>
      <c r="G6" s="26">
        <f>IF([8]Table!H5&lt;30,"NR",[8]Table!H5)</f>
        <v>482</v>
      </c>
      <c r="H6" s="26">
        <f>IF([8]Table!I5&lt;30,"NR",[8]Table!I5)</f>
        <v>489</v>
      </c>
      <c r="I6" s="26">
        <f>IF([8]Table!J5&lt;30,"NR",[8]Table!J5)</f>
        <v>485</v>
      </c>
      <c r="J6" s="26">
        <f>IF([8]Table!K5&lt;30,"NR",[8]Table!K5)</f>
        <v>475</v>
      </c>
      <c r="K6" s="26"/>
      <c r="L6" s="26"/>
      <c r="M6" s="26"/>
      <c r="N6" s="26"/>
      <c r="O6" s="198"/>
      <c r="P6" s="199">
        <f t="shared" si="0"/>
        <v>475</v>
      </c>
    </row>
    <row r="7" spans="2:16" ht="15.75" x14ac:dyDescent="0.25">
      <c r="B7" s="485"/>
      <c r="C7" s="193" t="s">
        <v>191</v>
      </c>
      <c r="D7" s="26">
        <f>IF([8]Table!E6&lt;30,"NR",[8]Table!E6)</f>
        <v>5751</v>
      </c>
      <c r="E7" s="26">
        <f>IF([8]Table!F6&lt;30,"NR",[8]Table!F6)</f>
        <v>5800</v>
      </c>
      <c r="F7" s="26">
        <f>IF([8]Table!G6&lt;30,"NR",[8]Table!G6)</f>
        <v>5792</v>
      </c>
      <c r="G7" s="26">
        <f>IF([8]Table!H6&lt;30,"NR",[8]Table!H6)</f>
        <v>5650</v>
      </c>
      <c r="H7" s="26">
        <f>IF([8]Table!I6&lt;30,"NR",[8]Table!I6)</f>
        <v>5617</v>
      </c>
      <c r="I7" s="26">
        <f>IF([8]Table!J6&lt;30,"NR",[8]Table!J6)</f>
        <v>5562</v>
      </c>
      <c r="J7" s="26">
        <f>IF([8]Table!K6&lt;30,"NR",[8]Table!K6)</f>
        <v>5527</v>
      </c>
      <c r="K7" s="26"/>
      <c r="L7" s="26"/>
      <c r="M7" s="26"/>
      <c r="N7" s="26"/>
      <c r="O7" s="198"/>
      <c r="P7" s="199">
        <f t="shared" si="0"/>
        <v>5671</v>
      </c>
    </row>
    <row r="8" spans="2:16" ht="15.75" x14ac:dyDescent="0.25">
      <c r="B8" s="485"/>
      <c r="C8" s="193" t="s">
        <v>195</v>
      </c>
      <c r="D8" s="26">
        <f>IF([8]Table!E7&lt;30,"NR",[8]Table!E7)</f>
        <v>11810</v>
      </c>
      <c r="E8" s="26">
        <f>IF([8]Table!F7&lt;30,"NR",[8]Table!F7)</f>
        <v>11596</v>
      </c>
      <c r="F8" s="26">
        <f>IF([8]Table!G7&lt;30,"NR",[8]Table!G7)</f>
        <v>11564</v>
      </c>
      <c r="G8" s="26">
        <f>IF([8]Table!H7&lt;30,"NR",[8]Table!H7)</f>
        <v>11393</v>
      </c>
      <c r="H8" s="26">
        <f>IF([8]Table!I7&lt;30,"NR",[8]Table!I7)</f>
        <v>11448</v>
      </c>
      <c r="I8" s="26">
        <f>IF([8]Table!J7&lt;30,"NR",[8]Table!J7)</f>
        <v>11442</v>
      </c>
      <c r="J8" s="26">
        <f>IF([8]Table!K7&lt;30,"NR",[8]Table!K7)</f>
        <v>11293</v>
      </c>
      <c r="K8" s="26"/>
      <c r="L8" s="26"/>
      <c r="M8" s="26"/>
      <c r="N8" s="26"/>
      <c r="O8" s="198"/>
      <c r="P8" s="199">
        <f t="shared" si="0"/>
        <v>11507</v>
      </c>
    </row>
    <row r="9" spans="2:16" ht="15.75" x14ac:dyDescent="0.25">
      <c r="B9" s="485"/>
      <c r="C9" s="193" t="s">
        <v>197</v>
      </c>
      <c r="D9" s="26">
        <f>IF([8]Table!E8&lt;30,"NR",[8]Table!E8)</f>
        <v>1630</v>
      </c>
      <c r="E9" s="26">
        <f>IF([8]Table!F8&lt;30,"NR",[8]Table!F8)</f>
        <v>1636</v>
      </c>
      <c r="F9" s="26">
        <f>IF([8]Table!G8&lt;30,"NR",[8]Table!G8)</f>
        <v>1604</v>
      </c>
      <c r="G9" s="26">
        <f>IF([8]Table!H8&lt;30,"NR",[8]Table!H8)</f>
        <v>1574</v>
      </c>
      <c r="H9" s="26">
        <f>IF([8]Table!I8&lt;30,"NR",[8]Table!I8)</f>
        <v>1547</v>
      </c>
      <c r="I9" s="26">
        <f>IF([8]Table!J8&lt;30,"NR",[8]Table!J8)</f>
        <v>1551</v>
      </c>
      <c r="J9" s="26">
        <f>IF([8]Table!K8&lt;30,"NR",[8]Table!K8)</f>
        <v>1482</v>
      </c>
      <c r="K9" s="26"/>
      <c r="L9" s="26"/>
      <c r="M9" s="26"/>
      <c r="N9" s="26"/>
      <c r="O9" s="198"/>
      <c r="P9" s="199">
        <f t="shared" si="0"/>
        <v>1575</v>
      </c>
    </row>
    <row r="10" spans="2:16" ht="15.75" x14ac:dyDescent="0.25">
      <c r="B10" s="485"/>
      <c r="C10" s="193" t="s">
        <v>198</v>
      </c>
      <c r="D10" s="26">
        <f>IF([8]Table!E9&lt;30,"NR",[8]Table!E9)</f>
        <v>2960</v>
      </c>
      <c r="E10" s="26">
        <f>IF([8]Table!F9&lt;30,"NR",[8]Table!F9)</f>
        <v>2897</v>
      </c>
      <c r="F10" s="26">
        <f>IF([8]Table!G9&lt;30,"NR",[8]Table!G9)</f>
        <v>2905</v>
      </c>
      <c r="G10" s="26">
        <f>IF([8]Table!H9&lt;30,"NR",[8]Table!H9)</f>
        <v>2881</v>
      </c>
      <c r="H10" s="26">
        <f>IF([8]Table!I9&lt;30,"NR",[8]Table!I9)</f>
        <v>2941</v>
      </c>
      <c r="I10" s="26">
        <f>IF([8]Table!J9&lt;30,"NR",[8]Table!J9)</f>
        <v>2948</v>
      </c>
      <c r="J10" s="26">
        <f>IF([8]Table!K9&lt;30,"NR",[8]Table!K9)</f>
        <v>2893</v>
      </c>
      <c r="K10" s="26"/>
      <c r="L10" s="26"/>
      <c r="M10" s="26"/>
      <c r="N10" s="26"/>
      <c r="O10" s="198"/>
      <c r="P10" s="199">
        <f t="shared" si="0"/>
        <v>2918</v>
      </c>
    </row>
    <row r="11" spans="2:16" ht="15.75" x14ac:dyDescent="0.25">
      <c r="B11" s="485"/>
      <c r="C11" s="193" t="s">
        <v>199</v>
      </c>
      <c r="D11" s="26">
        <f>IF([8]Table!E10&lt;30,"NR",[8]Table!E10)</f>
        <v>128</v>
      </c>
      <c r="E11" s="26">
        <f>IF([8]Table!F10&lt;30,"NR",[8]Table!F10)</f>
        <v>129</v>
      </c>
      <c r="F11" s="26">
        <f>IF([8]Table!G10&lt;30,"NR",[8]Table!G10)</f>
        <v>134</v>
      </c>
      <c r="G11" s="26">
        <f>IF([8]Table!H10&lt;30,"NR",[8]Table!H10)</f>
        <v>132</v>
      </c>
      <c r="H11" s="26">
        <f>IF([8]Table!I10&lt;30,"NR",[8]Table!I10)</f>
        <v>132</v>
      </c>
      <c r="I11" s="26">
        <f>IF([8]Table!J10&lt;30,"NR",[8]Table!J10)</f>
        <v>136</v>
      </c>
      <c r="J11" s="26">
        <f>IF([8]Table!K10&lt;30,"NR",[8]Table!K10)</f>
        <v>137</v>
      </c>
      <c r="K11" s="26"/>
      <c r="L11" s="26"/>
      <c r="M11" s="26"/>
      <c r="N11" s="26"/>
      <c r="O11" s="198"/>
      <c r="P11" s="199">
        <f t="shared" ref="P11:P67" si="1">ROUND(AVERAGE(D11:O11),0)</f>
        <v>133</v>
      </c>
    </row>
    <row r="12" spans="2:16" ht="15.75" x14ac:dyDescent="0.25">
      <c r="B12" s="485"/>
      <c r="C12" s="193" t="s">
        <v>201</v>
      </c>
      <c r="D12" s="26">
        <f>IF([8]Table!E11&lt;30,"NR",[8]Table!E11)</f>
        <v>248</v>
      </c>
      <c r="E12" s="26">
        <f>IF([8]Table!F11&lt;30,"NR",[8]Table!F11)</f>
        <v>243</v>
      </c>
      <c r="F12" s="26">
        <f>IF([8]Table!G11&lt;30,"NR",[8]Table!G11)</f>
        <v>248</v>
      </c>
      <c r="G12" s="26">
        <f>IF([8]Table!H11&lt;30,"NR",[8]Table!H11)</f>
        <v>257</v>
      </c>
      <c r="H12" s="26">
        <f>IF([8]Table!I11&lt;30,"NR",[8]Table!I11)</f>
        <v>250</v>
      </c>
      <c r="I12" s="26">
        <f>IF([8]Table!J11&lt;30,"NR",[8]Table!J11)</f>
        <v>247</v>
      </c>
      <c r="J12" s="26">
        <f>IF([8]Table!K11&lt;30,"NR",[8]Table!K11)</f>
        <v>239</v>
      </c>
      <c r="K12" s="26"/>
      <c r="L12" s="26"/>
      <c r="M12" s="26"/>
      <c r="N12" s="26"/>
      <c r="O12" s="198"/>
      <c r="P12" s="199">
        <f t="shared" si="1"/>
        <v>247</v>
      </c>
    </row>
    <row r="13" spans="2:16" ht="15.75" x14ac:dyDescent="0.25">
      <c r="B13" s="485"/>
      <c r="C13" s="193" t="s">
        <v>205</v>
      </c>
      <c r="D13" s="26">
        <f>IF([8]Table!E12&lt;30,"NR",[8]Table!E12)</f>
        <v>9370</v>
      </c>
      <c r="E13" s="26">
        <f>IF([8]Table!F12&lt;30,"NR",[8]Table!F12)</f>
        <v>9424</v>
      </c>
      <c r="F13" s="26">
        <f>IF([8]Table!G12&lt;30,"NR",[8]Table!G12)</f>
        <v>9510</v>
      </c>
      <c r="G13" s="26">
        <f>IF([8]Table!H12&lt;30,"NR",[8]Table!H12)</f>
        <v>9484</v>
      </c>
      <c r="H13" s="26">
        <f>IF([8]Table!I12&lt;30,"NR",[8]Table!I12)</f>
        <v>9602</v>
      </c>
      <c r="I13" s="26">
        <f>IF([8]Table!J12&lt;30,"NR",[8]Table!J12)</f>
        <v>9516</v>
      </c>
      <c r="J13" s="26">
        <f>IF([8]Table!K12&lt;30,"NR",[8]Table!K12)</f>
        <v>9503</v>
      </c>
      <c r="K13" s="26"/>
      <c r="L13" s="26"/>
      <c r="M13" s="26"/>
      <c r="N13" s="26"/>
      <c r="O13" s="198"/>
      <c r="P13" s="199">
        <f>ROUND(AVERAGE(D13:O13),0)</f>
        <v>9487</v>
      </c>
    </row>
    <row r="14" spans="2:16" ht="15.75" x14ac:dyDescent="0.25">
      <c r="B14" s="485"/>
      <c r="C14" s="193" t="s">
        <v>207</v>
      </c>
      <c r="D14" s="26">
        <f>IF([8]Table!E13&lt;30,"NR",[8]Table!E13)</f>
        <v>51862</v>
      </c>
      <c r="E14" s="26">
        <f>IF([8]Table!F13&lt;30,"NR",[8]Table!F13)</f>
        <v>52035</v>
      </c>
      <c r="F14" s="26">
        <f>IF([8]Table!G13&lt;30,"NR",[8]Table!G13)</f>
        <v>52538</v>
      </c>
      <c r="G14" s="26">
        <f>IF([8]Table!H13&lt;30,"NR",[8]Table!H13)</f>
        <v>52334</v>
      </c>
      <c r="H14" s="26">
        <f>IF([8]Table!I13&lt;30,"NR",[8]Table!I13)</f>
        <v>52973</v>
      </c>
      <c r="I14" s="26">
        <f>IF([8]Table!J13&lt;30,"NR",[8]Table!J13)</f>
        <v>52985</v>
      </c>
      <c r="J14" s="26">
        <f>IF([8]Table!K13&lt;30,"NR",[8]Table!K13)</f>
        <v>52512</v>
      </c>
      <c r="K14" s="26"/>
      <c r="L14" s="26"/>
      <c r="M14" s="26"/>
      <c r="N14" s="26"/>
      <c r="O14" s="198"/>
      <c r="P14" s="199">
        <f>ROUND(AVERAGE(D14:O14),0)</f>
        <v>52463</v>
      </c>
    </row>
    <row r="15" spans="2:16" ht="15.75" x14ac:dyDescent="0.25">
      <c r="B15" s="485"/>
      <c r="C15" s="193" t="s">
        <v>211</v>
      </c>
      <c r="D15" s="26">
        <f>IF([8]Table!E14&lt;30,"NR",[8]Table!E14)</f>
        <v>38639</v>
      </c>
      <c r="E15" s="26">
        <f>IF([8]Table!F14&lt;30,"NR",[8]Table!F14)</f>
        <v>38308</v>
      </c>
      <c r="F15" s="26">
        <f>IF([8]Table!G14&lt;30,"NR",[8]Table!G14)</f>
        <v>38427</v>
      </c>
      <c r="G15" s="26">
        <f>IF([8]Table!H14&lt;30,"NR",[8]Table!H14)</f>
        <v>38546</v>
      </c>
      <c r="H15" s="26">
        <f>IF([8]Table!I14&lt;30,"NR",[8]Table!I14)</f>
        <v>38913</v>
      </c>
      <c r="I15" s="26">
        <f>IF([8]Table!J14&lt;30,"NR",[8]Table!J14)</f>
        <v>38973</v>
      </c>
      <c r="J15" s="26">
        <f>IF([8]Table!K14&lt;30,"NR",[8]Table!K14)</f>
        <v>38698</v>
      </c>
      <c r="K15" s="26"/>
      <c r="L15" s="26"/>
      <c r="M15" s="26"/>
      <c r="N15" s="26"/>
      <c r="O15" s="198"/>
      <c r="P15" s="199">
        <f>ROUND(AVERAGE(D15:O15),0)</f>
        <v>38643</v>
      </c>
    </row>
    <row r="16" spans="2:16" ht="15.75" x14ac:dyDescent="0.25">
      <c r="B16" s="485"/>
      <c r="C16" s="193" t="s">
        <v>213</v>
      </c>
      <c r="D16" s="26">
        <f>IF([8]Table!E15&lt;30,"NR",[8]Table!E15)</f>
        <v>3076</v>
      </c>
      <c r="E16" s="26">
        <f>IF([8]Table!F15&lt;30,"NR",[8]Table!F15)</f>
        <v>3073</v>
      </c>
      <c r="F16" s="26">
        <f>IF([8]Table!G15&lt;30,"NR",[8]Table!G15)</f>
        <v>3067</v>
      </c>
      <c r="G16" s="26">
        <f>IF([8]Table!H15&lt;30,"NR",[8]Table!H15)</f>
        <v>3052</v>
      </c>
      <c r="H16" s="26">
        <f>IF([8]Table!I15&lt;30,"NR",[8]Table!I15)</f>
        <v>3045</v>
      </c>
      <c r="I16" s="26">
        <f>IF([8]Table!J15&lt;30,"NR",[8]Table!J15)</f>
        <v>3059</v>
      </c>
      <c r="J16" s="26">
        <f>IF([8]Table!K15&lt;30,"NR",[8]Table!K15)</f>
        <v>3032</v>
      </c>
      <c r="K16" s="26"/>
      <c r="L16" s="26"/>
      <c r="M16" s="26"/>
      <c r="N16" s="26"/>
      <c r="O16" s="198"/>
      <c r="P16" s="199">
        <f t="shared" si="1"/>
        <v>3058</v>
      </c>
    </row>
    <row r="17" spans="2:16" ht="15.75" x14ac:dyDescent="0.25">
      <c r="B17" s="485"/>
      <c r="C17" s="193" t="s">
        <v>214</v>
      </c>
      <c r="D17" s="26">
        <f>IF([8]Table!E16&lt;30,"NR",[8]Table!E16)</f>
        <v>7800</v>
      </c>
      <c r="E17" s="26">
        <f>IF([8]Table!F16&lt;30,"NR",[8]Table!F16)</f>
        <v>7877</v>
      </c>
      <c r="F17" s="26">
        <f>IF([8]Table!G16&lt;30,"NR",[8]Table!G16)</f>
        <v>7906</v>
      </c>
      <c r="G17" s="26">
        <f>IF([8]Table!H16&lt;30,"NR",[8]Table!H16)</f>
        <v>7883</v>
      </c>
      <c r="H17" s="26">
        <f>IF([8]Table!I16&lt;30,"NR",[8]Table!I16)</f>
        <v>7895</v>
      </c>
      <c r="I17" s="26">
        <f>IF([8]Table!J16&lt;30,"NR",[8]Table!J16)</f>
        <v>7945</v>
      </c>
      <c r="J17" s="26">
        <f>IF([8]Table!K16&lt;30,"NR",[8]Table!K16)</f>
        <v>7981</v>
      </c>
      <c r="K17" s="26"/>
      <c r="L17" s="26"/>
      <c r="M17" s="26"/>
      <c r="N17" s="26"/>
      <c r="O17" s="198"/>
      <c r="P17" s="199">
        <f>ROUND(AVERAGE(D17:O17),0)</f>
        <v>7898</v>
      </c>
    </row>
    <row r="18" spans="2:16" ht="15.75" x14ac:dyDescent="0.25">
      <c r="B18" s="485"/>
      <c r="C18" s="193" t="s">
        <v>215</v>
      </c>
      <c r="D18" s="26">
        <f>IF([8]Table!E17&lt;30,"NR",[8]Table!E17)</f>
        <v>10728</v>
      </c>
      <c r="E18" s="26">
        <f>IF([8]Table!F17&lt;30,"NR",[8]Table!F17)</f>
        <v>10562</v>
      </c>
      <c r="F18" s="26">
        <f>IF([8]Table!G17&lt;30,"NR",[8]Table!G17)</f>
        <v>10539</v>
      </c>
      <c r="G18" s="26">
        <f>IF([8]Table!H17&lt;30,"NR",[8]Table!H17)</f>
        <v>10400</v>
      </c>
      <c r="H18" s="26">
        <f>IF([8]Table!I17&lt;30,"NR",[8]Table!I17)</f>
        <v>10548</v>
      </c>
      <c r="I18" s="26">
        <f>IF([8]Table!J17&lt;30,"NR",[8]Table!J17)</f>
        <v>10614</v>
      </c>
      <c r="J18" s="26">
        <f>IF([8]Table!K17&lt;30,"NR",[8]Table!K17)</f>
        <v>10537</v>
      </c>
      <c r="K18" s="26"/>
      <c r="L18" s="26"/>
      <c r="M18" s="26"/>
      <c r="N18" s="26"/>
      <c r="O18" s="198"/>
      <c r="P18" s="199">
        <f>ROUND(AVERAGE(D18:O18),0)</f>
        <v>10561</v>
      </c>
    </row>
    <row r="19" spans="2:16" ht="15.75" x14ac:dyDescent="0.25">
      <c r="B19" s="485"/>
      <c r="C19" s="193" t="s">
        <v>218</v>
      </c>
      <c r="D19" s="26">
        <f>IF([8]Table!E18&lt;30,"NR",[8]Table!E18)</f>
        <v>659</v>
      </c>
      <c r="E19" s="26">
        <f>IF([8]Table!F18&lt;30,"NR",[8]Table!F18)</f>
        <v>661</v>
      </c>
      <c r="F19" s="26">
        <f>IF([8]Table!G18&lt;30,"NR",[8]Table!G18)</f>
        <v>649</v>
      </c>
      <c r="G19" s="26">
        <f>IF([8]Table!H18&lt;30,"NR",[8]Table!H18)</f>
        <v>642</v>
      </c>
      <c r="H19" s="26">
        <f>IF([8]Table!I18&lt;30,"NR",[8]Table!I18)</f>
        <v>628</v>
      </c>
      <c r="I19" s="26">
        <f>IF([8]Table!J18&lt;30,"NR",[8]Table!J18)</f>
        <v>629</v>
      </c>
      <c r="J19" s="26">
        <f>IF([8]Table!K18&lt;30,"NR",[8]Table!K18)</f>
        <v>612</v>
      </c>
      <c r="K19" s="26"/>
      <c r="L19" s="26"/>
      <c r="M19" s="26"/>
      <c r="N19" s="26"/>
      <c r="O19" s="198"/>
      <c r="P19" s="199">
        <f t="shared" si="1"/>
        <v>640</v>
      </c>
    </row>
    <row r="20" spans="2:16" ht="15.75" x14ac:dyDescent="0.25">
      <c r="B20" s="485"/>
      <c r="C20" s="193" t="s">
        <v>221</v>
      </c>
      <c r="D20" s="26">
        <f>IF([8]Table!E19&lt;30,"NR",[8]Table!E19)</f>
        <v>1320</v>
      </c>
      <c r="E20" s="26">
        <f>IF([8]Table!F19&lt;30,"NR",[8]Table!F19)</f>
        <v>1285</v>
      </c>
      <c r="F20" s="26">
        <f>IF([8]Table!G19&lt;30,"NR",[8]Table!G19)</f>
        <v>1287</v>
      </c>
      <c r="G20" s="26">
        <f>IF([8]Table!H19&lt;30,"NR",[8]Table!H19)</f>
        <v>1284</v>
      </c>
      <c r="H20" s="26">
        <f>IF([8]Table!I19&lt;30,"NR",[8]Table!I19)</f>
        <v>1303</v>
      </c>
      <c r="I20" s="26">
        <f>IF([8]Table!J19&lt;30,"NR",[8]Table!J19)</f>
        <v>1249</v>
      </c>
      <c r="J20" s="26">
        <f>IF([8]Table!K19&lt;30,"NR",[8]Table!K19)</f>
        <v>1190</v>
      </c>
      <c r="K20" s="26"/>
      <c r="L20" s="26"/>
      <c r="M20" s="26"/>
      <c r="N20" s="26"/>
      <c r="O20" s="198"/>
      <c r="P20" s="199">
        <f>ROUND(AVERAGE(D20:O20),0)</f>
        <v>1274</v>
      </c>
    </row>
    <row r="21" spans="2:16" ht="15.75" x14ac:dyDescent="0.25">
      <c r="B21" s="485"/>
      <c r="C21" s="193" t="s">
        <v>224</v>
      </c>
      <c r="D21" s="26">
        <f>IF([8]Table!E20&lt;30,"NR",[8]Table!E20)</f>
        <v>1003</v>
      </c>
      <c r="E21" s="26">
        <f>IF([8]Table!F20&lt;30,"NR",[8]Table!F20)</f>
        <v>1000</v>
      </c>
      <c r="F21" s="26">
        <f>IF([8]Table!G20&lt;30,"NR",[8]Table!G20)</f>
        <v>1001</v>
      </c>
      <c r="G21" s="26">
        <f>IF([8]Table!H20&lt;30,"NR",[8]Table!H20)</f>
        <v>1003</v>
      </c>
      <c r="H21" s="26">
        <f>IF([8]Table!I20&lt;30,"NR",[8]Table!I20)</f>
        <v>1027</v>
      </c>
      <c r="I21" s="26">
        <f>IF([8]Table!J20&lt;30,"NR",[8]Table!J20)</f>
        <v>1027</v>
      </c>
      <c r="J21" s="26">
        <f>IF([8]Table!K20&lt;30,"NR",[8]Table!K20)</f>
        <v>1004</v>
      </c>
      <c r="K21" s="26"/>
      <c r="L21" s="26"/>
      <c r="M21" s="26"/>
      <c r="N21" s="26"/>
      <c r="O21" s="198"/>
      <c r="P21" s="199">
        <f t="shared" si="1"/>
        <v>1009</v>
      </c>
    </row>
    <row r="22" spans="2:16" ht="15.75" x14ac:dyDescent="0.25">
      <c r="B22" s="485"/>
      <c r="C22" s="193" t="s">
        <v>226</v>
      </c>
      <c r="D22" s="26">
        <f>IF([8]Table!E21&lt;30,"NR",[8]Table!E21)</f>
        <v>3093</v>
      </c>
      <c r="E22" s="26">
        <f>IF([8]Table!F21&lt;30,"NR",[8]Table!F21)</f>
        <v>3071</v>
      </c>
      <c r="F22" s="26">
        <f>IF([8]Table!G21&lt;30,"NR",[8]Table!G21)</f>
        <v>3096</v>
      </c>
      <c r="G22" s="26">
        <f>IF([8]Table!H21&lt;30,"NR",[8]Table!H21)</f>
        <v>3111</v>
      </c>
      <c r="H22" s="26">
        <f>IF([8]Table!I21&lt;30,"NR",[8]Table!I21)</f>
        <v>3149</v>
      </c>
      <c r="I22" s="26">
        <f>IF([8]Table!J21&lt;30,"NR",[8]Table!J21)</f>
        <v>3175</v>
      </c>
      <c r="J22" s="26">
        <f>IF([8]Table!K21&lt;30,"NR",[8]Table!K21)</f>
        <v>3122</v>
      </c>
      <c r="K22" s="26"/>
      <c r="L22" s="26"/>
      <c r="M22" s="26"/>
      <c r="N22" s="26"/>
      <c r="O22" s="198"/>
      <c r="P22" s="199">
        <f t="shared" si="1"/>
        <v>3117</v>
      </c>
    </row>
    <row r="23" spans="2:16" ht="15.75" x14ac:dyDescent="0.25">
      <c r="B23" s="485"/>
      <c r="C23" s="193" t="s">
        <v>228</v>
      </c>
      <c r="D23" s="26">
        <f>IF([8]Table!E22&lt;30,"NR",[8]Table!E22)</f>
        <v>149</v>
      </c>
      <c r="E23" s="26">
        <f>IF([8]Table!F22&lt;30,"NR",[8]Table!F22)</f>
        <v>150</v>
      </c>
      <c r="F23" s="26">
        <f>IF([8]Table!G22&lt;30,"NR",[8]Table!G22)</f>
        <v>146</v>
      </c>
      <c r="G23" s="26">
        <f>IF([8]Table!H22&lt;30,"NR",[8]Table!H22)</f>
        <v>149</v>
      </c>
      <c r="H23" s="26">
        <f>IF([8]Table!I22&lt;30,"NR",[8]Table!I22)</f>
        <v>147</v>
      </c>
      <c r="I23" s="26">
        <f>IF([8]Table!J22&lt;30,"NR",[8]Table!J22)</f>
        <v>147</v>
      </c>
      <c r="J23" s="26">
        <f>IF([8]Table!K22&lt;30,"NR",[8]Table!K22)</f>
        <v>142</v>
      </c>
      <c r="K23" s="26"/>
      <c r="L23" s="26"/>
      <c r="M23" s="26"/>
      <c r="N23" s="26"/>
      <c r="O23" s="198"/>
      <c r="P23" s="199">
        <f t="shared" si="1"/>
        <v>147</v>
      </c>
    </row>
    <row r="24" spans="2:16" ht="15.75" x14ac:dyDescent="0.25">
      <c r="B24" s="485"/>
      <c r="C24" s="193" t="s">
        <v>229</v>
      </c>
      <c r="D24" s="26">
        <f>IF([8]Table!E23&lt;30,"NR",[8]Table!E23)</f>
        <v>922</v>
      </c>
      <c r="E24" s="26">
        <f>IF([8]Table!F23&lt;30,"NR",[8]Table!F23)</f>
        <v>944</v>
      </c>
      <c r="F24" s="26">
        <f>IF([8]Table!G23&lt;30,"NR",[8]Table!G23)</f>
        <v>963</v>
      </c>
      <c r="G24" s="26">
        <f>IF([8]Table!H23&lt;30,"NR",[8]Table!H23)</f>
        <v>961</v>
      </c>
      <c r="H24" s="26">
        <f>IF([8]Table!I23&lt;30,"NR",[8]Table!I23)</f>
        <v>943</v>
      </c>
      <c r="I24" s="26">
        <f>IF([8]Table!J23&lt;30,"NR",[8]Table!J23)</f>
        <v>934</v>
      </c>
      <c r="J24" s="26">
        <f>IF([8]Table!K23&lt;30,"NR",[8]Table!K23)</f>
        <v>942</v>
      </c>
      <c r="K24" s="26"/>
      <c r="L24" s="26"/>
      <c r="M24" s="26"/>
      <c r="N24" s="26"/>
      <c r="O24" s="198"/>
      <c r="P24" s="199">
        <f t="shared" si="1"/>
        <v>944</v>
      </c>
    </row>
    <row r="25" spans="2:16" ht="15.75" x14ac:dyDescent="0.25">
      <c r="B25" s="485"/>
      <c r="C25" s="193" t="s">
        <v>231</v>
      </c>
      <c r="D25" s="26">
        <f>IF([8]Table!E24&lt;30,"NR",[8]Table!E24)</f>
        <v>3463</v>
      </c>
      <c r="E25" s="26">
        <f>IF([8]Table!F24&lt;30,"NR",[8]Table!F24)</f>
        <v>3472</v>
      </c>
      <c r="F25" s="26">
        <f>IF([8]Table!G24&lt;30,"NR",[8]Table!G24)</f>
        <v>3473</v>
      </c>
      <c r="G25" s="26">
        <f>IF([8]Table!H24&lt;30,"NR",[8]Table!H24)</f>
        <v>3459</v>
      </c>
      <c r="H25" s="26">
        <f>IF([8]Table!I24&lt;30,"NR",[8]Table!I24)</f>
        <v>3414</v>
      </c>
      <c r="I25" s="26">
        <f>IF([8]Table!J24&lt;30,"NR",[8]Table!J24)</f>
        <v>3374</v>
      </c>
      <c r="J25" s="26">
        <f>IF([8]Table!K24&lt;30,"NR",[8]Table!K24)</f>
        <v>3303</v>
      </c>
      <c r="K25" s="26"/>
      <c r="L25" s="26"/>
      <c r="M25" s="26"/>
      <c r="N25" s="26"/>
      <c r="O25" s="198"/>
      <c r="P25" s="199">
        <f>ROUND(AVERAGE(D25:O25),0)</f>
        <v>3423</v>
      </c>
    </row>
    <row r="26" spans="2:16" ht="19.5" thickBot="1" x14ac:dyDescent="0.3">
      <c r="B26" s="485"/>
      <c r="C26" s="194" t="s">
        <v>245</v>
      </c>
      <c r="D26" s="200">
        <f>[8]Table!E25</f>
        <v>70</v>
      </c>
      <c r="E26" s="200">
        <f>[8]Table!F25</f>
        <v>166</v>
      </c>
      <c r="F26" s="200">
        <f>[8]Table!G25</f>
        <v>111</v>
      </c>
      <c r="G26" s="200">
        <f>[8]Table!H25</f>
        <v>88</v>
      </c>
      <c r="H26" s="200">
        <f>[8]Table!I25</f>
        <v>115</v>
      </c>
      <c r="I26" s="200">
        <f>[8]Table!J25</f>
        <v>85</v>
      </c>
      <c r="J26" s="200">
        <f>[8]Table!K25</f>
        <v>109</v>
      </c>
      <c r="K26" s="200"/>
      <c r="L26" s="200"/>
      <c r="M26" s="200"/>
      <c r="N26" s="200"/>
      <c r="O26" s="201"/>
      <c r="P26" s="202">
        <f t="shared" si="1"/>
        <v>106</v>
      </c>
    </row>
    <row r="27" spans="2:16" ht="17.25" thickTop="1" thickBot="1" x14ac:dyDescent="0.3">
      <c r="B27" s="486"/>
      <c r="C27" s="203" t="s">
        <v>39</v>
      </c>
      <c r="D27" s="204">
        <f>IF(COUNTIFS(D4:D26,"NR")=1,"NR",IF(COUNTIFS(D4:D26,"NR")&gt;1,[8]Table!E26,SUM(D4:D26)))</f>
        <v>166163</v>
      </c>
      <c r="E27" s="204">
        <f>IF(COUNTIFS(E4:E26,"NR")=1,"NR",IF(COUNTIFS(E4:E26,"NR")&gt;1,[8]Table!F26,SUM(E4:E26)))</f>
        <v>165908</v>
      </c>
      <c r="F27" s="204">
        <f>IF(COUNTIFS(F4:F26,"NR")=1,"NR",IF(COUNTIFS(F4:F26,"NR")&gt;1,[8]Table!G26,SUM(F4:F26)))</f>
        <v>166616</v>
      </c>
      <c r="G27" s="204">
        <f>IF(COUNTIFS(G4:G26,"NR")=1,"NR",IF(COUNTIFS(G4:G26,"NR")&gt;1,[8]Table!H26,SUM(G4:G26)))</f>
        <v>165866</v>
      </c>
      <c r="H27" s="204">
        <f>IF(COUNTIFS(H4:H26,"NR")=1,"NR",IF(COUNTIFS(H4:H26,"NR")&gt;1,[8]Table!I26,SUM(H4:H26)))</f>
        <v>167390</v>
      </c>
      <c r="I27" s="204">
        <f>IF(COUNTIFS(I4:I26,"NR")=1,"NR",IF(COUNTIFS(I4:I26,"NR")&gt;1,[8]Table!J26,SUM(I4:I26)))</f>
        <v>167383</v>
      </c>
      <c r="J27" s="204">
        <f>IF(COUNTIFS(J4:J26,"NR")=1,"NR",IF(COUNTIFS(J4:J26,"NR")&gt;1,[8]Table!K26,SUM(J4:J26)))</f>
        <v>165913</v>
      </c>
      <c r="K27" s="204"/>
      <c r="L27" s="204"/>
      <c r="M27" s="204"/>
      <c r="N27" s="204"/>
      <c r="O27" s="205"/>
      <c r="P27" s="206">
        <f>ROUND(AVERAGE(D27:O27),0)</f>
        <v>166463</v>
      </c>
    </row>
    <row r="28" spans="2:16" ht="15.75" x14ac:dyDescent="0.25">
      <c r="B28" s="484" t="s">
        <v>238</v>
      </c>
      <c r="C28" s="192" t="s">
        <v>181</v>
      </c>
      <c r="D28" s="195">
        <f>IF([8]Table!E27&lt;30,"NR",[8]Table!E27)</f>
        <v>365</v>
      </c>
      <c r="E28" s="195">
        <f>IF([8]Table!F27&lt;30,"NR",[8]Table!F27)</f>
        <v>380</v>
      </c>
      <c r="F28" s="195">
        <f>IF([8]Table!G27&lt;30,"NR",[8]Table!G27)</f>
        <v>381</v>
      </c>
      <c r="G28" s="195">
        <f>IF([8]Table!H27&lt;30,"NR",[8]Table!H27)</f>
        <v>400</v>
      </c>
      <c r="H28" s="195">
        <f>IF([8]Table!I27&lt;30,"NR",[8]Table!I27)</f>
        <v>404</v>
      </c>
      <c r="I28" s="195">
        <f>IF([8]Table!J27&lt;30,"NR",[8]Table!J27)</f>
        <v>405</v>
      </c>
      <c r="J28" s="195">
        <f>IF([8]Table!K27&lt;30,"NR",[8]Table!K27)</f>
        <v>394</v>
      </c>
      <c r="K28" s="195"/>
      <c r="L28" s="195"/>
      <c r="M28" s="195"/>
      <c r="N28" s="195"/>
      <c r="O28" s="196"/>
      <c r="P28" s="197">
        <f>ROUND(AVERAGE(D28:O28),0)</f>
        <v>390</v>
      </c>
    </row>
    <row r="29" spans="2:16" ht="15.75" x14ac:dyDescent="0.25">
      <c r="B29" s="485"/>
      <c r="C29" s="193" t="s">
        <v>204</v>
      </c>
      <c r="D29" s="26">
        <f>IF([8]Table!E28&lt;30,"NR",[8]Table!E28)</f>
        <v>1519</v>
      </c>
      <c r="E29" s="26">
        <f>IF([8]Table!F28&lt;30,"NR",[8]Table!F28)</f>
        <v>1522</v>
      </c>
      <c r="F29" s="26">
        <f>IF([8]Table!G28&lt;30,"NR",[8]Table!G28)</f>
        <v>1530</v>
      </c>
      <c r="G29" s="26">
        <f>IF([8]Table!H28&lt;30,"NR",[8]Table!H28)</f>
        <v>1506</v>
      </c>
      <c r="H29" s="26">
        <f>IF([8]Table!I28&lt;30,"NR",[8]Table!I28)</f>
        <v>1527</v>
      </c>
      <c r="I29" s="26">
        <f>IF([8]Table!J28&lt;30,"NR",[8]Table!J28)</f>
        <v>1511</v>
      </c>
      <c r="J29" s="26">
        <f>IF([8]Table!K28&lt;30,"NR",[8]Table!K28)</f>
        <v>1506</v>
      </c>
      <c r="K29" s="26"/>
      <c r="L29" s="26"/>
      <c r="M29" s="26"/>
      <c r="N29" s="26"/>
      <c r="O29" s="198"/>
      <c r="P29" s="199">
        <f t="shared" ref="P29:P38" si="2">ROUND(AVERAGE(D29:O29),0)</f>
        <v>1517</v>
      </c>
    </row>
    <row r="30" spans="2:16" ht="15.75" x14ac:dyDescent="0.25">
      <c r="B30" s="485"/>
      <c r="C30" s="193" t="s">
        <v>209</v>
      </c>
      <c r="D30" s="26">
        <f>IF([8]Table!E29&lt;30,"NR",[8]Table!E29)</f>
        <v>1104</v>
      </c>
      <c r="E30" s="26">
        <f>IF([8]Table!F29&lt;30,"NR",[8]Table!F29)</f>
        <v>1087</v>
      </c>
      <c r="F30" s="26">
        <f>IF([8]Table!G29&lt;30,"NR",[8]Table!G29)</f>
        <v>1095</v>
      </c>
      <c r="G30" s="26">
        <f>IF([8]Table!H29&lt;30,"NR",[8]Table!H29)</f>
        <v>1077</v>
      </c>
      <c r="H30" s="26">
        <f>IF([8]Table!I29&lt;30,"NR",[8]Table!I29)</f>
        <v>1093</v>
      </c>
      <c r="I30" s="26">
        <f>IF([8]Table!J29&lt;30,"NR",[8]Table!J29)</f>
        <v>1099</v>
      </c>
      <c r="J30" s="26">
        <f>IF([8]Table!K29&lt;30,"NR",[8]Table!K29)</f>
        <v>1105</v>
      </c>
      <c r="K30" s="26"/>
      <c r="L30" s="26"/>
      <c r="M30" s="26"/>
      <c r="N30" s="26"/>
      <c r="O30" s="198"/>
      <c r="P30" s="199">
        <f t="shared" si="2"/>
        <v>1094</v>
      </c>
    </row>
    <row r="31" spans="2:16" ht="15.75" x14ac:dyDescent="0.25">
      <c r="B31" s="485"/>
      <c r="C31" s="193" t="s">
        <v>210</v>
      </c>
      <c r="D31" s="26">
        <f>IF([8]Table!E30&lt;30,"NR",[8]Table!E30)</f>
        <v>3661</v>
      </c>
      <c r="E31" s="26">
        <f>IF([8]Table!F30&lt;30,"NR",[8]Table!F30)</f>
        <v>3648</v>
      </c>
      <c r="F31" s="26">
        <f>IF([8]Table!G30&lt;30,"NR",[8]Table!G30)</f>
        <v>3666</v>
      </c>
      <c r="G31" s="26">
        <f>IF([8]Table!H30&lt;30,"NR",[8]Table!H30)</f>
        <v>3663</v>
      </c>
      <c r="H31" s="26">
        <f>IF([8]Table!I30&lt;30,"NR",[8]Table!I30)</f>
        <v>3709</v>
      </c>
      <c r="I31" s="26">
        <f>IF([8]Table!J30&lt;30,"NR",[8]Table!J30)</f>
        <v>3696</v>
      </c>
      <c r="J31" s="26">
        <f>IF([8]Table!K30&lt;30,"NR",[8]Table!K30)</f>
        <v>3649</v>
      </c>
      <c r="K31" s="26"/>
      <c r="L31" s="26"/>
      <c r="M31" s="26"/>
      <c r="N31" s="26"/>
      <c r="O31" s="198"/>
      <c r="P31" s="199">
        <f t="shared" si="2"/>
        <v>3670</v>
      </c>
    </row>
    <row r="32" spans="2:16" ht="15.75" x14ac:dyDescent="0.25">
      <c r="B32" s="485"/>
      <c r="C32" s="193" t="s">
        <v>216</v>
      </c>
      <c r="D32" s="26">
        <f>IF([8]Table!E31&lt;30,"NR",[8]Table!E31)</f>
        <v>6620</v>
      </c>
      <c r="E32" s="26">
        <f>IF([8]Table!F31&lt;30,"NR",[8]Table!F31)</f>
        <v>6729</v>
      </c>
      <c r="F32" s="26">
        <f>IF([8]Table!G31&lt;30,"NR",[8]Table!G31)</f>
        <v>6746</v>
      </c>
      <c r="G32" s="26">
        <f>IF([8]Table!H31&lt;30,"NR",[8]Table!H31)</f>
        <v>6707</v>
      </c>
      <c r="H32" s="26">
        <f>IF([8]Table!I31&lt;30,"NR",[8]Table!I31)</f>
        <v>6802</v>
      </c>
      <c r="I32" s="26">
        <f>IF([8]Table!J31&lt;30,"NR",[8]Table!J31)</f>
        <v>6843</v>
      </c>
      <c r="J32" s="26">
        <f>IF([8]Table!K31&lt;30,"NR",[8]Table!K31)</f>
        <v>6779</v>
      </c>
      <c r="K32" s="26"/>
      <c r="L32" s="26"/>
      <c r="M32" s="26"/>
      <c r="N32" s="26"/>
      <c r="O32" s="198"/>
      <c r="P32" s="199">
        <f>ROUND(AVERAGE(D32:O32),0)</f>
        <v>6747</v>
      </c>
    </row>
    <row r="33" spans="2:16" ht="15.75" x14ac:dyDescent="0.25">
      <c r="B33" s="485"/>
      <c r="C33" s="193" t="s">
        <v>220</v>
      </c>
      <c r="D33" s="26">
        <f>IF([8]Table!E32&lt;30,"NR",[8]Table!E32)</f>
        <v>791</v>
      </c>
      <c r="E33" s="26">
        <f>IF([8]Table!F32&lt;30,"NR",[8]Table!F32)</f>
        <v>784</v>
      </c>
      <c r="F33" s="26">
        <f>IF([8]Table!G32&lt;30,"NR",[8]Table!G32)</f>
        <v>794</v>
      </c>
      <c r="G33" s="26">
        <f>IF([8]Table!H32&lt;30,"NR",[8]Table!H32)</f>
        <v>795</v>
      </c>
      <c r="H33" s="26">
        <f>IF([8]Table!I32&lt;30,"NR",[8]Table!I32)</f>
        <v>801</v>
      </c>
      <c r="I33" s="26">
        <f>IF([8]Table!J32&lt;30,"NR",[8]Table!J32)</f>
        <v>806</v>
      </c>
      <c r="J33" s="26">
        <f>IF([8]Table!K32&lt;30,"NR",[8]Table!K32)</f>
        <v>803</v>
      </c>
      <c r="K33" s="26"/>
      <c r="L33" s="26"/>
      <c r="M33" s="26"/>
      <c r="N33" s="26"/>
      <c r="O33" s="198"/>
      <c r="P33" s="199">
        <f t="shared" si="2"/>
        <v>796</v>
      </c>
    </row>
    <row r="34" spans="2:16" ht="15.75" x14ac:dyDescent="0.25">
      <c r="B34" s="485"/>
      <c r="C34" s="193" t="s">
        <v>230</v>
      </c>
      <c r="D34" s="26">
        <f>IF([8]Table!E33&lt;30,"NR",[8]Table!E33)</f>
        <v>589</v>
      </c>
      <c r="E34" s="26">
        <f>IF([8]Table!F33&lt;30,"NR",[8]Table!F33)</f>
        <v>570</v>
      </c>
      <c r="F34" s="26">
        <f>IF([8]Table!G33&lt;30,"NR",[8]Table!G33)</f>
        <v>568</v>
      </c>
      <c r="G34" s="26">
        <f>IF([8]Table!H33&lt;30,"NR",[8]Table!H33)</f>
        <v>561</v>
      </c>
      <c r="H34" s="26">
        <f>IF([8]Table!I33&lt;30,"NR",[8]Table!I33)</f>
        <v>573</v>
      </c>
      <c r="I34" s="26">
        <f>IF([8]Table!J33&lt;30,"NR",[8]Table!J33)</f>
        <v>573</v>
      </c>
      <c r="J34" s="26">
        <f>IF([8]Table!K33&lt;30,"NR",[8]Table!K33)</f>
        <v>569</v>
      </c>
      <c r="K34" s="26"/>
      <c r="L34" s="26"/>
      <c r="M34" s="26"/>
      <c r="N34" s="26"/>
      <c r="O34" s="198"/>
      <c r="P34" s="199">
        <f t="shared" si="2"/>
        <v>572</v>
      </c>
    </row>
    <row r="35" spans="2:16" ht="15.75" x14ac:dyDescent="0.25">
      <c r="B35" s="485"/>
      <c r="C35" s="193" t="s">
        <v>233</v>
      </c>
      <c r="D35" s="26">
        <f>IF([8]Table!E34&lt;30,"NR",[8]Table!E34)</f>
        <v>926</v>
      </c>
      <c r="E35" s="26">
        <f>IF([8]Table!F34&lt;30,"NR",[8]Table!F34)</f>
        <v>945</v>
      </c>
      <c r="F35" s="26">
        <f>IF([8]Table!G34&lt;30,"NR",[8]Table!G34)</f>
        <v>933</v>
      </c>
      <c r="G35" s="26">
        <f>IF([8]Table!H34&lt;30,"NR",[8]Table!H34)</f>
        <v>929</v>
      </c>
      <c r="H35" s="26">
        <f>IF([8]Table!I34&lt;30,"NR",[8]Table!I34)</f>
        <v>948</v>
      </c>
      <c r="I35" s="26">
        <f>IF([8]Table!J34&lt;30,"NR",[8]Table!J34)</f>
        <v>965</v>
      </c>
      <c r="J35" s="26">
        <f>IF([8]Table!K34&lt;30,"NR",[8]Table!K34)</f>
        <v>960</v>
      </c>
      <c r="K35" s="26"/>
      <c r="L35" s="26"/>
      <c r="M35" s="26"/>
      <c r="N35" s="26"/>
      <c r="O35" s="198"/>
      <c r="P35" s="199">
        <f t="shared" si="2"/>
        <v>944</v>
      </c>
    </row>
    <row r="36" spans="2:16" ht="15.75" x14ac:dyDescent="0.25">
      <c r="B36" s="485"/>
      <c r="C36" s="193" t="s">
        <v>234</v>
      </c>
      <c r="D36" s="26">
        <f>IF([8]Table!E35&lt;30,"NR",[8]Table!E35)</f>
        <v>57635</v>
      </c>
      <c r="E36" s="26">
        <f>IF([8]Table!F35&lt;30,"NR",[8]Table!F35)</f>
        <v>57982</v>
      </c>
      <c r="F36" s="26">
        <f>IF([8]Table!G35&lt;30,"NR",[8]Table!G35)</f>
        <v>58106</v>
      </c>
      <c r="G36" s="26">
        <f>IF([8]Table!H35&lt;30,"NR",[8]Table!H35)</f>
        <v>57675</v>
      </c>
      <c r="H36" s="26">
        <f>IF([8]Table!I35&lt;30,"NR",[8]Table!I35)</f>
        <v>58356</v>
      </c>
      <c r="I36" s="26">
        <f>IF([8]Table!J35&lt;30,"NR",[8]Table!J35)</f>
        <v>58420</v>
      </c>
      <c r="J36" s="26">
        <f>IF([8]Table!K35&lt;30,"NR",[8]Table!K35)</f>
        <v>58006</v>
      </c>
      <c r="K36" s="26"/>
      <c r="L36" s="26"/>
      <c r="M36" s="26"/>
      <c r="N36" s="26"/>
      <c r="O36" s="198"/>
      <c r="P36" s="199">
        <f>ROUND(AVERAGE(D36:O36),0)</f>
        <v>58026</v>
      </c>
    </row>
    <row r="37" spans="2:16" ht="15.75" x14ac:dyDescent="0.25">
      <c r="B37" s="485"/>
      <c r="C37" s="193" t="s">
        <v>235</v>
      </c>
      <c r="D37" s="26">
        <f>IF([8]Table!E36&lt;30,"NR",[8]Table!E36)</f>
        <v>2236</v>
      </c>
      <c r="E37" s="26">
        <f>IF([8]Table!F36&lt;30,"NR",[8]Table!F36)</f>
        <v>2254</v>
      </c>
      <c r="F37" s="26">
        <f>IF([8]Table!G36&lt;30,"NR",[8]Table!G36)</f>
        <v>2253</v>
      </c>
      <c r="G37" s="26">
        <f>IF([8]Table!H36&lt;30,"NR",[8]Table!H36)</f>
        <v>2230</v>
      </c>
      <c r="H37" s="26">
        <f>IF([8]Table!I36&lt;30,"NR",[8]Table!I36)</f>
        <v>2210</v>
      </c>
      <c r="I37" s="26">
        <f>IF([8]Table!J36&lt;30,"NR",[8]Table!J36)</f>
        <v>2225</v>
      </c>
      <c r="J37" s="26">
        <f>IF([8]Table!K36&lt;30,"NR",[8]Table!K36)</f>
        <v>2197</v>
      </c>
      <c r="K37" s="26"/>
      <c r="L37" s="26"/>
      <c r="M37" s="26"/>
      <c r="N37" s="26"/>
      <c r="O37" s="198"/>
      <c r="P37" s="199">
        <f>ROUNDUP(AVERAGE(D37:O37),0)</f>
        <v>2230</v>
      </c>
    </row>
    <row r="38" spans="2:16" ht="19.5" thickBot="1" x14ac:dyDescent="0.3">
      <c r="B38" s="485"/>
      <c r="C38" s="194" t="s">
        <v>245</v>
      </c>
      <c r="D38" s="200">
        <f>[8]Table!E37</f>
        <v>8</v>
      </c>
      <c r="E38" s="200">
        <f>[8]Table!F37</f>
        <v>113</v>
      </c>
      <c r="F38" s="200">
        <f>[8]Table!G37</f>
        <v>32</v>
      </c>
      <c r="G38" s="200">
        <f>[8]Table!H37</f>
        <v>39</v>
      </c>
      <c r="H38" s="200">
        <f>[8]Table!I37</f>
        <v>42</v>
      </c>
      <c r="I38" s="200">
        <f>[8]Table!J37</f>
        <v>28</v>
      </c>
      <c r="J38" s="200">
        <f>[8]Table!K37</f>
        <v>35</v>
      </c>
      <c r="K38" s="200"/>
      <c r="L38" s="200"/>
      <c r="M38" s="200"/>
      <c r="N38" s="200"/>
      <c r="O38" s="201"/>
      <c r="P38" s="202">
        <f t="shared" si="2"/>
        <v>42</v>
      </c>
    </row>
    <row r="39" spans="2:16" ht="17.25" thickTop="1" thickBot="1" x14ac:dyDescent="0.3">
      <c r="B39" s="486"/>
      <c r="C39" s="203" t="s">
        <v>39</v>
      </c>
      <c r="D39" s="204">
        <f>IF(COUNTIFS(D28:D38,"NR")=1,"NR",IF(COUNTIFS(D28:D38,"NR")&gt;1,[8]Table!E38,SUM(D28:D38)))</f>
        <v>75454</v>
      </c>
      <c r="E39" s="204">
        <f>IF(COUNTIFS(E28:E38,"NR")=1,"NR",IF(COUNTIFS(E28:E38,"NR")&gt;1,[8]Table!F38,SUM(E28:E38)))</f>
        <v>76014</v>
      </c>
      <c r="F39" s="204">
        <f>IF(COUNTIFS(F28:F38,"NR")=1,"NR",IF(COUNTIFS(F28:F38,"NR")&gt;1,[8]Table!G38,SUM(F28:F38)))</f>
        <v>76104</v>
      </c>
      <c r="G39" s="204">
        <f>IF(COUNTIFS(G28:G38,"NR")=1,"NR",IF(COUNTIFS(G28:G38,"NR")&gt;1,[8]Table!H38,SUM(G28:G38)))</f>
        <v>75582</v>
      </c>
      <c r="H39" s="204">
        <f>IF(COUNTIFS(H28:H38,"NR")=1,"NR",IF(COUNTIFS(H28:H38,"NR")&gt;1,[8]Table!I38,SUM(H28:H38)))</f>
        <v>76465</v>
      </c>
      <c r="I39" s="204">
        <f>IF(COUNTIFS(I28:I38,"NR")=1,"NR",IF(COUNTIFS(I28:I38,"NR")&gt;1,[8]Table!J38,SUM(I28:I38)))</f>
        <v>76571</v>
      </c>
      <c r="J39" s="204">
        <f>IF(COUNTIFS(J28:J38,"NR")=1,"NR",IF(COUNTIFS(J28:J38,"NR")&gt;1,[8]Table!K38,SUM(J28:J38)))</f>
        <v>76003</v>
      </c>
      <c r="K39" s="204"/>
      <c r="L39" s="204"/>
      <c r="M39" s="204"/>
      <c r="N39" s="204"/>
      <c r="O39" s="205"/>
      <c r="P39" s="206">
        <f>ROUND(AVERAGE(D39:O39),0)</f>
        <v>76028</v>
      </c>
    </row>
    <row r="40" spans="2:16" ht="15.75" x14ac:dyDescent="0.25">
      <c r="B40" s="484" t="s">
        <v>323</v>
      </c>
      <c r="C40" s="192" t="s">
        <v>172</v>
      </c>
      <c r="D40" s="195">
        <f>IF([8]Table!E39&lt;30,"NR",[8]Table!E39)</f>
        <v>119519</v>
      </c>
      <c r="E40" s="195">
        <f>IF([8]Table!F39&lt;30,"NR",[8]Table!F39)</f>
        <v>119852</v>
      </c>
      <c r="F40" s="195">
        <f>IF([8]Table!G39&lt;30,"NR",[8]Table!G39)</f>
        <v>120579</v>
      </c>
      <c r="G40" s="195">
        <f>IF([8]Table!H39&lt;30,"NR",[8]Table!H39)</f>
        <v>119267</v>
      </c>
      <c r="H40" s="195">
        <f>IF([8]Table!I39&lt;30,"NR",[8]Table!I39)</f>
        <v>120451</v>
      </c>
      <c r="I40" s="195">
        <f>IF([8]Table!J39&lt;30,"NR",[8]Table!J39)</f>
        <v>120790</v>
      </c>
      <c r="J40" s="195">
        <f>IF([8]Table!K39&lt;30,"NR",[8]Table!K39)</f>
        <v>119982</v>
      </c>
      <c r="K40" s="195"/>
      <c r="L40" s="195"/>
      <c r="M40" s="195"/>
      <c r="N40" s="195"/>
      <c r="O40" s="196"/>
      <c r="P40" s="197">
        <f>ROUNDDOWN(AVERAGE(D40:O40),0)</f>
        <v>120062</v>
      </c>
    </row>
    <row r="41" spans="2:16" ht="15.75" x14ac:dyDescent="0.25">
      <c r="B41" s="485"/>
      <c r="C41" s="193" t="s">
        <v>174</v>
      </c>
      <c r="D41" s="26">
        <f>IF([8]Table!E40&lt;30,"NR",[8]Table!E40)</f>
        <v>111876</v>
      </c>
      <c r="E41" s="26">
        <f>IF([8]Table!F40&lt;30,"NR",[8]Table!F40)</f>
        <v>112192</v>
      </c>
      <c r="F41" s="26">
        <f>IF([8]Table!G40&lt;30,"NR",[8]Table!G40)</f>
        <v>112689</v>
      </c>
      <c r="G41" s="26">
        <f>IF([8]Table!H40&lt;30,"NR",[8]Table!H40)</f>
        <v>111785</v>
      </c>
      <c r="H41" s="26">
        <f>IF([8]Table!I40&lt;30,"NR",[8]Table!I40)</f>
        <v>112890</v>
      </c>
      <c r="I41" s="26">
        <f>IF([8]Table!J40&lt;30,"NR",[8]Table!J40)</f>
        <v>112897</v>
      </c>
      <c r="J41" s="26">
        <f>IF([8]Table!K40&lt;30,"NR",[8]Table!K40)</f>
        <v>112006</v>
      </c>
      <c r="K41" s="26"/>
      <c r="L41" s="26"/>
      <c r="M41" s="26"/>
      <c r="N41" s="26"/>
      <c r="O41" s="198"/>
      <c r="P41" s="199">
        <f>ROUND(AVERAGE(D41:O41),0)</f>
        <v>112334</v>
      </c>
    </row>
    <row r="42" spans="2:16" ht="15.75" x14ac:dyDescent="0.25">
      <c r="B42" s="485"/>
      <c r="C42" s="193" t="s">
        <v>190</v>
      </c>
      <c r="D42" s="26">
        <f>IF([8]Table!E41&lt;30,"NR",[8]Table!E41)</f>
        <v>21012</v>
      </c>
      <c r="E42" s="26">
        <f>IF([8]Table!F41&lt;30,"NR",[8]Table!F41)</f>
        <v>21135</v>
      </c>
      <c r="F42" s="26">
        <f>IF([8]Table!G41&lt;30,"NR",[8]Table!G41)</f>
        <v>21291</v>
      </c>
      <c r="G42" s="26">
        <f>IF([8]Table!H41&lt;30,"NR",[8]Table!H41)</f>
        <v>21189</v>
      </c>
      <c r="H42" s="26">
        <f>IF([8]Table!I41&lt;30,"NR",[8]Table!I41)</f>
        <v>21444</v>
      </c>
      <c r="I42" s="26">
        <f>IF([8]Table!J41&lt;30,"NR",[8]Table!J41)</f>
        <v>21498</v>
      </c>
      <c r="J42" s="26">
        <f>IF([8]Table!K41&lt;30,"NR",[8]Table!K41)</f>
        <v>21315</v>
      </c>
      <c r="K42" s="26"/>
      <c r="L42" s="26"/>
      <c r="M42" s="26"/>
      <c r="N42" s="26"/>
      <c r="O42" s="198"/>
      <c r="P42" s="199">
        <f t="shared" ref="P42:P43" si="3">ROUND(AVERAGE(D42:O42),0)</f>
        <v>21269</v>
      </c>
    </row>
    <row r="43" spans="2:16" ht="19.5" thickBot="1" x14ac:dyDescent="0.3">
      <c r="B43" s="485"/>
      <c r="C43" s="194" t="s">
        <v>245</v>
      </c>
      <c r="D43" s="200">
        <f>[8]Table!E42</f>
        <v>165</v>
      </c>
      <c r="E43" s="200">
        <f>[8]Table!F42</f>
        <v>457</v>
      </c>
      <c r="F43" s="200">
        <f>[8]Table!G42</f>
        <v>246</v>
      </c>
      <c r="G43" s="200">
        <f>[8]Table!H42</f>
        <v>246</v>
      </c>
      <c r="H43" s="200">
        <f>[8]Table!I42</f>
        <v>298</v>
      </c>
      <c r="I43" s="200">
        <f>[8]Table!J42</f>
        <v>200</v>
      </c>
      <c r="J43" s="200">
        <f>[8]Table!K42</f>
        <v>276</v>
      </c>
      <c r="K43" s="200"/>
      <c r="L43" s="200"/>
      <c r="M43" s="200"/>
      <c r="N43" s="200"/>
      <c r="O43" s="201"/>
      <c r="P43" s="202">
        <f t="shared" si="3"/>
        <v>270</v>
      </c>
    </row>
    <row r="44" spans="2:16" ht="17.25" thickTop="1" thickBot="1" x14ac:dyDescent="0.3">
      <c r="B44" s="486"/>
      <c r="C44" s="203" t="s">
        <v>39</v>
      </c>
      <c r="D44" s="204">
        <f>IF(COUNTIFS(D40:D43,"NR")=1,"NR",IF(COUNTIFS(D40:D43,"NR")&gt;1,[8]Table!E43,SUM(D40:D43)))</f>
        <v>252572</v>
      </c>
      <c r="E44" s="204">
        <f>IF(COUNTIFS(E40:E43,"NR")=1,"NR",IF(COUNTIFS(E40:E43,"NR")&gt;1,[8]Table!F43,SUM(E40:E43)))</f>
        <v>253636</v>
      </c>
      <c r="F44" s="204">
        <f>IF(COUNTIFS(F40:F43,"NR")=1,"NR",IF(COUNTIFS(F40:F43,"NR")&gt;1,[8]Table!G43,SUM(F40:F43)))</f>
        <v>254805</v>
      </c>
      <c r="G44" s="204">
        <f>IF(COUNTIFS(G40:G43,"NR")=1,"NR",IF(COUNTIFS(G40:G43,"NR")&gt;1,[8]Table!H43,SUM(G40:G43)))</f>
        <v>252487</v>
      </c>
      <c r="H44" s="204">
        <f>IF(COUNTIFS(H40:H43,"NR")=1,"NR",IF(COUNTIFS(H40:H43,"NR")&gt;1,[8]Table!I43,SUM(H40:H43)))</f>
        <v>255083</v>
      </c>
      <c r="I44" s="204">
        <f>IF(COUNTIFS(I40:I43,"NR")=1,"NR",IF(COUNTIFS(I40:I43,"NR")&gt;1,[8]Table!J43,SUM(I40:I43)))</f>
        <v>255385</v>
      </c>
      <c r="J44" s="204">
        <f>IF(COUNTIFS(J40:J43,"NR")=1,"NR",IF(COUNTIFS(J40:J43,"NR")&gt;1,[8]Table!K43,SUM(J40:J43)))</f>
        <v>253579</v>
      </c>
      <c r="K44" s="204"/>
      <c r="L44" s="204"/>
      <c r="M44" s="204"/>
      <c r="N44" s="204"/>
      <c r="O44" s="205"/>
      <c r="P44" s="206">
        <f t="shared" ref="P44:P64" si="4">ROUND(AVERAGE(D44:O44),0)</f>
        <v>253935</v>
      </c>
    </row>
    <row r="45" spans="2:16" ht="15.75" x14ac:dyDescent="0.25">
      <c r="B45" s="484" t="s">
        <v>239</v>
      </c>
      <c r="C45" s="192" t="s">
        <v>173</v>
      </c>
      <c r="D45" s="195">
        <f>IF([8]Table!E44&lt;30,"NR",[8]Table!E44)</f>
        <v>6101</v>
      </c>
      <c r="E45" s="195">
        <f>IF([8]Table!F44&lt;30,"NR",[8]Table!F44)</f>
        <v>6110</v>
      </c>
      <c r="F45" s="195">
        <f>IF([8]Table!G44&lt;30,"NR",[8]Table!G44)</f>
        <v>6147</v>
      </c>
      <c r="G45" s="195">
        <f>IF([8]Table!H44&lt;30,"NR",[8]Table!H44)</f>
        <v>6144</v>
      </c>
      <c r="H45" s="195">
        <f>IF([8]Table!I44&lt;30,"NR",[8]Table!I44)</f>
        <v>6205</v>
      </c>
      <c r="I45" s="195">
        <f>IF([8]Table!J44&lt;30,"NR",[8]Table!J44)</f>
        <v>6232</v>
      </c>
      <c r="J45" s="195">
        <f>IF([8]Table!K44&lt;30,"NR",[8]Table!K44)</f>
        <v>6196</v>
      </c>
      <c r="K45" s="195"/>
      <c r="L45" s="195"/>
      <c r="M45" s="195"/>
      <c r="N45" s="195"/>
      <c r="O45" s="196"/>
      <c r="P45" s="197">
        <f t="shared" si="4"/>
        <v>6162</v>
      </c>
    </row>
    <row r="46" spans="2:16" ht="15.75" x14ac:dyDescent="0.25">
      <c r="B46" s="485"/>
      <c r="C46" s="193" t="s">
        <v>176</v>
      </c>
      <c r="D46" s="26">
        <f>IF([8]Table!E45&lt;30,"NR",[8]Table!E45)</f>
        <v>1044</v>
      </c>
      <c r="E46" s="26">
        <f>IF([8]Table!F45&lt;30,"NR",[8]Table!F45)</f>
        <v>1049</v>
      </c>
      <c r="F46" s="26">
        <f>IF([8]Table!G45&lt;30,"NR",[8]Table!G45)</f>
        <v>1054</v>
      </c>
      <c r="G46" s="26">
        <f>IF([8]Table!H45&lt;30,"NR",[8]Table!H45)</f>
        <v>1069</v>
      </c>
      <c r="H46" s="26">
        <f>IF([8]Table!I45&lt;30,"NR",[8]Table!I45)</f>
        <v>1075</v>
      </c>
      <c r="I46" s="26">
        <f>IF([8]Table!J45&lt;30,"NR",[8]Table!J45)</f>
        <v>1066</v>
      </c>
      <c r="J46" s="26">
        <f>IF([8]Table!K45&lt;30,"NR",[8]Table!K45)</f>
        <v>1058</v>
      </c>
      <c r="K46" s="26"/>
      <c r="L46" s="26"/>
      <c r="M46" s="26"/>
      <c r="N46" s="26"/>
      <c r="O46" s="198"/>
      <c r="P46" s="199">
        <f t="shared" si="4"/>
        <v>1059</v>
      </c>
    </row>
    <row r="47" spans="2:16" ht="15.75" x14ac:dyDescent="0.25">
      <c r="B47" s="485"/>
      <c r="C47" s="193" t="s">
        <v>177</v>
      </c>
      <c r="D47" s="26">
        <f>IF([8]Table!E46&lt;30,"NR",[8]Table!E46)</f>
        <v>1553</v>
      </c>
      <c r="E47" s="26">
        <f>IF([8]Table!F46&lt;30,"NR",[8]Table!F46)</f>
        <v>1539</v>
      </c>
      <c r="F47" s="26">
        <f>IF([8]Table!G46&lt;30,"NR",[8]Table!G46)</f>
        <v>1547</v>
      </c>
      <c r="G47" s="26">
        <f>IF([8]Table!H46&lt;30,"NR",[8]Table!H46)</f>
        <v>1534</v>
      </c>
      <c r="H47" s="26">
        <f>IF([8]Table!I46&lt;30,"NR",[8]Table!I46)</f>
        <v>1545</v>
      </c>
      <c r="I47" s="26">
        <f>IF([8]Table!J46&lt;30,"NR",[8]Table!J46)</f>
        <v>1544</v>
      </c>
      <c r="J47" s="26">
        <f>IF([8]Table!K46&lt;30,"NR",[8]Table!K46)</f>
        <v>1531</v>
      </c>
      <c r="K47" s="26"/>
      <c r="L47" s="26"/>
      <c r="M47" s="26"/>
      <c r="N47" s="26"/>
      <c r="O47" s="198"/>
      <c r="P47" s="199">
        <f t="shared" si="4"/>
        <v>1542</v>
      </c>
    </row>
    <row r="48" spans="2:16" ht="15.75" x14ac:dyDescent="0.25">
      <c r="B48" s="485"/>
      <c r="C48" s="193" t="s">
        <v>180</v>
      </c>
      <c r="D48" s="26">
        <f>IF([8]Table!E47&lt;30,"NR",[8]Table!E47)</f>
        <v>3221</v>
      </c>
      <c r="E48" s="26">
        <f>IF([8]Table!F47&lt;30,"NR",[8]Table!F47)</f>
        <v>3230</v>
      </c>
      <c r="F48" s="26">
        <f>IF([8]Table!G47&lt;30,"NR",[8]Table!G47)</f>
        <v>3242</v>
      </c>
      <c r="G48" s="26">
        <f>IF([8]Table!H47&lt;30,"NR",[8]Table!H47)</f>
        <v>3202</v>
      </c>
      <c r="H48" s="26">
        <f>IF([8]Table!I47&lt;30,"NR",[8]Table!I47)</f>
        <v>3216</v>
      </c>
      <c r="I48" s="26">
        <f>IF([8]Table!J47&lt;30,"NR",[8]Table!J47)</f>
        <v>3186</v>
      </c>
      <c r="J48" s="26">
        <f>IF([8]Table!K47&lt;30,"NR",[8]Table!K47)</f>
        <v>3091</v>
      </c>
      <c r="K48" s="26"/>
      <c r="L48" s="26"/>
      <c r="M48" s="26"/>
      <c r="N48" s="26"/>
      <c r="O48" s="198"/>
      <c r="P48" s="199">
        <f t="shared" si="4"/>
        <v>3198</v>
      </c>
    </row>
    <row r="49" spans="2:16" ht="15.75" x14ac:dyDescent="0.25">
      <c r="B49" s="485"/>
      <c r="C49" s="193" t="s">
        <v>183</v>
      </c>
      <c r="D49" s="26">
        <f>IF([8]Table!E48&lt;30,"NR",[8]Table!E48)</f>
        <v>2931</v>
      </c>
      <c r="E49" s="26">
        <f>IF([8]Table!F48&lt;30,"NR",[8]Table!F48)</f>
        <v>2944</v>
      </c>
      <c r="F49" s="26">
        <f>IF([8]Table!G48&lt;30,"NR",[8]Table!G48)</f>
        <v>2947</v>
      </c>
      <c r="G49" s="26">
        <f>IF([8]Table!H48&lt;30,"NR",[8]Table!H48)</f>
        <v>2907</v>
      </c>
      <c r="H49" s="26">
        <f>IF([8]Table!I48&lt;30,"NR",[8]Table!I48)</f>
        <v>2908</v>
      </c>
      <c r="I49" s="26">
        <f>IF([8]Table!J48&lt;30,"NR",[8]Table!J48)</f>
        <v>2885</v>
      </c>
      <c r="J49" s="26">
        <f>IF([8]Table!K48&lt;30,"NR",[8]Table!K48)</f>
        <v>2865</v>
      </c>
      <c r="K49" s="26"/>
      <c r="L49" s="26"/>
      <c r="M49" s="26"/>
      <c r="N49" s="26"/>
      <c r="O49" s="198"/>
      <c r="P49" s="199">
        <f t="shared" si="4"/>
        <v>2912</v>
      </c>
    </row>
    <row r="50" spans="2:16" ht="15.75" x14ac:dyDescent="0.25">
      <c r="B50" s="485"/>
      <c r="C50" s="193" t="s">
        <v>184</v>
      </c>
      <c r="D50" s="26">
        <f>IF([8]Table!E49&lt;30,"NR",[8]Table!E49)</f>
        <v>1648</v>
      </c>
      <c r="E50" s="26">
        <f>IF([8]Table!F49&lt;30,"NR",[8]Table!F49)</f>
        <v>1636</v>
      </c>
      <c r="F50" s="26">
        <f>IF([8]Table!G49&lt;30,"NR",[8]Table!G49)</f>
        <v>1657</v>
      </c>
      <c r="G50" s="26">
        <f>IF([8]Table!H49&lt;30,"NR",[8]Table!H49)</f>
        <v>1633</v>
      </c>
      <c r="H50" s="26">
        <f>IF([8]Table!I49&lt;30,"NR",[8]Table!I49)</f>
        <v>1645</v>
      </c>
      <c r="I50" s="26">
        <f>IF([8]Table!J49&lt;30,"NR",[8]Table!J49)</f>
        <v>1633</v>
      </c>
      <c r="J50" s="26">
        <f>IF([8]Table!K49&lt;30,"NR",[8]Table!K49)</f>
        <v>1619</v>
      </c>
      <c r="K50" s="26"/>
      <c r="L50" s="26"/>
      <c r="M50" s="26"/>
      <c r="N50" s="26"/>
      <c r="O50" s="198"/>
      <c r="P50" s="199">
        <f t="shared" si="4"/>
        <v>1639</v>
      </c>
    </row>
    <row r="51" spans="2:16" ht="15.75" x14ac:dyDescent="0.25">
      <c r="B51" s="485"/>
      <c r="C51" s="193" t="s">
        <v>185</v>
      </c>
      <c r="D51" s="26">
        <f>IF([8]Table!E50&lt;30,"NR",[8]Table!E50)</f>
        <v>1188</v>
      </c>
      <c r="E51" s="26">
        <f>IF([8]Table!F50&lt;30,"NR",[8]Table!F50)</f>
        <v>1206</v>
      </c>
      <c r="F51" s="26">
        <f>IF([8]Table!G50&lt;30,"NR",[8]Table!G50)</f>
        <v>1190</v>
      </c>
      <c r="G51" s="26">
        <f>IF([8]Table!H50&lt;30,"NR",[8]Table!H50)</f>
        <v>1180</v>
      </c>
      <c r="H51" s="26">
        <f>IF([8]Table!I50&lt;30,"NR",[8]Table!I50)</f>
        <v>1197</v>
      </c>
      <c r="I51" s="26">
        <f>IF([8]Table!J50&lt;30,"NR",[8]Table!J50)</f>
        <v>1194</v>
      </c>
      <c r="J51" s="26">
        <f>IF([8]Table!K50&lt;30,"NR",[8]Table!K50)</f>
        <v>1186</v>
      </c>
      <c r="K51" s="26"/>
      <c r="L51" s="26"/>
      <c r="M51" s="26"/>
      <c r="N51" s="26"/>
      <c r="O51" s="198"/>
      <c r="P51" s="199">
        <f t="shared" si="4"/>
        <v>1192</v>
      </c>
    </row>
    <row r="52" spans="2:16" ht="15.75" x14ac:dyDescent="0.25">
      <c r="B52" s="485"/>
      <c r="C52" s="193" t="s">
        <v>186</v>
      </c>
      <c r="D52" s="26">
        <f>IF([8]Table!E51&lt;30,"NR",[8]Table!E51)</f>
        <v>711</v>
      </c>
      <c r="E52" s="26">
        <f>IF([8]Table!F51&lt;30,"NR",[8]Table!F51)</f>
        <v>714</v>
      </c>
      <c r="F52" s="26">
        <f>IF([8]Table!G51&lt;30,"NR",[8]Table!G51)</f>
        <v>723</v>
      </c>
      <c r="G52" s="26">
        <f>IF([8]Table!H51&lt;30,"NR",[8]Table!H51)</f>
        <v>758</v>
      </c>
      <c r="H52" s="26">
        <f>IF([8]Table!I51&lt;30,"NR",[8]Table!I51)</f>
        <v>768</v>
      </c>
      <c r="I52" s="26">
        <f>IF([8]Table!J51&lt;30,"NR",[8]Table!J51)</f>
        <v>766</v>
      </c>
      <c r="J52" s="26">
        <f>IF([8]Table!K51&lt;30,"NR",[8]Table!K51)</f>
        <v>763</v>
      </c>
      <c r="K52" s="26"/>
      <c r="L52" s="26"/>
      <c r="M52" s="26"/>
      <c r="N52" s="26"/>
      <c r="O52" s="198"/>
      <c r="P52" s="199">
        <f t="shared" si="4"/>
        <v>743</v>
      </c>
    </row>
    <row r="53" spans="2:16" ht="15.75" x14ac:dyDescent="0.25">
      <c r="B53" s="485"/>
      <c r="C53" s="193" t="s">
        <v>194</v>
      </c>
      <c r="D53" s="26">
        <f>IF([8]Table!E52&lt;30,"NR",[8]Table!E52)</f>
        <v>10712</v>
      </c>
      <c r="E53" s="26">
        <f>IF([8]Table!F52&lt;30,"NR",[8]Table!F52)</f>
        <v>10810</v>
      </c>
      <c r="F53" s="26">
        <f>IF([8]Table!G52&lt;30,"NR",[8]Table!G52)</f>
        <v>10896</v>
      </c>
      <c r="G53" s="26">
        <f>IF([8]Table!H52&lt;30,"NR",[8]Table!H52)</f>
        <v>10823</v>
      </c>
      <c r="H53" s="26">
        <f>IF([8]Table!I52&lt;30,"NR",[8]Table!I52)</f>
        <v>10989</v>
      </c>
      <c r="I53" s="26">
        <f>IF([8]Table!J52&lt;30,"NR",[8]Table!J52)</f>
        <v>11051</v>
      </c>
      <c r="J53" s="26">
        <f>IF([8]Table!K52&lt;30,"NR",[8]Table!K52)</f>
        <v>11066</v>
      </c>
      <c r="K53" s="26"/>
      <c r="L53" s="26"/>
      <c r="M53" s="26"/>
      <c r="N53" s="26"/>
      <c r="O53" s="198"/>
      <c r="P53" s="199">
        <f>ROUND(AVERAGE(D53:O53),0)</f>
        <v>10907</v>
      </c>
    </row>
    <row r="54" spans="2:16" ht="15.75" x14ac:dyDescent="0.25">
      <c r="B54" s="485"/>
      <c r="C54" s="193" t="s">
        <v>200</v>
      </c>
      <c r="D54" s="26">
        <f>IF([8]Table!E53&lt;30,"NR",[8]Table!E53)</f>
        <v>2377</v>
      </c>
      <c r="E54" s="26">
        <f>IF([8]Table!F53&lt;30,"NR",[8]Table!F53)</f>
        <v>2389</v>
      </c>
      <c r="F54" s="26">
        <f>IF([8]Table!G53&lt;30,"NR",[8]Table!G53)</f>
        <v>2387</v>
      </c>
      <c r="G54" s="26">
        <f>IF([8]Table!H53&lt;30,"NR",[8]Table!H53)</f>
        <v>2387</v>
      </c>
      <c r="H54" s="26">
        <f>IF([8]Table!I53&lt;30,"NR",[8]Table!I53)</f>
        <v>2409</v>
      </c>
      <c r="I54" s="26">
        <f>IF([8]Table!J53&lt;30,"NR",[8]Table!J53)</f>
        <v>2395</v>
      </c>
      <c r="J54" s="26">
        <f>IF([8]Table!K53&lt;30,"NR",[8]Table!K53)</f>
        <v>2394</v>
      </c>
      <c r="K54" s="26"/>
      <c r="L54" s="26"/>
      <c r="M54" s="26"/>
      <c r="N54" s="26"/>
      <c r="O54" s="198"/>
      <c r="P54" s="199">
        <f t="shared" si="4"/>
        <v>2391</v>
      </c>
    </row>
    <row r="55" spans="2:16" ht="15.75" x14ac:dyDescent="0.25">
      <c r="B55" s="485"/>
      <c r="C55" s="193" t="s">
        <v>203</v>
      </c>
      <c r="D55" s="26">
        <f>IF([8]Table!E54&lt;30,"NR",[8]Table!E54)</f>
        <v>298</v>
      </c>
      <c r="E55" s="26">
        <f>IF([8]Table!F54&lt;30,"NR",[8]Table!F54)</f>
        <v>300</v>
      </c>
      <c r="F55" s="26">
        <f>IF([8]Table!G54&lt;30,"NR",[8]Table!G54)</f>
        <v>299</v>
      </c>
      <c r="G55" s="26">
        <f>IF([8]Table!H54&lt;30,"NR",[8]Table!H54)</f>
        <v>300</v>
      </c>
      <c r="H55" s="26">
        <f>IF([8]Table!I54&lt;30,"NR",[8]Table!I54)</f>
        <v>306</v>
      </c>
      <c r="I55" s="26">
        <f>IF([8]Table!J54&lt;30,"NR",[8]Table!J54)</f>
        <v>317</v>
      </c>
      <c r="J55" s="26">
        <f>IF([8]Table!K54&lt;30,"NR",[8]Table!K54)</f>
        <v>308</v>
      </c>
      <c r="K55" s="26"/>
      <c r="L55" s="26"/>
      <c r="M55" s="26"/>
      <c r="N55" s="26"/>
      <c r="O55" s="198"/>
      <c r="P55" s="199">
        <f t="shared" si="4"/>
        <v>304</v>
      </c>
    </row>
    <row r="56" spans="2:16" ht="15.75" x14ac:dyDescent="0.25">
      <c r="B56" s="485"/>
      <c r="C56" s="193" t="s">
        <v>206</v>
      </c>
      <c r="D56" s="26">
        <f>IF([8]Table!E55&lt;30,"NR",[8]Table!E55)</f>
        <v>1517</v>
      </c>
      <c r="E56" s="26">
        <f>IF([8]Table!F55&lt;30,"NR",[8]Table!F55)</f>
        <v>1490</v>
      </c>
      <c r="F56" s="26">
        <f>IF([8]Table!G55&lt;30,"NR",[8]Table!G55)</f>
        <v>1489</v>
      </c>
      <c r="G56" s="26">
        <f>IF([8]Table!H55&lt;30,"NR",[8]Table!H55)</f>
        <v>1476</v>
      </c>
      <c r="H56" s="26">
        <f>IF([8]Table!I55&lt;30,"NR",[8]Table!I55)</f>
        <v>1447</v>
      </c>
      <c r="I56" s="26">
        <f>IF([8]Table!J55&lt;30,"NR",[8]Table!J55)</f>
        <v>1422</v>
      </c>
      <c r="J56" s="26">
        <f>IF([8]Table!K55&lt;30,"NR",[8]Table!K55)</f>
        <v>1393</v>
      </c>
      <c r="K56" s="26"/>
      <c r="L56" s="26"/>
      <c r="M56" s="26"/>
      <c r="N56" s="26"/>
      <c r="O56" s="198"/>
      <c r="P56" s="199">
        <f t="shared" si="4"/>
        <v>1462</v>
      </c>
    </row>
    <row r="57" spans="2:16" ht="15.75" x14ac:dyDescent="0.25">
      <c r="B57" s="485"/>
      <c r="C57" s="193" t="s">
        <v>208</v>
      </c>
      <c r="D57" s="26">
        <f>IF([8]Table!E56&lt;30,"NR",[8]Table!E56)</f>
        <v>4605</v>
      </c>
      <c r="E57" s="26">
        <f>IF([8]Table!F56&lt;30,"NR",[8]Table!F56)</f>
        <v>4654</v>
      </c>
      <c r="F57" s="26">
        <f>IF([8]Table!G56&lt;30,"NR",[8]Table!G56)</f>
        <v>4649</v>
      </c>
      <c r="G57" s="26">
        <f>IF([8]Table!H56&lt;30,"NR",[8]Table!H56)</f>
        <v>4654</v>
      </c>
      <c r="H57" s="26">
        <f>IF([8]Table!I56&lt;30,"NR",[8]Table!I56)</f>
        <v>4693</v>
      </c>
      <c r="I57" s="26">
        <f>IF([8]Table!J56&lt;30,"NR",[8]Table!J56)</f>
        <v>4762</v>
      </c>
      <c r="J57" s="26">
        <f>IF([8]Table!K56&lt;30,"NR",[8]Table!K56)</f>
        <v>4758</v>
      </c>
      <c r="K57" s="26"/>
      <c r="L57" s="26"/>
      <c r="M57" s="26"/>
      <c r="N57" s="26"/>
      <c r="O57" s="198"/>
      <c r="P57" s="199">
        <f t="shared" si="4"/>
        <v>4682</v>
      </c>
    </row>
    <row r="58" spans="2:16" ht="15.75" x14ac:dyDescent="0.25">
      <c r="B58" s="485"/>
      <c r="C58" s="193" t="s">
        <v>212</v>
      </c>
      <c r="D58" s="26">
        <f>IF([8]Table!E57&lt;30,"NR",[8]Table!E57)</f>
        <v>129</v>
      </c>
      <c r="E58" s="26">
        <f>IF([8]Table!F57&lt;30,"NR",[8]Table!F57)</f>
        <v>128</v>
      </c>
      <c r="F58" s="26">
        <f>IF([8]Table!G57&lt;30,"NR",[8]Table!G57)</f>
        <v>132</v>
      </c>
      <c r="G58" s="26">
        <f>IF([8]Table!H57&lt;30,"NR",[8]Table!H57)</f>
        <v>131</v>
      </c>
      <c r="H58" s="26">
        <f>IF([8]Table!I57&lt;30,"NR",[8]Table!I57)</f>
        <v>136</v>
      </c>
      <c r="I58" s="26">
        <f>IF([8]Table!J57&lt;30,"NR",[8]Table!J57)</f>
        <v>138</v>
      </c>
      <c r="J58" s="26">
        <f>IF([8]Table!K57&lt;30,"NR",[8]Table!K57)</f>
        <v>140</v>
      </c>
      <c r="K58" s="26"/>
      <c r="L58" s="26"/>
      <c r="M58" s="26"/>
      <c r="N58" s="26"/>
      <c r="O58" s="198"/>
      <c r="P58" s="199">
        <f t="shared" si="4"/>
        <v>133</v>
      </c>
    </row>
    <row r="59" spans="2:16" ht="15.75" x14ac:dyDescent="0.25">
      <c r="B59" s="485"/>
      <c r="C59" s="193" t="s">
        <v>217</v>
      </c>
      <c r="D59" s="26">
        <f>IF([8]Table!E58&lt;30,"NR",[8]Table!E58)</f>
        <v>6457</v>
      </c>
      <c r="E59" s="26">
        <f>IF([8]Table!F58&lt;30,"NR",[8]Table!F58)</f>
        <v>6479</v>
      </c>
      <c r="F59" s="26">
        <f>IF([8]Table!G58&lt;30,"NR",[8]Table!G58)</f>
        <v>6545</v>
      </c>
      <c r="G59" s="26">
        <f>IF([8]Table!H58&lt;30,"NR",[8]Table!H58)</f>
        <v>6486</v>
      </c>
      <c r="H59" s="26">
        <f>IF([8]Table!I58&lt;30,"NR",[8]Table!I58)</f>
        <v>6517</v>
      </c>
      <c r="I59" s="26">
        <f>IF([8]Table!J58&lt;30,"NR",[8]Table!J58)</f>
        <v>6531</v>
      </c>
      <c r="J59" s="26">
        <f>IF([8]Table!K58&lt;30,"NR",[8]Table!K58)</f>
        <v>6475</v>
      </c>
      <c r="K59" s="26"/>
      <c r="L59" s="26"/>
      <c r="M59" s="26"/>
      <c r="N59" s="26"/>
      <c r="O59" s="198"/>
      <c r="P59" s="199">
        <f t="shared" si="4"/>
        <v>6499</v>
      </c>
    </row>
    <row r="60" spans="2:16" ht="15.75" x14ac:dyDescent="0.25">
      <c r="B60" s="485"/>
      <c r="C60" s="193" t="s">
        <v>222</v>
      </c>
      <c r="D60" s="26">
        <f>IF([8]Table!E59&lt;30,"NR",[8]Table!E59)</f>
        <v>4400</v>
      </c>
      <c r="E60" s="26">
        <f>IF([8]Table!F59&lt;30,"NR",[8]Table!F59)</f>
        <v>4441</v>
      </c>
      <c r="F60" s="26">
        <f>IF([8]Table!G59&lt;30,"NR",[8]Table!G59)</f>
        <v>4463</v>
      </c>
      <c r="G60" s="26">
        <f>IF([8]Table!H59&lt;30,"NR",[8]Table!H59)</f>
        <v>4352</v>
      </c>
      <c r="H60" s="26">
        <f>IF([8]Table!I59&lt;30,"NR",[8]Table!I59)</f>
        <v>4350</v>
      </c>
      <c r="I60" s="26">
        <f>IF([8]Table!J59&lt;30,"NR",[8]Table!J59)</f>
        <v>4342</v>
      </c>
      <c r="J60" s="26">
        <f>IF([8]Table!K59&lt;30,"NR",[8]Table!K59)</f>
        <v>4349</v>
      </c>
      <c r="K60" s="26"/>
      <c r="L60" s="26"/>
      <c r="M60" s="26"/>
      <c r="N60" s="26"/>
      <c r="O60" s="198"/>
      <c r="P60" s="199">
        <f t="shared" si="4"/>
        <v>4385</v>
      </c>
    </row>
    <row r="61" spans="2:16" ht="15.75" x14ac:dyDescent="0.25">
      <c r="B61" s="485"/>
      <c r="C61" s="193" t="s">
        <v>223</v>
      </c>
      <c r="D61" s="26">
        <f>IF([8]Table!E60&lt;30,"NR",[8]Table!E60)</f>
        <v>57279</v>
      </c>
      <c r="E61" s="26">
        <f>IF([8]Table!F60&lt;30,"NR",[8]Table!F60)</f>
        <v>57480</v>
      </c>
      <c r="F61" s="26">
        <f>IF([8]Table!G60&lt;30,"NR",[8]Table!G60)</f>
        <v>57846</v>
      </c>
      <c r="G61" s="26">
        <f>IF([8]Table!H60&lt;30,"NR",[8]Table!H60)</f>
        <v>57639</v>
      </c>
      <c r="H61" s="26">
        <f>IF([8]Table!I60&lt;30,"NR",[8]Table!I60)</f>
        <v>58178</v>
      </c>
      <c r="I61" s="26">
        <f>IF([8]Table!J60&lt;30,"NR",[8]Table!J60)</f>
        <v>58370</v>
      </c>
      <c r="J61" s="26">
        <f>IF([8]Table!K60&lt;30,"NR",[8]Table!K60)</f>
        <v>58109</v>
      </c>
      <c r="K61" s="26"/>
      <c r="L61" s="26"/>
      <c r="M61" s="26"/>
      <c r="N61" s="26"/>
      <c r="O61" s="198"/>
      <c r="P61" s="199">
        <f>ROUND(AVERAGE(D61:O61),0)</f>
        <v>57843</v>
      </c>
    </row>
    <row r="62" spans="2:16" ht="15.75" x14ac:dyDescent="0.25">
      <c r="B62" s="485"/>
      <c r="C62" s="193" t="s">
        <v>225</v>
      </c>
      <c r="D62" s="26">
        <f>IF([8]Table!E61&lt;30,"NR",[8]Table!E61)</f>
        <v>3908</v>
      </c>
      <c r="E62" s="26">
        <f>IF([8]Table!F61&lt;30,"NR",[8]Table!F61)</f>
        <v>3886</v>
      </c>
      <c r="F62" s="26">
        <f>IF([8]Table!G61&lt;30,"NR",[8]Table!G61)</f>
        <v>3899</v>
      </c>
      <c r="G62" s="26">
        <f>IF([8]Table!H61&lt;30,"NR",[8]Table!H61)</f>
        <v>3851</v>
      </c>
      <c r="H62" s="26">
        <f>IF([8]Table!I61&lt;30,"NR",[8]Table!I61)</f>
        <v>3852</v>
      </c>
      <c r="I62" s="26">
        <f>IF([8]Table!J61&lt;30,"NR",[8]Table!J61)</f>
        <v>3871</v>
      </c>
      <c r="J62" s="26">
        <f>IF([8]Table!K61&lt;30,"NR",[8]Table!K61)</f>
        <v>3845</v>
      </c>
      <c r="K62" s="26"/>
      <c r="L62" s="26"/>
      <c r="M62" s="26"/>
      <c r="N62" s="26"/>
      <c r="O62" s="198"/>
      <c r="P62" s="199">
        <f>ROUNDUP(AVERAGE(D62:O62),0)</f>
        <v>3874</v>
      </c>
    </row>
    <row r="63" spans="2:16" ht="15.75" x14ac:dyDescent="0.25">
      <c r="B63" s="485"/>
      <c r="C63" s="193" t="s">
        <v>227</v>
      </c>
      <c r="D63" s="26">
        <f>IF([8]Table!E62&lt;30,"NR",[8]Table!E62)</f>
        <v>2188</v>
      </c>
      <c r="E63" s="26">
        <f>IF([8]Table!F62&lt;30,"NR",[8]Table!F62)</f>
        <v>2144</v>
      </c>
      <c r="F63" s="26">
        <f>IF([8]Table!G62&lt;30,"NR",[8]Table!G62)</f>
        <v>2147</v>
      </c>
      <c r="G63" s="26">
        <f>IF([8]Table!H62&lt;30,"NR",[8]Table!H62)</f>
        <v>2110</v>
      </c>
      <c r="H63" s="26">
        <f>IF([8]Table!I62&lt;30,"NR",[8]Table!I62)</f>
        <v>2101</v>
      </c>
      <c r="I63" s="26">
        <f>IF([8]Table!J62&lt;30,"NR",[8]Table!J62)</f>
        <v>2047</v>
      </c>
      <c r="J63" s="26">
        <f>IF([8]Table!K62&lt;30,"NR",[8]Table!K62)</f>
        <v>1969</v>
      </c>
      <c r="K63" s="26"/>
      <c r="L63" s="26"/>
      <c r="M63" s="26"/>
      <c r="N63" s="26"/>
      <c r="O63" s="198"/>
      <c r="P63" s="199">
        <f>ROUND(AVERAGE(D63:O63),0)</f>
        <v>2101</v>
      </c>
    </row>
    <row r="64" spans="2:16" ht="19.5" thickBot="1" x14ac:dyDescent="0.3">
      <c r="B64" s="485"/>
      <c r="C64" s="194" t="s">
        <v>245</v>
      </c>
      <c r="D64" s="200">
        <f>[8]Table!E63</f>
        <v>20</v>
      </c>
      <c r="E64" s="200">
        <f>[8]Table!F63</f>
        <v>105</v>
      </c>
      <c r="F64" s="200">
        <f>[8]Table!G63</f>
        <v>19</v>
      </c>
      <c r="G64" s="200">
        <f>[8]Table!H63</f>
        <v>23</v>
      </c>
      <c r="H64" s="200">
        <f>[8]Table!I63</f>
        <v>34</v>
      </c>
      <c r="I64" s="200">
        <f>[8]Table!J63</f>
        <v>23</v>
      </c>
      <c r="J64" s="200">
        <f>[8]Table!K63</f>
        <v>28</v>
      </c>
      <c r="K64" s="200"/>
      <c r="L64" s="200"/>
      <c r="M64" s="200"/>
      <c r="N64" s="200"/>
      <c r="O64" s="201"/>
      <c r="P64" s="202">
        <f t="shared" si="4"/>
        <v>36</v>
      </c>
    </row>
    <row r="65" spans="2:16" ht="17.25" thickTop="1" thickBot="1" x14ac:dyDescent="0.3">
      <c r="B65" s="486"/>
      <c r="C65" s="203" t="s">
        <v>39</v>
      </c>
      <c r="D65" s="204">
        <f>IF(COUNTIFS(D45:D64,"NR")=1,"NR",IF(COUNTIFS(D45:D64,"NR")&gt;1,[8]Table!E64,SUM(D45:D64)))</f>
        <v>112287</v>
      </c>
      <c r="E65" s="204">
        <f>IF(COUNTIFS(E45:E64,"NR")=1,"NR",IF(COUNTIFS(E45:E64,"NR")&gt;1,[8]Table!F64,SUM(E45:E64)))</f>
        <v>112734</v>
      </c>
      <c r="F65" s="204">
        <f>IF(COUNTIFS(F45:F64,"NR")=1,"NR",IF(COUNTIFS(F45:F64,"NR")&gt;1,[8]Table!G64,SUM(F45:F64)))</f>
        <v>113278</v>
      </c>
      <c r="G65" s="204">
        <f>IF(COUNTIFS(G45:G64,"NR")=1,"NR",IF(COUNTIFS(G45:G64,"NR")&gt;1,[8]Table!H64,SUM(G45:G64)))</f>
        <v>112659</v>
      </c>
      <c r="H65" s="204">
        <f>IF(COUNTIFS(H45:H64,"NR")=1,"NR",IF(COUNTIFS(H45:H64,"NR")&gt;1,[8]Table!I64,SUM(H45:H64)))</f>
        <v>113571</v>
      </c>
      <c r="I65" s="204">
        <f>IF(COUNTIFS(I45:I64,"NR")=1,"NR",IF(COUNTIFS(I45:I64,"NR")&gt;1,[8]Table!J64,SUM(I45:I64)))</f>
        <v>113775</v>
      </c>
      <c r="J65" s="204">
        <f>IF(COUNTIFS(J45:J64,"NR")=1,"NR",IF(COUNTIFS(J45:J64,"NR")&gt;1,[8]Table!K64,SUM(J45:J64)))</f>
        <v>113143</v>
      </c>
      <c r="K65" s="204"/>
      <c r="L65" s="204"/>
      <c r="M65" s="204"/>
      <c r="N65" s="204"/>
      <c r="O65" s="205"/>
      <c r="P65" s="206">
        <f>ROUND(AVERAGE(D65:O65),0)</f>
        <v>113064</v>
      </c>
    </row>
    <row r="66" spans="2:16" ht="15.75" x14ac:dyDescent="0.25">
      <c r="B66" s="484" t="s">
        <v>240</v>
      </c>
      <c r="C66" s="192" t="s">
        <v>188</v>
      </c>
      <c r="D66" s="195">
        <f>IF([8]Table!E65&lt;30,"NR",[8]Table!E65)</f>
        <v>104088</v>
      </c>
      <c r="E66" s="195">
        <f>IF([8]Table!F65&lt;30,"NR",[8]Table!F65)</f>
        <v>103519</v>
      </c>
      <c r="F66" s="195">
        <f>IF([8]Table!G65&lt;30,"NR",[8]Table!G65)</f>
        <v>104644</v>
      </c>
      <c r="G66" s="195">
        <f>IF([8]Table!H65&lt;30,"NR",[8]Table!H65)</f>
        <v>103188</v>
      </c>
      <c r="H66" s="195">
        <f>IF([8]Table!I65&lt;30,"NR",[8]Table!I65)</f>
        <v>103504</v>
      </c>
      <c r="I66" s="195">
        <f>IF([8]Table!J65&lt;30,"NR",[8]Table!J65)</f>
        <v>103635</v>
      </c>
      <c r="J66" s="195">
        <f>IF([8]Table!K65&lt;30,"NR",[8]Table!K65)</f>
        <v>102828</v>
      </c>
      <c r="K66" s="195"/>
      <c r="L66" s="195"/>
      <c r="M66" s="195"/>
      <c r="N66" s="195"/>
      <c r="O66" s="196"/>
      <c r="P66" s="197">
        <f>ROUND(AVERAGE(D66:O66),0)</f>
        <v>103629</v>
      </c>
    </row>
    <row r="67" spans="2:16" ht="19.5" thickBot="1" x14ac:dyDescent="0.3">
      <c r="B67" s="485"/>
      <c r="C67" s="194" t="s">
        <v>245</v>
      </c>
      <c r="D67" s="200">
        <f>[8]Table!E66</f>
        <v>50</v>
      </c>
      <c r="E67" s="200">
        <f>[8]Table!F66</f>
        <v>244</v>
      </c>
      <c r="F67" s="200">
        <f>[8]Table!G66</f>
        <v>94</v>
      </c>
      <c r="G67" s="200">
        <f>[8]Table!H66</f>
        <v>68</v>
      </c>
      <c r="H67" s="200">
        <f>[8]Table!I66</f>
        <v>130</v>
      </c>
      <c r="I67" s="200">
        <f>[8]Table!J66</f>
        <v>78</v>
      </c>
      <c r="J67" s="200">
        <f>[8]Table!K66</f>
        <v>76</v>
      </c>
      <c r="K67" s="200"/>
      <c r="L67" s="200"/>
      <c r="M67" s="200"/>
      <c r="N67" s="200"/>
      <c r="O67" s="201"/>
      <c r="P67" s="202">
        <f t="shared" si="1"/>
        <v>106</v>
      </c>
    </row>
    <row r="68" spans="2:16" ht="17.25" thickTop="1" thickBot="1" x14ac:dyDescent="0.3">
      <c r="B68" s="486"/>
      <c r="C68" s="203" t="s">
        <v>39</v>
      </c>
      <c r="D68" s="204">
        <f>IF(COUNTIFS(D66:D67,"NR")=1,"NR",IF(COUNTIFS(D66:D67,"NR")&gt;1,[8]Table!E67,SUM(D66:D67)))</f>
        <v>104138</v>
      </c>
      <c r="E68" s="204">
        <f>IF(COUNTIFS(E66:E67,"NR")=1,"NR",IF(COUNTIFS(E66:E67,"NR")&gt;1,[8]Table!F67,SUM(E66:E67)))</f>
        <v>103763</v>
      </c>
      <c r="F68" s="204">
        <f>IF(COUNTIFS(F66:F67,"NR")=1,"NR",IF(COUNTIFS(F66:F67,"NR")&gt;1,[8]Table!G67,SUM(F66:F67)))</f>
        <v>104738</v>
      </c>
      <c r="G68" s="204">
        <f>IF(COUNTIFS(G66:G67,"NR")=1,"NR",IF(COUNTIFS(G66:G67,"NR")&gt;1,[8]Table!H67,SUM(G66:G67)))</f>
        <v>103256</v>
      </c>
      <c r="H68" s="204">
        <f>IF(COUNTIFS(H66:H67,"NR")=1,"NR",IF(COUNTIFS(H66:H67,"NR")&gt;1,[8]Table!I67,SUM(H66:H67)))</f>
        <v>103634</v>
      </c>
      <c r="I68" s="204">
        <f>IF(COUNTIFS(I66:I67,"NR")=1,"NR",IF(COUNTIFS(I66:I67,"NR")&gt;1,[8]Table!J67,SUM(I66:I67)))</f>
        <v>103713</v>
      </c>
      <c r="J68" s="204">
        <f>IF(COUNTIFS(J66:J67,"NR")=1,"NR",IF(COUNTIFS(J66:J67,"NR")&gt;1,[8]Table!K67,SUM(J66:J67)))</f>
        <v>102904</v>
      </c>
      <c r="K68" s="204"/>
      <c r="L68" s="204"/>
      <c r="M68" s="204"/>
      <c r="N68" s="204"/>
      <c r="O68" s="205"/>
      <c r="P68" s="206">
        <f>ROUND(AVERAGE(D68:O68),0)</f>
        <v>103735</v>
      </c>
    </row>
    <row r="69" spans="2:16" ht="15.75" x14ac:dyDescent="0.25">
      <c r="B69" s="484" t="s">
        <v>241</v>
      </c>
      <c r="C69" s="192" t="s">
        <v>178</v>
      </c>
      <c r="D69" s="195">
        <f>IF([8]Table!E68&lt;30,"NR",[8]Table!E68)</f>
        <v>42390</v>
      </c>
      <c r="E69" s="195">
        <f>IF([8]Table!F68&lt;30,"NR",[8]Table!F68)</f>
        <v>42531</v>
      </c>
      <c r="F69" s="195">
        <f>IF([8]Table!G68&lt;30,"NR",[8]Table!G68)</f>
        <v>42905</v>
      </c>
      <c r="G69" s="195">
        <f>IF([8]Table!H68&lt;30,"NR",[8]Table!H68)</f>
        <v>42687</v>
      </c>
      <c r="H69" s="195">
        <f>IF([8]Table!I68&lt;30,"NR",[8]Table!I68)</f>
        <v>43095</v>
      </c>
      <c r="I69" s="195">
        <f>IF([8]Table!J68&lt;30,"NR",[8]Table!J68)</f>
        <v>43194</v>
      </c>
      <c r="J69" s="195">
        <f>IF([8]Table!K68&lt;30,"NR",[8]Table!K68)</f>
        <v>42863</v>
      </c>
      <c r="K69" s="195"/>
      <c r="L69" s="195"/>
      <c r="M69" s="195"/>
      <c r="N69" s="195"/>
      <c r="O69" s="196"/>
      <c r="P69" s="197">
        <f>ROUNDUP(AVERAGE(D69:O69),0)</f>
        <v>42810</v>
      </c>
    </row>
    <row r="70" spans="2:16" ht="15.75" x14ac:dyDescent="0.25">
      <c r="B70" s="485"/>
      <c r="C70" s="193" t="s">
        <v>179</v>
      </c>
      <c r="D70" s="26">
        <f>IF([8]Table!E69&lt;30,"NR",[8]Table!E69)</f>
        <v>5327</v>
      </c>
      <c r="E70" s="26">
        <f>IF([8]Table!F69&lt;30,"NR",[8]Table!F69)</f>
        <v>5377</v>
      </c>
      <c r="F70" s="26">
        <f>IF([8]Table!G69&lt;30,"NR",[8]Table!G69)</f>
        <v>5403</v>
      </c>
      <c r="G70" s="26">
        <f>IF([8]Table!H69&lt;30,"NR",[8]Table!H69)</f>
        <v>5412</v>
      </c>
      <c r="H70" s="26">
        <f>IF([8]Table!I69&lt;30,"NR",[8]Table!I69)</f>
        <v>5418</v>
      </c>
      <c r="I70" s="26">
        <f>IF([8]Table!J69&lt;30,"NR",[8]Table!J69)</f>
        <v>5390</v>
      </c>
      <c r="J70" s="26">
        <f>IF([8]Table!K69&lt;30,"NR",[8]Table!K69)</f>
        <v>5304</v>
      </c>
      <c r="K70" s="26"/>
      <c r="L70" s="26"/>
      <c r="M70" s="26"/>
      <c r="N70" s="26"/>
      <c r="O70" s="198"/>
      <c r="P70" s="199">
        <f>ROUND(AVERAGE(D70:O70),0)</f>
        <v>5376</v>
      </c>
    </row>
    <row r="71" spans="2:16" ht="15.75" x14ac:dyDescent="0.25">
      <c r="B71" s="485"/>
      <c r="C71" s="193" t="s">
        <v>182</v>
      </c>
      <c r="D71" s="26">
        <f>IF([8]Table!E70&lt;30,"NR",[8]Table!E70)</f>
        <v>1301</v>
      </c>
      <c r="E71" s="26">
        <f>IF([8]Table!F70&lt;30,"NR",[8]Table!F70)</f>
        <v>1331</v>
      </c>
      <c r="F71" s="26">
        <f>IF([8]Table!G70&lt;30,"NR",[8]Table!G70)</f>
        <v>1340</v>
      </c>
      <c r="G71" s="26">
        <f>IF([8]Table!H70&lt;30,"NR",[8]Table!H70)</f>
        <v>1325</v>
      </c>
      <c r="H71" s="26">
        <f>IF([8]Table!I70&lt;30,"NR",[8]Table!I70)</f>
        <v>1352</v>
      </c>
      <c r="I71" s="26">
        <f>IF([8]Table!J70&lt;30,"NR",[8]Table!J70)</f>
        <v>1362</v>
      </c>
      <c r="J71" s="26">
        <f>IF([8]Table!K70&lt;30,"NR",[8]Table!K70)</f>
        <v>1321</v>
      </c>
      <c r="K71" s="26"/>
      <c r="L71" s="26"/>
      <c r="M71" s="26"/>
      <c r="N71" s="26"/>
      <c r="O71" s="198"/>
      <c r="P71" s="199">
        <f>ROUND(AVERAGE(D71:O71),0)</f>
        <v>1333</v>
      </c>
    </row>
    <row r="72" spans="2:16" ht="15.75" x14ac:dyDescent="0.25">
      <c r="B72" s="485"/>
      <c r="C72" s="193" t="s">
        <v>196</v>
      </c>
      <c r="D72" s="26">
        <f>IF([8]Table!E71&lt;30,"NR",[8]Table!E71)</f>
        <v>842</v>
      </c>
      <c r="E72" s="26">
        <f>IF([8]Table!F71&lt;30,"NR",[8]Table!F71)</f>
        <v>829</v>
      </c>
      <c r="F72" s="26">
        <f>IF([8]Table!G71&lt;30,"NR",[8]Table!G71)</f>
        <v>841</v>
      </c>
      <c r="G72" s="26">
        <f>IF([8]Table!H71&lt;30,"NR",[8]Table!H71)</f>
        <v>832</v>
      </c>
      <c r="H72" s="26">
        <f>IF([8]Table!I71&lt;30,"NR",[8]Table!I71)</f>
        <v>838</v>
      </c>
      <c r="I72" s="26">
        <f>IF([8]Table!J71&lt;30,"NR",[8]Table!J71)</f>
        <v>846</v>
      </c>
      <c r="J72" s="26">
        <f>IF([8]Table!K71&lt;30,"NR",[8]Table!K71)</f>
        <v>863</v>
      </c>
      <c r="K72" s="26"/>
      <c r="L72" s="26"/>
      <c r="M72" s="26"/>
      <c r="N72" s="26"/>
      <c r="O72" s="198"/>
      <c r="P72" s="199">
        <f>ROUND(AVERAGE(D72:O72),0)</f>
        <v>842</v>
      </c>
    </row>
    <row r="73" spans="2:16" ht="15.75" x14ac:dyDescent="0.25">
      <c r="B73" s="485"/>
      <c r="C73" s="193" t="s">
        <v>202</v>
      </c>
      <c r="D73" s="26">
        <f>IF([8]Table!E72&lt;30,"NR",[8]Table!E72)</f>
        <v>77297</v>
      </c>
      <c r="E73" s="26">
        <f>IF([8]Table!F72&lt;30,"NR",[8]Table!F72)</f>
        <v>77543</v>
      </c>
      <c r="F73" s="26">
        <f>IF([8]Table!G72&lt;30,"NR",[8]Table!G72)</f>
        <v>78204</v>
      </c>
      <c r="G73" s="26">
        <f>IF([8]Table!H72&lt;30,"NR",[8]Table!H72)</f>
        <v>77618</v>
      </c>
      <c r="H73" s="26">
        <f>IF([8]Table!I72&lt;30,"NR",[8]Table!I72)</f>
        <v>78258</v>
      </c>
      <c r="I73" s="26">
        <f>IF([8]Table!J72&lt;30,"NR",[8]Table!J72)</f>
        <v>78403</v>
      </c>
      <c r="J73" s="26">
        <f>IF([8]Table!K72&lt;30,"NR",[8]Table!K72)</f>
        <v>77819</v>
      </c>
      <c r="K73" s="26"/>
      <c r="L73" s="26"/>
      <c r="M73" s="26"/>
      <c r="N73" s="26"/>
      <c r="O73" s="198"/>
      <c r="P73" s="199">
        <f>ROUND(AVERAGE(D73:O73),0)</f>
        <v>77877</v>
      </c>
    </row>
    <row r="74" spans="2:16" ht="19.5" thickBot="1" x14ac:dyDescent="0.3">
      <c r="B74" s="485"/>
      <c r="C74" s="194" t="s">
        <v>245</v>
      </c>
      <c r="D74" s="200">
        <f>[8]Table!E73</f>
        <v>43</v>
      </c>
      <c r="E74" s="200">
        <f>[8]Table!F73</f>
        <v>196</v>
      </c>
      <c r="F74" s="200">
        <f>[8]Table!G73</f>
        <v>72</v>
      </c>
      <c r="G74" s="200">
        <f>[8]Table!H73</f>
        <v>75</v>
      </c>
      <c r="H74" s="200">
        <f>[8]Table!I73</f>
        <v>112</v>
      </c>
      <c r="I74" s="200">
        <f>[8]Table!J73</f>
        <v>73</v>
      </c>
      <c r="J74" s="200">
        <f>[8]Table!K73</f>
        <v>68</v>
      </c>
      <c r="K74" s="200"/>
      <c r="L74" s="200"/>
      <c r="M74" s="200"/>
      <c r="N74" s="200"/>
      <c r="O74" s="201"/>
      <c r="P74" s="202">
        <f>ROUND(AVERAGE(D74:O74),0)</f>
        <v>91</v>
      </c>
    </row>
    <row r="75" spans="2:16" ht="17.25" thickTop="1" thickBot="1" x14ac:dyDescent="0.3">
      <c r="B75" s="486"/>
      <c r="C75" s="203" t="s">
        <v>39</v>
      </c>
      <c r="D75" s="204">
        <f>IF(COUNTIFS(D69:D74,"NR")=1,"NR",IF(COUNTIFS(D69:D74,"NR")&gt;1,[8]Table!E74,SUM(D69:D74)))</f>
        <v>127200</v>
      </c>
      <c r="E75" s="204">
        <f>IF(COUNTIFS(E69:E74,"NR")=1,"NR",IF(COUNTIFS(E69:E74,"NR")&gt;1,[8]Table!F74,SUM(E69:E74)))</f>
        <v>127807</v>
      </c>
      <c r="F75" s="204">
        <f>IF(COUNTIFS(F69:F74,"NR")=1,"NR",IF(COUNTIFS(F69:F74,"NR")&gt;1,[8]Table!G74,SUM(F69:F74)))</f>
        <v>128765</v>
      </c>
      <c r="G75" s="204">
        <f>IF(COUNTIFS(G69:G74,"NR")=1,"NR",IF(COUNTIFS(G69:G74,"NR")&gt;1,[8]Table!H74,SUM(G69:G74)))</f>
        <v>127949</v>
      </c>
      <c r="H75" s="204">
        <f>IF(COUNTIFS(H69:H74,"NR")=1,"NR",IF(COUNTIFS(H69:H74,"NR")&gt;1,[8]Table!I74,SUM(H69:H74)))</f>
        <v>129073</v>
      </c>
      <c r="I75" s="204">
        <f>IF(COUNTIFS(I69:I74,"NR")=1,"NR",IF(COUNTIFS(I69:I74,"NR")&gt;1,[8]Table!J74,SUM(I69:I74)))</f>
        <v>129268</v>
      </c>
      <c r="J75" s="204">
        <f>IF(COUNTIFS(J69:J74,"NR")=1,"NR",IF(COUNTIFS(J69:J74,"NR")&gt;1,[8]Table!K74,SUM(J69:J74)))</f>
        <v>128238</v>
      </c>
      <c r="K75" s="204"/>
      <c r="L75" s="204"/>
      <c r="M75" s="204"/>
      <c r="N75" s="204"/>
      <c r="O75" s="205"/>
      <c r="P75" s="206">
        <f t="shared" ref="P75:P79" si="5">ROUND(AVERAGE(D75:O75),0)</f>
        <v>128329</v>
      </c>
    </row>
    <row r="76" spans="2:16" ht="15.75" x14ac:dyDescent="0.25">
      <c r="B76" s="484" t="s">
        <v>242</v>
      </c>
      <c r="C76" s="192" t="s">
        <v>192</v>
      </c>
      <c r="D76" s="195">
        <f>IF([8]Table!E75&lt;30,"NR",[8]Table!E75)</f>
        <v>151406</v>
      </c>
      <c r="E76" s="195">
        <f>IF([8]Table!F75&lt;30,"NR",[8]Table!F75)</f>
        <v>152581</v>
      </c>
      <c r="F76" s="195">
        <f>IF([8]Table!G75&lt;30,"NR",[8]Table!G75)</f>
        <v>153822</v>
      </c>
      <c r="G76" s="195">
        <f>IF([8]Table!H75&lt;30,"NR",[8]Table!H75)</f>
        <v>153445</v>
      </c>
      <c r="H76" s="195">
        <f>IF([8]Table!I75&lt;30,"NR",[8]Table!I75)</f>
        <v>155385</v>
      </c>
      <c r="I76" s="195">
        <f>IF([8]Table!J75&lt;30,"NR",[8]Table!J75)</f>
        <v>155876</v>
      </c>
      <c r="J76" s="195">
        <f>IF([8]Table!K75&lt;30,"NR",[8]Table!K75)</f>
        <v>155210</v>
      </c>
      <c r="K76" s="195"/>
      <c r="L76" s="195"/>
      <c r="M76" s="195"/>
      <c r="N76" s="195"/>
      <c r="O76" s="196"/>
      <c r="P76" s="197">
        <f>ROUND(AVERAGE(D76:O76),0)</f>
        <v>153961</v>
      </c>
    </row>
    <row r="77" spans="2:16" ht="15.75" x14ac:dyDescent="0.25">
      <c r="B77" s="485"/>
      <c r="C77" s="193" t="s">
        <v>193</v>
      </c>
      <c r="D77" s="26">
        <f>IF([8]Table!E76&lt;30,"NR",[8]Table!E76)</f>
        <v>2581</v>
      </c>
      <c r="E77" s="26">
        <f>IF([8]Table!F76&lt;30,"NR",[8]Table!F76)</f>
        <v>2591</v>
      </c>
      <c r="F77" s="26">
        <f>IF([8]Table!G76&lt;30,"NR",[8]Table!G76)</f>
        <v>2615</v>
      </c>
      <c r="G77" s="26">
        <f>IF([8]Table!H76&lt;30,"NR",[8]Table!H76)</f>
        <v>2613</v>
      </c>
      <c r="H77" s="26">
        <f>IF([8]Table!I76&lt;30,"NR",[8]Table!I76)</f>
        <v>2634</v>
      </c>
      <c r="I77" s="26">
        <f>IF([8]Table!J76&lt;30,"NR",[8]Table!J76)</f>
        <v>2609</v>
      </c>
      <c r="J77" s="26">
        <f>IF([8]Table!K76&lt;30,"NR",[8]Table!K76)</f>
        <v>2581</v>
      </c>
      <c r="K77" s="26"/>
      <c r="L77" s="26"/>
      <c r="M77" s="26"/>
      <c r="N77" s="26"/>
      <c r="O77" s="198"/>
      <c r="P77" s="199">
        <f>ROUND(AVERAGE(D77:O77),0)</f>
        <v>2603</v>
      </c>
    </row>
    <row r="78" spans="2:16" ht="15.75" x14ac:dyDescent="0.25">
      <c r="B78" s="485"/>
      <c r="C78" s="193" t="s">
        <v>219</v>
      </c>
      <c r="D78" s="26">
        <f>IF([8]Table!E77&lt;30,"NR",[8]Table!E77)</f>
        <v>2701</v>
      </c>
      <c r="E78" s="26">
        <f>IF([8]Table!F77&lt;30,"NR",[8]Table!F77)</f>
        <v>2706</v>
      </c>
      <c r="F78" s="26">
        <f>IF([8]Table!G77&lt;30,"NR",[8]Table!G77)</f>
        <v>2709</v>
      </c>
      <c r="G78" s="26">
        <f>IF([8]Table!H77&lt;30,"NR",[8]Table!H77)</f>
        <v>2694</v>
      </c>
      <c r="H78" s="26">
        <f>IF([8]Table!I77&lt;30,"NR",[8]Table!I77)</f>
        <v>2713</v>
      </c>
      <c r="I78" s="26">
        <f>IF([8]Table!J77&lt;30,"NR",[8]Table!J77)</f>
        <v>2726</v>
      </c>
      <c r="J78" s="26">
        <f>IF([8]Table!K77&lt;30,"NR",[8]Table!K77)</f>
        <v>2697</v>
      </c>
      <c r="K78" s="26"/>
      <c r="L78" s="26"/>
      <c r="M78" s="26"/>
      <c r="N78" s="26"/>
      <c r="O78" s="198"/>
      <c r="P78" s="199">
        <f t="shared" si="5"/>
        <v>2707</v>
      </c>
    </row>
    <row r="79" spans="2:16" ht="15.75" x14ac:dyDescent="0.25">
      <c r="B79" s="485"/>
      <c r="C79" s="193" t="s">
        <v>232</v>
      </c>
      <c r="D79" s="26">
        <f>IF([8]Table!E78&lt;30,"NR",[8]Table!E78)</f>
        <v>4576</v>
      </c>
      <c r="E79" s="26">
        <f>IF([8]Table!F78&lt;30,"NR",[8]Table!F78)</f>
        <v>4596</v>
      </c>
      <c r="F79" s="26">
        <f>IF([8]Table!G78&lt;30,"NR",[8]Table!G78)</f>
        <v>4646</v>
      </c>
      <c r="G79" s="26">
        <f>IF([8]Table!H78&lt;30,"NR",[8]Table!H78)</f>
        <v>4627</v>
      </c>
      <c r="H79" s="26">
        <f>IF([8]Table!I78&lt;30,"NR",[8]Table!I78)</f>
        <v>4737</v>
      </c>
      <c r="I79" s="26">
        <f>IF([8]Table!J78&lt;30,"NR",[8]Table!J78)</f>
        <v>4768</v>
      </c>
      <c r="J79" s="26">
        <f>IF([8]Table!K78&lt;30,"NR",[8]Table!K78)</f>
        <v>4722</v>
      </c>
      <c r="K79" s="26"/>
      <c r="L79" s="26"/>
      <c r="M79" s="26"/>
      <c r="N79" s="26"/>
      <c r="O79" s="198"/>
      <c r="P79" s="199">
        <f t="shared" si="5"/>
        <v>4667</v>
      </c>
    </row>
    <row r="80" spans="2:16" ht="19.5" thickBot="1" x14ac:dyDescent="0.3">
      <c r="B80" s="485"/>
      <c r="C80" s="194" t="s">
        <v>245</v>
      </c>
      <c r="D80" s="200">
        <f>[8]Table!E79</f>
        <v>37</v>
      </c>
      <c r="E80" s="200">
        <f>[8]Table!F79</f>
        <v>106</v>
      </c>
      <c r="F80" s="200">
        <f>[8]Table!G79</f>
        <v>68</v>
      </c>
      <c r="G80" s="200">
        <f>[8]Table!H79</f>
        <v>37</v>
      </c>
      <c r="H80" s="200">
        <f>[8]Table!I79</f>
        <v>63</v>
      </c>
      <c r="I80" s="200">
        <f>[8]Table!J79</f>
        <v>33</v>
      </c>
      <c r="J80" s="200">
        <f>[8]Table!K79</f>
        <v>43</v>
      </c>
      <c r="K80" s="200"/>
      <c r="L80" s="200"/>
      <c r="M80" s="200"/>
      <c r="N80" s="200"/>
      <c r="O80" s="201"/>
      <c r="P80" s="202">
        <f t="shared" ref="P80" si="6">ROUND(AVERAGE(D80:O80),0)</f>
        <v>55</v>
      </c>
    </row>
    <row r="81" spans="2:16" ht="17.25" thickTop="1" thickBot="1" x14ac:dyDescent="0.3">
      <c r="B81" s="486"/>
      <c r="C81" s="203" t="s">
        <v>39</v>
      </c>
      <c r="D81" s="204">
        <f>IF(COUNTIFS(D76:D80,"NR")=1,"NR",IF(COUNTIFS(D76:D80,"NR")&gt;1,[8]Table!E80,SUM(D76:D80)))</f>
        <v>161301</v>
      </c>
      <c r="E81" s="204">
        <f>IF(COUNTIFS(E76:E80,"NR")=1,"NR",IF(COUNTIFS(E76:E80,"NR")&gt;1,[8]Table!F80,SUM(E76:E80)))</f>
        <v>162580</v>
      </c>
      <c r="F81" s="204">
        <f>IF(COUNTIFS(F76:F80,"NR")=1,"NR",IF(COUNTIFS(F76:F80,"NR")&gt;1,[8]Table!G80,SUM(F76:F80)))</f>
        <v>163860</v>
      </c>
      <c r="G81" s="204">
        <f>IF(COUNTIFS(G76:G80,"NR")=1,"NR",IF(COUNTIFS(G76:G80,"NR")&gt;1,[8]Table!H80,SUM(G76:G80)))</f>
        <v>163416</v>
      </c>
      <c r="H81" s="204">
        <f>IF(COUNTIFS(H76:H80,"NR")=1,"NR",IF(COUNTIFS(H76:H80,"NR")&gt;1,[8]Table!I80,SUM(H76:H80)))</f>
        <v>165532</v>
      </c>
      <c r="I81" s="204">
        <f>IF(COUNTIFS(I76:I80,"NR")=1,"NR",IF(COUNTIFS(I76:I80,"NR")&gt;1,[8]Table!J80,SUM(I76:I80)))</f>
        <v>166012</v>
      </c>
      <c r="J81" s="204">
        <f>IF(COUNTIFS(J76:J80,"NR")=1,"NR",IF(COUNTIFS(J76:J80,"NR")&gt;1,[8]Table!K80,SUM(J76:J80)))</f>
        <v>165253</v>
      </c>
      <c r="K81" s="204"/>
      <c r="L81" s="204"/>
      <c r="M81" s="204"/>
      <c r="N81" s="204"/>
      <c r="O81" s="205"/>
      <c r="P81" s="206">
        <f>ROUND(AVERAGE(D81:O81),0)</f>
        <v>163993</v>
      </c>
    </row>
    <row r="82" spans="2:16" ht="5.25" customHeight="1" thickBot="1" x14ac:dyDescent="0.3">
      <c r="B82" s="210"/>
      <c r="C82" s="211"/>
      <c r="D82" s="212"/>
      <c r="E82" s="212"/>
      <c r="F82" s="212"/>
      <c r="G82" s="212"/>
      <c r="H82" s="212"/>
      <c r="I82" s="212"/>
      <c r="J82" s="212"/>
      <c r="K82" s="212"/>
      <c r="L82" s="212"/>
      <c r="M82" s="212"/>
      <c r="N82" s="212"/>
      <c r="O82" s="212"/>
      <c r="P82" s="213"/>
    </row>
    <row r="83" spans="2:16" ht="16.5" thickBot="1" x14ac:dyDescent="0.3">
      <c r="B83" s="490" t="s">
        <v>243</v>
      </c>
      <c r="C83" s="491"/>
      <c r="D83" s="207">
        <f t="shared" ref="D83:H83" si="7">SUM(D81,D75,D68,D65,D44,D39,D27)</f>
        <v>999115</v>
      </c>
      <c r="E83" s="207">
        <f t="shared" si="7"/>
        <v>1002442</v>
      </c>
      <c r="F83" s="207">
        <f t="shared" si="7"/>
        <v>1008166</v>
      </c>
      <c r="G83" s="207">
        <f t="shared" si="7"/>
        <v>1001215</v>
      </c>
      <c r="H83" s="207">
        <f t="shared" si="7"/>
        <v>1010748</v>
      </c>
      <c r="I83" s="207">
        <f t="shared" ref="I83:J83" si="8">SUM(I81,I75,I68,I65,I44,I39,I27)</f>
        <v>1012107</v>
      </c>
      <c r="J83" s="207">
        <f t="shared" si="8"/>
        <v>1005033</v>
      </c>
      <c r="K83" s="207"/>
      <c r="L83" s="207"/>
      <c r="M83" s="207"/>
      <c r="N83" s="207"/>
      <c r="O83" s="207"/>
      <c r="P83" s="208">
        <f>ROUND(AVERAGE(D83:O83),0)</f>
        <v>1005547</v>
      </c>
    </row>
    <row r="84" spans="2:16" ht="15.75" x14ac:dyDescent="0.25">
      <c r="B84" s="487" t="s">
        <v>244</v>
      </c>
      <c r="C84" s="488"/>
      <c r="D84" s="488"/>
      <c r="E84" s="488"/>
      <c r="F84" s="488"/>
      <c r="G84" s="488"/>
      <c r="H84" s="488"/>
      <c r="I84" s="488"/>
      <c r="J84" s="488"/>
      <c r="K84" s="488"/>
      <c r="L84" s="488"/>
      <c r="M84" s="488"/>
      <c r="N84" s="488"/>
      <c r="O84" s="488"/>
      <c r="P84" s="489"/>
    </row>
    <row r="85" spans="2:16" ht="16.5" thickBot="1" x14ac:dyDescent="0.3">
      <c r="B85" s="478" t="s">
        <v>304</v>
      </c>
      <c r="C85" s="479"/>
      <c r="D85" s="479"/>
      <c r="E85" s="479"/>
      <c r="F85" s="479"/>
      <c r="G85" s="479"/>
      <c r="H85" s="479"/>
      <c r="I85" s="479"/>
      <c r="J85" s="479"/>
      <c r="K85" s="479"/>
      <c r="L85" s="479"/>
      <c r="M85" s="479"/>
      <c r="N85" s="479"/>
      <c r="O85" s="479"/>
      <c r="P85" s="480"/>
    </row>
  </sheetData>
  <mergeCells count="11">
    <mergeCell ref="B85:P85"/>
    <mergeCell ref="B2:P2"/>
    <mergeCell ref="B4:B27"/>
    <mergeCell ref="B28:B39"/>
    <mergeCell ref="B40:B44"/>
    <mergeCell ref="B84:P84"/>
    <mergeCell ref="B45:B65"/>
    <mergeCell ref="B66:B68"/>
    <mergeCell ref="B69:B75"/>
    <mergeCell ref="B76:B81"/>
    <mergeCell ref="B83:C83"/>
  </mergeCells>
  <conditionalFormatting sqref="D4:P83">
    <cfRule type="expression" dxfId="0" priority="1">
      <formula>D4="NR"</formula>
    </cfRule>
  </conditionalFormatting>
  <printOptions horizontalCentered="1" gridLines="1"/>
  <pageMargins left="0.7" right="0.7" top="0.75" bottom="0.75" header="0.3" footer="0.3"/>
  <pageSetup scale="68" fitToHeight="3" orientation="landscape" r:id="rId1"/>
  <headerFooter>
    <oddHeader>&amp;C&amp;"Times New Roman,Bold"&amp;12Department of Health Care Policy and Financing
FY 2016-17 Medical Premiums Expenditure and Caseload Report</oddHeader>
    <oddFooter>&amp;L&amp;"Times New Roman,Bold"&amp;12Page &amp;P</oddFooter>
  </headerFooter>
  <rowBreaks count="1" manualBreakCount="1">
    <brk id="44" min="1"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19"/>
  <sheetViews>
    <sheetView view="pageBreakPreview" zoomScaleNormal="100" zoomScaleSheetLayoutView="100" workbookViewId="0">
      <selection activeCell="C4" sqref="C4"/>
    </sheetView>
  </sheetViews>
  <sheetFormatPr defaultColWidth="9.140625" defaultRowHeight="15.75" x14ac:dyDescent="0.25"/>
  <cols>
    <col min="1" max="1" width="36.42578125" style="81" customWidth="1"/>
    <col min="2" max="2" width="42.28515625" style="81" customWidth="1"/>
    <col min="3" max="3" width="26.7109375" style="81" customWidth="1"/>
    <col min="4" max="4" width="24.5703125" style="81" customWidth="1"/>
    <col min="5" max="16384" width="9.140625" style="81"/>
  </cols>
  <sheetData>
    <row r="1" spans="1:4" ht="21" customHeight="1" x14ac:dyDescent="0.25">
      <c r="A1" s="492" t="s">
        <v>307</v>
      </c>
      <c r="B1" s="493"/>
      <c r="C1" s="493"/>
      <c r="D1" s="494"/>
    </row>
    <row r="2" spans="1:4" ht="31.5" x14ac:dyDescent="0.25">
      <c r="A2" s="350"/>
      <c r="B2" s="394" t="s">
        <v>79</v>
      </c>
      <c r="C2" s="395" t="s">
        <v>30</v>
      </c>
      <c r="D2" s="396" t="s">
        <v>31</v>
      </c>
    </row>
    <row r="3" spans="1:4" x14ac:dyDescent="0.25">
      <c r="A3" s="122" t="s">
        <v>3</v>
      </c>
      <c r="B3" s="14">
        <f>C3+D3</f>
        <v>53123267</v>
      </c>
      <c r="C3" s="15">
        <f>ROUND(52270008.61,0)</f>
        <v>52270009</v>
      </c>
      <c r="D3" s="351">
        <f>ROUND(853258.07,0)</f>
        <v>853258</v>
      </c>
    </row>
    <row r="4" spans="1:4" x14ac:dyDescent="0.25">
      <c r="A4" s="122" t="s">
        <v>4</v>
      </c>
      <c r="B4" s="14">
        <f t="shared" ref="B4:B9" si="0">C4+D4</f>
        <v>38038939</v>
      </c>
      <c r="C4" s="16">
        <f>ROUND(37382354.49,0)</f>
        <v>37382354</v>
      </c>
      <c r="D4" s="307">
        <f>ROUND(656584.96,0)</f>
        <v>656585</v>
      </c>
    </row>
    <row r="5" spans="1:4" x14ac:dyDescent="0.25">
      <c r="A5" s="122" t="s">
        <v>5</v>
      </c>
      <c r="B5" s="14">
        <f t="shared" si="0"/>
        <v>53302527</v>
      </c>
      <c r="C5" s="16">
        <f>ROUND(52885382.32,0)</f>
        <v>52885382</v>
      </c>
      <c r="D5" s="307">
        <f>ROUND(417144.85,0)</f>
        <v>417145</v>
      </c>
    </row>
    <row r="6" spans="1:4" x14ac:dyDescent="0.25">
      <c r="A6" s="122" t="s">
        <v>6</v>
      </c>
      <c r="B6" s="14">
        <f t="shared" si="0"/>
        <v>44058940</v>
      </c>
      <c r="C6" s="16">
        <f>ROUND(43302800.21,0)</f>
        <v>43302800</v>
      </c>
      <c r="D6" s="307">
        <f>ROUND(756139.63,0)</f>
        <v>756140</v>
      </c>
    </row>
    <row r="7" spans="1:4" x14ac:dyDescent="0.25">
      <c r="A7" s="122" t="s">
        <v>7</v>
      </c>
      <c r="B7" s="14">
        <f t="shared" si="0"/>
        <v>45946584</v>
      </c>
      <c r="C7" s="16">
        <f>ROUND(45559373.49,0)</f>
        <v>45559373</v>
      </c>
      <c r="D7" s="307">
        <f>ROUND(387211.1,0)</f>
        <v>387211</v>
      </c>
    </row>
    <row r="8" spans="1:4" x14ac:dyDescent="0.25">
      <c r="A8" s="122" t="s">
        <v>8</v>
      </c>
      <c r="B8" s="14">
        <f t="shared" si="0"/>
        <v>54546255</v>
      </c>
      <c r="C8" s="16">
        <f>ROUND(53933080.6,0)</f>
        <v>53933081</v>
      </c>
      <c r="D8" s="352">
        <f>ROUND(613174.29,)</f>
        <v>613174</v>
      </c>
    </row>
    <row r="9" spans="1:4" x14ac:dyDescent="0.25">
      <c r="A9" s="122" t="s">
        <v>9</v>
      </c>
      <c r="B9" s="14">
        <f t="shared" si="0"/>
        <v>55428745</v>
      </c>
      <c r="C9" s="16">
        <f>ROUND(54623394.74,0)</f>
        <v>54623395</v>
      </c>
      <c r="D9" s="352">
        <f>ROUND(805349.53,0)</f>
        <v>805350</v>
      </c>
    </row>
    <row r="10" spans="1:4" x14ac:dyDescent="0.25">
      <c r="A10" s="122" t="s">
        <v>10</v>
      </c>
      <c r="B10" s="14"/>
      <c r="C10" s="16"/>
      <c r="D10" s="307"/>
    </row>
    <row r="11" spans="1:4" x14ac:dyDescent="0.25">
      <c r="A11" s="122" t="s">
        <v>11</v>
      </c>
      <c r="B11" s="14"/>
      <c r="C11" s="16"/>
      <c r="D11" s="307"/>
    </row>
    <row r="12" spans="1:4" x14ac:dyDescent="0.25">
      <c r="A12" s="122" t="s">
        <v>12</v>
      </c>
      <c r="B12" s="14"/>
      <c r="C12" s="16"/>
      <c r="D12" s="307"/>
    </row>
    <row r="13" spans="1:4" x14ac:dyDescent="0.25">
      <c r="A13" s="122" t="s">
        <v>13</v>
      </c>
      <c r="B13" s="14"/>
      <c r="C13" s="16"/>
      <c r="D13" s="307"/>
    </row>
    <row r="14" spans="1:4" x14ac:dyDescent="0.25">
      <c r="A14" s="122" t="s">
        <v>2</v>
      </c>
      <c r="B14" s="14"/>
      <c r="C14" s="16"/>
      <c r="D14" s="307"/>
    </row>
    <row r="15" spans="1:4" x14ac:dyDescent="0.25">
      <c r="A15" s="353" t="s">
        <v>34</v>
      </c>
      <c r="B15" s="38">
        <v>344445257</v>
      </c>
      <c r="C15" s="17">
        <v>339956394</v>
      </c>
      <c r="D15" s="354">
        <v>4488863</v>
      </c>
    </row>
    <row r="16" spans="1:4" s="83" customFormat="1" x14ac:dyDescent="0.25">
      <c r="A16" s="118" t="s">
        <v>35</v>
      </c>
      <c r="B16" s="14">
        <v>662617330</v>
      </c>
      <c r="C16" s="373">
        <v>653650029</v>
      </c>
      <c r="D16" s="374">
        <v>8967301</v>
      </c>
    </row>
    <row r="17" spans="1:4" ht="16.5" thickBot="1" x14ac:dyDescent="0.3">
      <c r="A17" s="380" t="s">
        <v>23</v>
      </c>
      <c r="B17" s="381">
        <v>318172073</v>
      </c>
      <c r="C17" s="17">
        <v>313693635</v>
      </c>
      <c r="D17" s="354">
        <v>4478438</v>
      </c>
    </row>
    <row r="18" spans="1:4" s="10" customFormat="1" x14ac:dyDescent="0.25">
      <c r="A18" s="498" t="s">
        <v>24</v>
      </c>
      <c r="B18" s="499"/>
      <c r="C18" s="499"/>
      <c r="D18" s="500"/>
    </row>
    <row r="19" spans="1:4" ht="14.25" customHeight="1" thickBot="1" x14ac:dyDescent="0.3">
      <c r="A19" s="495" t="s">
        <v>33</v>
      </c>
      <c r="B19" s="496"/>
      <c r="C19" s="496"/>
      <c r="D19" s="497"/>
    </row>
  </sheetData>
  <mergeCells count="3">
    <mergeCell ref="A1:D1"/>
    <mergeCell ref="A19:D19"/>
    <mergeCell ref="A18:D18"/>
  </mergeCells>
  <phoneticPr fontId="14" type="noConversion"/>
  <printOptions horizontalCentered="1" gridLines="1"/>
  <pageMargins left="0.28999999999999998" right="0.28999999999999998" top="0.7" bottom="0.43" header="0.3" footer="0.27"/>
  <pageSetup firstPageNumber="4"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41"/>
  <sheetViews>
    <sheetView view="pageBreakPreview" zoomScaleNormal="100" zoomScaleSheetLayoutView="100" workbookViewId="0">
      <selection activeCell="C4" sqref="C4"/>
    </sheetView>
  </sheetViews>
  <sheetFormatPr defaultColWidth="9.140625" defaultRowHeight="15.75" x14ac:dyDescent="0.25"/>
  <cols>
    <col min="1" max="1" width="33" style="10" bestFit="1" customWidth="1"/>
    <col min="2" max="2" width="17.85546875" style="10" customWidth="1"/>
    <col min="3" max="3" width="19.42578125" style="10" customWidth="1"/>
    <col min="4" max="4" width="20.140625" style="10" customWidth="1"/>
    <col min="5" max="5" width="18.42578125" style="10" customWidth="1"/>
    <col min="6" max="6" width="19.42578125" style="10" customWidth="1"/>
    <col min="7" max="7" width="19.5703125" style="10" bestFit="1" customWidth="1"/>
    <col min="8" max="8" width="13.140625" style="293" customWidth="1"/>
    <col min="9" max="9" width="13.42578125" style="10" bestFit="1" customWidth="1"/>
    <col min="10" max="16384" width="9.140625" style="10"/>
  </cols>
  <sheetData>
    <row r="1" spans="1:9" ht="15.75" customHeight="1" thickBot="1" x14ac:dyDescent="0.3">
      <c r="A1" s="501" t="s">
        <v>308</v>
      </c>
      <c r="B1" s="502"/>
      <c r="C1" s="502"/>
      <c r="D1" s="502"/>
      <c r="E1" s="502"/>
      <c r="F1" s="502"/>
      <c r="G1" s="502"/>
      <c r="H1" s="503"/>
      <c r="I1" s="345"/>
    </row>
    <row r="2" spans="1:9" ht="47.25" x14ac:dyDescent="0.25">
      <c r="A2" s="300"/>
      <c r="B2" s="301" t="s">
        <v>39</v>
      </c>
      <c r="C2" s="302" t="s">
        <v>40</v>
      </c>
      <c r="D2" s="302" t="s">
        <v>286</v>
      </c>
      <c r="E2" s="302" t="s">
        <v>285</v>
      </c>
      <c r="F2" s="302" t="s">
        <v>42</v>
      </c>
      <c r="G2" s="304" t="s">
        <v>119</v>
      </c>
      <c r="H2" s="399" t="s">
        <v>325</v>
      </c>
      <c r="I2" s="346"/>
    </row>
    <row r="3" spans="1:9" x14ac:dyDescent="0.25">
      <c r="A3" s="122" t="s">
        <v>3</v>
      </c>
      <c r="B3" s="13">
        <f>ROUND(SUM(C3:G3),0)</f>
        <v>52270009</v>
      </c>
      <c r="C3" s="13">
        <f>ROUND(11672593.26,0)</f>
        <v>11672593</v>
      </c>
      <c r="D3" s="13">
        <f>ROUND(10238578.71,0)</f>
        <v>10238579</v>
      </c>
      <c r="E3" s="13">
        <f>ROUNDUP(5612752.37,0)</f>
        <v>5612753</v>
      </c>
      <c r="F3" s="13">
        <f>ROUND(17477224.09,0)</f>
        <v>17477224</v>
      </c>
      <c r="G3" s="209">
        <f>ROUND(7268860.18,0)</f>
        <v>7268860</v>
      </c>
      <c r="H3" s="307">
        <v>0</v>
      </c>
      <c r="I3" s="347"/>
    </row>
    <row r="4" spans="1:9" x14ac:dyDescent="0.25">
      <c r="A4" s="122" t="s">
        <v>4</v>
      </c>
      <c r="B4" s="13">
        <f t="shared" ref="B4:B9" si="0">ROUND(SUM(C4:H4),0)</f>
        <v>37382354</v>
      </c>
      <c r="C4" s="13">
        <f>ROUND(7170917.74,0)</f>
        <v>7170918</v>
      </c>
      <c r="D4" s="13">
        <f>ROUNDDOWN(10740767.86,0)</f>
        <v>10740767</v>
      </c>
      <c r="E4" s="13">
        <f>ROUND(4372436.04,0)</f>
        <v>4372436</v>
      </c>
      <c r="F4" s="13">
        <f>ROUND(12961767.76,0)</f>
        <v>12961768</v>
      </c>
      <c r="G4" s="209">
        <f>ROUND(2228646.68,0)</f>
        <v>2228647</v>
      </c>
      <c r="H4" s="307">
        <f>ROUND(-92181.59,0)</f>
        <v>-92182</v>
      </c>
      <c r="I4" s="347"/>
    </row>
    <row r="5" spans="1:9" x14ac:dyDescent="0.25">
      <c r="A5" s="122" t="s">
        <v>5</v>
      </c>
      <c r="B5" s="13">
        <f t="shared" si="0"/>
        <v>52885382</v>
      </c>
      <c r="C5" s="13">
        <f>ROUND(12034684.01,0)</f>
        <v>12034684</v>
      </c>
      <c r="D5" s="13">
        <f>ROUND(10534681.33,0)</f>
        <v>10534681</v>
      </c>
      <c r="E5" s="13">
        <f>ROUNDUP(5811458.45,0)</f>
        <v>5811459</v>
      </c>
      <c r="F5" s="13">
        <f>ROUND(17908818,0)</f>
        <v>17908818</v>
      </c>
      <c r="G5" s="209">
        <f>ROUND(7490952.17,0)</f>
        <v>7490952</v>
      </c>
      <c r="H5" s="307">
        <f>ROUND(-895211.639999995,0)</f>
        <v>-895212</v>
      </c>
      <c r="I5" s="347"/>
    </row>
    <row r="6" spans="1:9" x14ac:dyDescent="0.25">
      <c r="A6" s="122" t="s">
        <v>6</v>
      </c>
      <c r="B6" s="13">
        <f t="shared" si="0"/>
        <v>43302800</v>
      </c>
      <c r="C6" s="13">
        <v>4069035.9299999997</v>
      </c>
      <c r="D6" s="13">
        <v>10442297.289999999</v>
      </c>
      <c r="E6" s="13">
        <v>3514651.8400000003</v>
      </c>
      <c r="F6" s="13">
        <v>17838265.250000004</v>
      </c>
      <c r="G6" s="209">
        <v>7438549.9000000004</v>
      </c>
      <c r="H6" s="307">
        <v>0</v>
      </c>
      <c r="I6" s="347"/>
    </row>
    <row r="7" spans="1:9" x14ac:dyDescent="0.25">
      <c r="A7" s="122" t="s">
        <v>1</v>
      </c>
      <c r="B7" s="13">
        <f t="shared" si="0"/>
        <v>45559373</v>
      </c>
      <c r="C7" s="13">
        <f>ROUND(12218607.96,0)</f>
        <v>12218608</v>
      </c>
      <c r="D7" s="13">
        <f>ROUND(10645983.12,0)</f>
        <v>10645983</v>
      </c>
      <c r="E7" s="13">
        <f>ROUND(5907116.66,0)</f>
        <v>5907117</v>
      </c>
      <c r="F7" s="13">
        <f>ROUND(11527454.91,0)</f>
        <v>11527455</v>
      </c>
      <c r="G7" s="209">
        <f>ROUND(5352392.43,0)</f>
        <v>5352392</v>
      </c>
      <c r="H7" s="307">
        <f>ROUND(-92181.5900000036,0)</f>
        <v>-92182</v>
      </c>
      <c r="I7" s="372"/>
    </row>
    <row r="8" spans="1:9" x14ac:dyDescent="0.25">
      <c r="A8" s="122" t="s">
        <v>148</v>
      </c>
      <c r="B8" s="13">
        <f t="shared" si="0"/>
        <v>53933081</v>
      </c>
      <c r="C8" s="13">
        <f>ROUND(12053164.75,0)</f>
        <v>12053165</v>
      </c>
      <c r="D8" s="13">
        <f>ROUND(10471229.72,0)</f>
        <v>10471230</v>
      </c>
      <c r="E8" s="13">
        <f>ROUND(5841792.27,0)</f>
        <v>5841792</v>
      </c>
      <c r="F8" s="143">
        <f>ROUND(18044300.49,0)</f>
        <v>18044300</v>
      </c>
      <c r="G8" s="209">
        <f>ROUND(7525688.7,0)</f>
        <v>7525689</v>
      </c>
      <c r="H8" s="307">
        <f>ROUND(-3095.33000000007,0)</f>
        <v>-3095</v>
      </c>
      <c r="I8" s="372"/>
    </row>
    <row r="9" spans="1:9" x14ac:dyDescent="0.25">
      <c r="A9" s="122" t="s">
        <v>9</v>
      </c>
      <c r="B9" s="13">
        <f t="shared" si="0"/>
        <v>54623395</v>
      </c>
      <c r="C9" s="13">
        <v>12156417.189999999</v>
      </c>
      <c r="D9" s="13">
        <v>10613573.17</v>
      </c>
      <c r="E9" s="13">
        <v>5924933.9100000001</v>
      </c>
      <c r="F9" s="143">
        <v>18265118</v>
      </c>
      <c r="G9" s="209">
        <v>7663352.4700000007</v>
      </c>
      <c r="H9" s="307">
        <v>0</v>
      </c>
      <c r="I9" s="346"/>
    </row>
    <row r="10" spans="1:9" x14ac:dyDescent="0.25">
      <c r="A10" s="122" t="s">
        <v>10</v>
      </c>
      <c r="B10" s="13"/>
      <c r="C10" s="13"/>
      <c r="D10" s="13"/>
      <c r="E10" s="13"/>
      <c r="F10" s="143"/>
      <c r="G10" s="209"/>
      <c r="H10" s="307"/>
      <c r="I10" s="346"/>
    </row>
    <row r="11" spans="1:9" x14ac:dyDescent="0.25">
      <c r="A11" s="122" t="s">
        <v>11</v>
      </c>
      <c r="B11" s="13"/>
      <c r="C11" s="13"/>
      <c r="D11" s="13"/>
      <c r="E11" s="13"/>
      <c r="F11" s="143"/>
      <c r="G11" s="209"/>
      <c r="H11" s="307"/>
      <c r="I11" s="346"/>
    </row>
    <row r="12" spans="1:9" x14ac:dyDescent="0.25">
      <c r="A12" s="122" t="s">
        <v>12</v>
      </c>
      <c r="B12" s="13"/>
      <c r="C12" s="13"/>
      <c r="D12" s="13"/>
      <c r="E12" s="13"/>
      <c r="F12" s="143"/>
      <c r="G12" s="209"/>
      <c r="H12" s="307"/>
      <c r="I12" s="346"/>
    </row>
    <row r="13" spans="1:9" x14ac:dyDescent="0.25">
      <c r="A13" s="122" t="s">
        <v>13</v>
      </c>
      <c r="B13" s="13"/>
      <c r="C13" s="13"/>
      <c r="D13" s="13"/>
      <c r="E13" s="13"/>
      <c r="F13" s="143"/>
      <c r="G13" s="209"/>
      <c r="H13" s="307"/>
      <c r="I13" s="346"/>
    </row>
    <row r="14" spans="1:9" x14ac:dyDescent="0.25">
      <c r="A14" s="124" t="s">
        <v>25</v>
      </c>
      <c r="B14" s="13"/>
      <c r="C14" s="13"/>
      <c r="D14" s="13"/>
      <c r="E14" s="13"/>
      <c r="F14" s="143"/>
      <c r="G14" s="305"/>
      <c r="H14" s="308"/>
      <c r="I14" s="372"/>
    </row>
    <row r="15" spans="1:9" x14ac:dyDescent="0.25">
      <c r="A15" s="117" t="s">
        <v>34</v>
      </c>
      <c r="B15" s="53">
        <f>ROUND(SUM(C15:H15),0)</f>
        <v>339956394</v>
      </c>
      <c r="C15" s="53">
        <f t="shared" ref="C15:H15" si="1">ROUND(SUM(C3:C14),0)</f>
        <v>71375421</v>
      </c>
      <c r="D15" s="53">
        <f t="shared" si="1"/>
        <v>73687110</v>
      </c>
      <c r="E15" s="53">
        <f t="shared" si="1"/>
        <v>36985143</v>
      </c>
      <c r="F15" s="294">
        <f>ROUNDUP(SUM(F3:F14),0)</f>
        <v>114022949</v>
      </c>
      <c r="G15" s="306">
        <f t="shared" si="1"/>
        <v>44968442</v>
      </c>
      <c r="H15" s="309">
        <f t="shared" si="1"/>
        <v>-1082671</v>
      </c>
      <c r="I15" s="372"/>
    </row>
    <row r="16" spans="1:9" s="80" customFormat="1" x14ac:dyDescent="0.25">
      <c r="A16" s="118" t="s">
        <v>35</v>
      </c>
      <c r="B16" s="13">
        <f>'MH Expend'!C16</f>
        <v>653650029</v>
      </c>
      <c r="C16" s="504"/>
      <c r="D16" s="505"/>
      <c r="E16" s="505"/>
      <c r="F16" s="505"/>
      <c r="G16" s="505"/>
      <c r="H16" s="506"/>
      <c r="I16" s="372"/>
    </row>
    <row r="17" spans="1:9" ht="16.5" thickBot="1" x14ac:dyDescent="0.3">
      <c r="A17" s="125" t="s">
        <v>23</v>
      </c>
      <c r="B17" s="126">
        <f>B16-B15</f>
        <v>313693635</v>
      </c>
      <c r="C17" s="507"/>
      <c r="D17" s="508"/>
      <c r="E17" s="508"/>
      <c r="F17" s="508"/>
      <c r="G17" s="508"/>
      <c r="H17" s="509"/>
      <c r="I17" s="348"/>
    </row>
    <row r="18" spans="1:9" ht="15.75" hidden="1" customHeight="1" x14ac:dyDescent="0.25">
      <c r="A18" s="515" t="s">
        <v>24</v>
      </c>
      <c r="B18" s="516"/>
      <c r="C18" s="516"/>
      <c r="D18" s="516"/>
      <c r="E18" s="516"/>
      <c r="F18" s="516"/>
      <c r="G18" s="517"/>
      <c r="H18" s="319"/>
      <c r="I18" s="348"/>
    </row>
    <row r="19" spans="1:9" ht="12.75" hidden="1" customHeight="1" x14ac:dyDescent="0.25">
      <c r="A19" s="513" t="s">
        <v>123</v>
      </c>
      <c r="B19" s="514"/>
      <c r="C19" s="514"/>
      <c r="D19" s="514"/>
      <c r="E19" s="514"/>
      <c r="F19" s="514"/>
      <c r="G19" s="514"/>
      <c r="H19" s="318"/>
      <c r="I19" s="348"/>
    </row>
    <row r="20" spans="1:9" ht="12.75" hidden="1" customHeight="1" x14ac:dyDescent="0.25">
      <c r="A20" s="513" t="s">
        <v>120</v>
      </c>
      <c r="B20" s="514"/>
      <c r="C20" s="514"/>
      <c r="D20" s="514"/>
      <c r="E20" s="514"/>
      <c r="F20" s="514"/>
      <c r="G20" s="514"/>
      <c r="H20" s="318"/>
      <c r="I20" s="349"/>
    </row>
    <row r="21" spans="1:9" ht="12.75" hidden="1" customHeight="1" x14ac:dyDescent="0.25">
      <c r="A21" s="513" t="s">
        <v>122</v>
      </c>
      <c r="B21" s="514"/>
      <c r="C21" s="514"/>
      <c r="D21" s="514"/>
      <c r="E21" s="514"/>
      <c r="F21" s="514"/>
      <c r="G21" s="514"/>
      <c r="H21" s="318"/>
      <c r="I21" s="349"/>
    </row>
    <row r="22" spans="1:9" ht="16.5" thickBot="1" x14ac:dyDescent="0.3">
      <c r="A22" s="521"/>
      <c r="B22" s="522"/>
      <c r="C22" s="522"/>
      <c r="D22" s="522"/>
      <c r="E22" s="522"/>
      <c r="F22" s="522"/>
      <c r="G22" s="522"/>
      <c r="H22" s="522"/>
      <c r="I22" s="523"/>
    </row>
    <row r="23" spans="1:9" ht="16.5" thickBot="1" x14ac:dyDescent="0.3">
      <c r="A23" s="501" t="s">
        <v>309</v>
      </c>
      <c r="B23" s="502"/>
      <c r="C23" s="502"/>
      <c r="D23" s="502"/>
      <c r="E23" s="502"/>
      <c r="F23" s="502"/>
      <c r="G23" s="502"/>
      <c r="H23" s="502"/>
      <c r="I23" s="503"/>
    </row>
    <row r="24" spans="1:9" ht="47.25" x14ac:dyDescent="0.25">
      <c r="A24" s="127"/>
      <c r="B24" s="119" t="s">
        <v>39</v>
      </c>
      <c r="C24" s="120" t="s">
        <v>40</v>
      </c>
      <c r="D24" s="120" t="s">
        <v>286</v>
      </c>
      <c r="E24" s="120" t="s">
        <v>285</v>
      </c>
      <c r="F24" s="120" t="s">
        <v>42</v>
      </c>
      <c r="G24" s="120" t="s">
        <v>118</v>
      </c>
      <c r="H24" s="121" t="s">
        <v>41</v>
      </c>
      <c r="I24" s="297" t="s">
        <v>43</v>
      </c>
    </row>
    <row r="25" spans="1:9" x14ac:dyDescent="0.25">
      <c r="A25" s="128" t="s">
        <v>3</v>
      </c>
      <c r="B25" s="22">
        <f>'Medicaid Caseload'!R94-'Medicaid Caseload'!Q94-'Medicaid Caseload'!P94</f>
        <v>1291778</v>
      </c>
      <c r="C25" s="22">
        <v>311908</v>
      </c>
      <c r="D25" s="228">
        <v>201968</v>
      </c>
      <c r="E25" s="22">
        <v>159684</v>
      </c>
      <c r="F25" s="22">
        <v>454039</v>
      </c>
      <c r="G25" s="22">
        <v>158133</v>
      </c>
      <c r="H25" s="3"/>
      <c r="I25" s="129">
        <f t="shared" ref="I25:I31" si="2">B25-SUM(C25:G25)</f>
        <v>6046</v>
      </c>
    </row>
    <row r="26" spans="1:9" x14ac:dyDescent="0.25">
      <c r="A26" s="128" t="s">
        <v>4</v>
      </c>
      <c r="B26" s="22">
        <f>'Medicaid Caseload'!R95-'Medicaid Caseload'!Q95-'Medicaid Caseload'!P95</f>
        <v>1302422</v>
      </c>
      <c r="C26" s="22">
        <v>314840</v>
      </c>
      <c r="D26" s="22">
        <v>203407</v>
      </c>
      <c r="E26" s="22">
        <v>161379</v>
      </c>
      <c r="F26" s="22">
        <v>458137</v>
      </c>
      <c r="G26" s="22">
        <v>159538</v>
      </c>
      <c r="H26" s="3"/>
      <c r="I26" s="129">
        <f t="shared" si="2"/>
        <v>5121</v>
      </c>
    </row>
    <row r="27" spans="1:9" x14ac:dyDescent="0.25">
      <c r="A27" s="128" t="s">
        <v>5</v>
      </c>
      <c r="B27" s="22">
        <f>'Medicaid Caseload'!R96-'Medicaid Caseload'!Q96-'Medicaid Caseload'!P96</f>
        <v>1298709</v>
      </c>
      <c r="C27" s="22">
        <v>313764</v>
      </c>
      <c r="D27" s="22">
        <v>202392</v>
      </c>
      <c r="E27" s="22">
        <v>160879</v>
      </c>
      <c r="F27" s="22">
        <v>457526</v>
      </c>
      <c r="G27" s="22">
        <v>158771</v>
      </c>
      <c r="H27" s="3"/>
      <c r="I27" s="129">
        <f t="shared" si="2"/>
        <v>5377</v>
      </c>
    </row>
    <row r="28" spans="1:9" x14ac:dyDescent="0.25">
      <c r="A28" s="128" t="s">
        <v>6</v>
      </c>
      <c r="B28" s="22">
        <f>'Medicaid Caseload'!R97-'Medicaid Caseload'!Q97-'Medicaid Caseload'!P97</f>
        <v>1296218</v>
      </c>
      <c r="C28" s="22">
        <v>312470</v>
      </c>
      <c r="D28" s="22">
        <v>201632</v>
      </c>
      <c r="E28" s="22">
        <v>160829</v>
      </c>
      <c r="F28" s="22">
        <v>457567</v>
      </c>
      <c r="G28" s="22">
        <v>158343</v>
      </c>
      <c r="H28" s="3"/>
      <c r="I28" s="129">
        <f t="shared" si="2"/>
        <v>5377</v>
      </c>
    </row>
    <row r="29" spans="1:9" x14ac:dyDescent="0.25">
      <c r="A29" s="128" t="s">
        <v>7</v>
      </c>
      <c r="B29" s="22">
        <f>'Medicaid Caseload'!R98-'Medicaid Caseload'!Q98-'Medicaid Caseload'!P98</f>
        <v>1305548</v>
      </c>
      <c r="C29" s="22">
        <v>314945</v>
      </c>
      <c r="D29" s="22">
        <v>202735</v>
      </c>
      <c r="E29" s="22">
        <v>161856</v>
      </c>
      <c r="F29" s="22">
        <v>461027</v>
      </c>
      <c r="G29" s="22">
        <v>159523</v>
      </c>
      <c r="H29" s="3"/>
      <c r="I29" s="129">
        <f t="shared" si="2"/>
        <v>5462</v>
      </c>
    </row>
    <row r="30" spans="1:9" x14ac:dyDescent="0.25">
      <c r="A30" s="128" t="s">
        <v>8</v>
      </c>
      <c r="B30" s="22">
        <f>'Medicaid Caseload'!R99-'Medicaid Caseload'!Q99-'Medicaid Caseload'!P99</f>
        <v>1307884</v>
      </c>
      <c r="C30" s="22">
        <v>314849</v>
      </c>
      <c r="D30" s="22">
        <v>202513</v>
      </c>
      <c r="E30" s="22">
        <v>162277</v>
      </c>
      <c r="F30" s="22">
        <v>462242</v>
      </c>
      <c r="G30" s="22">
        <v>160436</v>
      </c>
      <c r="H30" s="3"/>
      <c r="I30" s="129">
        <f t="shared" si="2"/>
        <v>5567</v>
      </c>
    </row>
    <row r="31" spans="1:9" x14ac:dyDescent="0.25">
      <c r="A31" s="128" t="s">
        <v>9</v>
      </c>
      <c r="B31" s="22">
        <f>'Medicaid Caseload'!R100-'Medicaid Caseload'!Q100-'Medicaid Caseload'!P100</f>
        <v>1308280</v>
      </c>
      <c r="C31" s="22">
        <v>314730</v>
      </c>
      <c r="D31" s="22">
        <v>202892</v>
      </c>
      <c r="E31" s="22">
        <v>162327</v>
      </c>
      <c r="F31" s="22">
        <v>462602</v>
      </c>
      <c r="G31" s="22">
        <v>160223</v>
      </c>
      <c r="H31" s="3"/>
      <c r="I31" s="129">
        <f t="shared" si="2"/>
        <v>5506</v>
      </c>
    </row>
    <row r="32" spans="1:9" x14ac:dyDescent="0.25">
      <c r="A32" s="128" t="s">
        <v>10</v>
      </c>
      <c r="B32" s="22"/>
      <c r="C32" s="22"/>
      <c r="D32" s="22"/>
      <c r="E32" s="22"/>
      <c r="F32" s="22"/>
      <c r="G32" s="22"/>
      <c r="H32" s="3"/>
      <c r="I32" s="129"/>
    </row>
    <row r="33" spans="1:9" x14ac:dyDescent="0.25">
      <c r="A33" s="128" t="s">
        <v>11</v>
      </c>
      <c r="B33" s="22"/>
      <c r="C33" s="22"/>
      <c r="D33" s="22"/>
      <c r="E33" s="22"/>
      <c r="F33" s="22"/>
      <c r="G33" s="22"/>
      <c r="H33" s="3"/>
      <c r="I33" s="129"/>
    </row>
    <row r="34" spans="1:9" x14ac:dyDescent="0.25">
      <c r="A34" s="128" t="s">
        <v>12</v>
      </c>
      <c r="B34" s="22"/>
      <c r="C34" s="22"/>
      <c r="D34" s="22"/>
      <c r="E34" s="22"/>
      <c r="F34" s="22"/>
      <c r="G34" s="22"/>
      <c r="H34" s="3"/>
      <c r="I34" s="129"/>
    </row>
    <row r="35" spans="1:9" x14ac:dyDescent="0.25">
      <c r="A35" s="128" t="s">
        <v>13</v>
      </c>
      <c r="B35" s="22"/>
      <c r="C35" s="22"/>
      <c r="D35" s="22"/>
      <c r="E35" s="22"/>
      <c r="F35" s="22"/>
      <c r="G35" s="22"/>
      <c r="H35" s="3"/>
      <c r="I35" s="129"/>
    </row>
    <row r="36" spans="1:9" x14ac:dyDescent="0.25">
      <c r="A36" s="130" t="s">
        <v>25</v>
      </c>
      <c r="B36" s="22"/>
      <c r="C36" s="51"/>
      <c r="D36" s="51"/>
      <c r="E36" s="51"/>
      <c r="F36" s="51"/>
      <c r="G36" s="51"/>
      <c r="H36" s="295"/>
      <c r="I36" s="298"/>
    </row>
    <row r="37" spans="1:9" x14ac:dyDescent="0.25">
      <c r="A37" s="117" t="s">
        <v>44</v>
      </c>
      <c r="B37" s="52">
        <f>ROUND(AVERAGE(B25:B36),0)</f>
        <v>1301548</v>
      </c>
      <c r="C37" s="52">
        <f t="shared" ref="C37:I37" si="3">ROUND(AVERAGE(C25:C36),0)</f>
        <v>313929</v>
      </c>
      <c r="D37" s="52">
        <f t="shared" si="3"/>
        <v>202506</v>
      </c>
      <c r="E37" s="52">
        <f t="shared" si="3"/>
        <v>161319</v>
      </c>
      <c r="F37" s="52">
        <f t="shared" si="3"/>
        <v>459020</v>
      </c>
      <c r="G37" s="52">
        <f t="shared" si="3"/>
        <v>159281</v>
      </c>
      <c r="H37" s="296"/>
      <c r="I37" s="299">
        <f t="shared" si="3"/>
        <v>5494</v>
      </c>
    </row>
    <row r="38" spans="1:9" ht="16.5" thickBot="1" x14ac:dyDescent="0.3">
      <c r="A38" s="131" t="s">
        <v>35</v>
      </c>
      <c r="B38" s="375">
        <v>1347086</v>
      </c>
      <c r="C38" s="524"/>
      <c r="D38" s="524"/>
      <c r="E38" s="524"/>
      <c r="F38" s="524"/>
      <c r="G38" s="524"/>
      <c r="H38" s="524"/>
      <c r="I38" s="525"/>
    </row>
    <row r="39" spans="1:9" x14ac:dyDescent="0.25">
      <c r="A39" s="526" t="s">
        <v>24</v>
      </c>
      <c r="B39" s="527"/>
      <c r="C39" s="527"/>
      <c r="D39" s="527"/>
      <c r="E39" s="527"/>
      <c r="F39" s="527"/>
      <c r="G39" s="527"/>
      <c r="H39" s="527"/>
      <c r="I39" s="528"/>
    </row>
    <row r="40" spans="1:9" x14ac:dyDescent="0.25">
      <c r="A40" s="518" t="s">
        <v>153</v>
      </c>
      <c r="B40" s="519"/>
      <c r="C40" s="519"/>
      <c r="D40" s="519"/>
      <c r="E40" s="519"/>
      <c r="F40" s="519"/>
      <c r="G40" s="519"/>
      <c r="H40" s="519"/>
      <c r="I40" s="520"/>
    </row>
    <row r="41" spans="1:9" ht="25.5" customHeight="1" thickBot="1" x14ac:dyDescent="0.3">
      <c r="A41" s="510" t="s">
        <v>247</v>
      </c>
      <c r="B41" s="511"/>
      <c r="C41" s="511"/>
      <c r="D41" s="511"/>
      <c r="E41" s="511"/>
      <c r="F41" s="511"/>
      <c r="G41" s="511"/>
      <c r="H41" s="511"/>
      <c r="I41" s="512"/>
    </row>
  </sheetData>
  <mergeCells count="12">
    <mergeCell ref="A1:H1"/>
    <mergeCell ref="C16:H17"/>
    <mergeCell ref="A41:I41"/>
    <mergeCell ref="A19:G19"/>
    <mergeCell ref="A18:G18"/>
    <mergeCell ref="A20:G20"/>
    <mergeCell ref="A40:I40"/>
    <mergeCell ref="A22:I22"/>
    <mergeCell ref="A23:I23"/>
    <mergeCell ref="C38:I38"/>
    <mergeCell ref="A39:I39"/>
    <mergeCell ref="A21:G21"/>
  </mergeCells>
  <phoneticPr fontId="14" type="noConversion"/>
  <printOptions horizontalCentered="1" gridLines="1"/>
  <pageMargins left="0.28999999999999998" right="0.28999999999999998" top="0.7" bottom="0.43" header="0.3" footer="0.27"/>
  <pageSetup scale="72" firstPageNumber="5"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Premiums Expend</vt:lpstr>
      <vt:lpstr>Premiums Approp</vt:lpstr>
      <vt:lpstr>Hospital Supplemental Payments</vt:lpstr>
      <vt:lpstr>Expansion Expenditure</vt:lpstr>
      <vt:lpstr>Medicaid Caseload</vt:lpstr>
      <vt:lpstr>Caseload by Program</vt:lpstr>
      <vt:lpstr>ACC RCCO County</vt:lpstr>
      <vt:lpstr>MH Expend</vt:lpstr>
      <vt:lpstr>MH by BHO</vt:lpstr>
      <vt:lpstr>CBHP Expend</vt:lpstr>
      <vt:lpstr>CBHP Caseload</vt:lpstr>
      <vt:lpstr>DiDD Expend and Caseload</vt:lpstr>
      <vt:lpstr>OAP Expend and Caseload</vt:lpstr>
      <vt:lpstr>MMA Expend and Caseload</vt:lpstr>
      <vt:lpstr>Graph for Web- DO NOT PRINT</vt:lpstr>
      <vt:lpstr>'ACC RCCO County'!Print_Area</vt:lpstr>
      <vt:lpstr>'Caseload by Program'!Print_Area</vt:lpstr>
      <vt:lpstr>'CBHP Caseload'!Print_Area</vt:lpstr>
      <vt:lpstr>'CBHP Expend'!Print_Area</vt:lpstr>
      <vt:lpstr>'DiDD Expend and Caseload'!Print_Area</vt:lpstr>
      <vt:lpstr>'Expansion Expenditure'!Print_Area</vt:lpstr>
      <vt:lpstr>'Hospital Supplemental Payments'!Print_Area</vt:lpstr>
      <vt:lpstr>'Medicaid Caseload'!Print_Area</vt:lpstr>
      <vt:lpstr>'MH by BHO'!Print_Area</vt:lpstr>
      <vt:lpstr>'MH Expend'!Print_Area</vt:lpstr>
      <vt:lpstr>'MMA Expend and Caseload'!Print_Area</vt:lpstr>
      <vt:lpstr>'OAP Expend and Caseload'!Print_Area</vt:lpstr>
      <vt:lpstr>'Premiums Approp'!Print_Area</vt:lpstr>
      <vt:lpstr>'Premiums Expend'!Print_Area</vt:lpstr>
      <vt:lpstr>'ACC RCCO County'!Print_Titles</vt:lpstr>
      <vt:lpstr>'Caseload by Program'!Print_Titles</vt:lpstr>
    </vt:vector>
  </TitlesOfParts>
  <Company>Dept. of Health Care Policy &amp; Financing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Bettina Vera Schneider</dc:creator>
  <cp:lastModifiedBy>Quattrone, Frank</cp:lastModifiedBy>
  <cp:lastPrinted>2017-02-14T17:58:32Z</cp:lastPrinted>
  <dcterms:created xsi:type="dcterms:W3CDTF">2003-06-04T15:46:14Z</dcterms:created>
  <dcterms:modified xsi:type="dcterms:W3CDTF">2017-02-14T18:02:18Z</dcterms:modified>
</cp:coreProperties>
</file>