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FATWIRE\Drupel\Inpatient\"/>
    </mc:Choice>
  </mc:AlternateContent>
  <xr:revisionPtr revIDLastSave="0" documentId="8_{B312D3C4-7946-4A3A-9465-0B5DEC059873}" xr6:coauthVersionLast="46" xr6:coauthVersionMax="46" xr10:uidLastSave="{00000000-0000-0000-0000-000000000000}"/>
  <bookViews>
    <workbookView xWindow="-110" yWindow="-110" windowWidth="19420" windowHeight="10420" tabRatio="839" xr2:uid="{C7528DA4-C30C-4899-9845-402D990A40D8}"/>
  </bookViews>
  <sheets>
    <sheet name="About This Model" sheetId="50" r:id="rId1"/>
    <sheet name="IP Base Rate Sources &amp; Methods" sheetId="40" r:id="rId2"/>
    <sheet name="Fed Bs Rt+IME+GME+VBP+RAA+HAC" sheetId="11" r:id="rId3"/>
    <sheet name="New Rates" sheetId="19" r:id="rId4"/>
    <sheet name="Characteristics" sheetId="5" r:id="rId5"/>
    <sheet name="IMPACT FILE Variable Descriptio" sheetId="34" r:id="rId6"/>
    <sheet name="FY 2023 IMPACT FILE CA" sheetId="33" r:id="rId7"/>
    <sheet name=" FY 2023 CN Tables 1A-1E" sheetId="32" r:id="rId8"/>
    <sheet name="FY_2023_HAC_Reduction_Program_H" sheetId="39" r:id="rId9"/>
    <sheet name="Table 15" sheetId="43" r:id="rId10"/>
    <sheet name="Table 16B" sheetId="44" r:id="rId11"/>
    <sheet name="ime-gme timelines" sheetId="38" r:id="rId12"/>
    <sheet name="Solvency Metric" sheetId="48" r:id="rId13"/>
  </sheets>
  <externalReferences>
    <externalReference r:id="rId14"/>
    <externalReference r:id="rId15"/>
  </externalReferences>
  <definedNames>
    <definedName name="_xlnm._FilterDatabase" localSheetId="4" hidden="1">Characteristics!$A$1:$M$86</definedName>
    <definedName name="_xlnm._FilterDatabase" localSheetId="2" hidden="1">'Fed Bs Rt+IME+GME+VBP+RAA+HAC'!$A$4:$AG$101</definedName>
    <definedName name="_xlnm._FilterDatabase" localSheetId="6" hidden="1">'FY 2023 IMPACT FILE CA'!$A$2:$BH$53</definedName>
    <definedName name="_xlnm._FilterDatabase" localSheetId="3" hidden="1">'New Rates'!$A$8:$EP$92</definedName>
    <definedName name="_xlnm._FilterDatabase" localSheetId="12" hidden="1">'Solvency Metric'!$A$1:$AK$85</definedName>
    <definedName name="_Hlk109323845" localSheetId="5">'IMPACT FILE Variable Descriptio'!#REF!</definedName>
    <definedName name="_Hlk99444638" localSheetId="5">'IMPACT FILE Variable Descriptio'!#REF!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6" i="19" l="1"/>
  <c r="I9" i="19" l="1"/>
  <c r="I15" i="19"/>
  <c r="I10" i="19"/>
  <c r="I11" i="19"/>
  <c r="I12" i="19"/>
  <c r="I13" i="19"/>
  <c r="I14"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CO10" i="19"/>
  <c r="CO11" i="19"/>
  <c r="CO12" i="19"/>
  <c r="CO13" i="19"/>
  <c r="CO14" i="19"/>
  <c r="CO15" i="19"/>
  <c r="CO16" i="19"/>
  <c r="CO17" i="19"/>
  <c r="CO18" i="19"/>
  <c r="CO19" i="19"/>
  <c r="CO20" i="19"/>
  <c r="CO21" i="19"/>
  <c r="CO22" i="19"/>
  <c r="CO23" i="19"/>
  <c r="CO24" i="19"/>
  <c r="CO25" i="19"/>
  <c r="CO26" i="19"/>
  <c r="CO27" i="19"/>
  <c r="CO28" i="19"/>
  <c r="CO29" i="19"/>
  <c r="CO30" i="19"/>
  <c r="CO31" i="19"/>
  <c r="CO32" i="19"/>
  <c r="CO33" i="19"/>
  <c r="CO34" i="19"/>
  <c r="CO35" i="19"/>
  <c r="CO36" i="19"/>
  <c r="CO37" i="19"/>
  <c r="CO38" i="19"/>
  <c r="CO39" i="19"/>
  <c r="CO40" i="19"/>
  <c r="CO41" i="19"/>
  <c r="CO42" i="19"/>
  <c r="CO43" i="19"/>
  <c r="CO44" i="19"/>
  <c r="CO45" i="19"/>
  <c r="CO46" i="19"/>
  <c r="CO47" i="19"/>
  <c r="CO48" i="19"/>
  <c r="CO49" i="19"/>
  <c r="CO50" i="19"/>
  <c r="CO51" i="19"/>
  <c r="CO52" i="19"/>
  <c r="CO53" i="19"/>
  <c r="CO54" i="19"/>
  <c r="CO55" i="19"/>
  <c r="CO56" i="19"/>
  <c r="CO57" i="19"/>
  <c r="CO58" i="19"/>
  <c r="CO59" i="19"/>
  <c r="CO60" i="19"/>
  <c r="CO61" i="19"/>
  <c r="CO62" i="19"/>
  <c r="CO63" i="19"/>
  <c r="CO64" i="19"/>
  <c r="CO65" i="19"/>
  <c r="CO66" i="19"/>
  <c r="CO67" i="19"/>
  <c r="CO68" i="19"/>
  <c r="CO69" i="19"/>
  <c r="CO70" i="19"/>
  <c r="CO71" i="19"/>
  <c r="CO72" i="19"/>
  <c r="CO73" i="19"/>
  <c r="CO74" i="19"/>
  <c r="CO75" i="19"/>
  <c r="CO76" i="19"/>
  <c r="CO77" i="19"/>
  <c r="CO78" i="19"/>
  <c r="CO79" i="19"/>
  <c r="CO80" i="19"/>
  <c r="CO81" i="19"/>
  <c r="CO82" i="19"/>
  <c r="CO83" i="19"/>
  <c r="CO84" i="19"/>
  <c r="CO85" i="19"/>
  <c r="CO86" i="19"/>
  <c r="CO87" i="19"/>
  <c r="CO88" i="19"/>
  <c r="CO89" i="19"/>
  <c r="CO90" i="19"/>
  <c r="CO91" i="19"/>
  <c r="CO92" i="19"/>
  <c r="CO9" i="19"/>
  <c r="D68" i="19" l="1"/>
  <c r="D91" i="19"/>
  <c r="F2" i="5" l="1"/>
  <c r="CT19" i="19"/>
  <c r="CV19" i="19" s="1"/>
  <c r="CT20" i="19"/>
  <c r="CV20" i="19" s="1"/>
  <c r="CT21" i="19"/>
  <c r="CV21" i="19" s="1"/>
  <c r="CT22" i="19"/>
  <c r="CV22" i="19" s="1"/>
  <c r="CT23" i="19"/>
  <c r="CV23" i="19" s="1"/>
  <c r="CT24" i="19"/>
  <c r="CV24" i="19" s="1"/>
  <c r="CT25" i="19"/>
  <c r="CV25" i="19" s="1"/>
  <c r="CT26" i="19"/>
  <c r="CV26" i="19" s="1"/>
  <c r="CT27" i="19"/>
  <c r="CV27" i="19" s="1"/>
  <c r="CT28" i="19"/>
  <c r="CV28" i="19" s="1"/>
  <c r="CT29" i="19"/>
  <c r="CV29" i="19" s="1"/>
  <c r="CT30" i="19"/>
  <c r="CV30" i="19" s="1"/>
  <c r="CT31" i="19"/>
  <c r="CU31" i="19" s="1"/>
  <c r="CT32" i="19"/>
  <c r="CU32" i="19" s="1"/>
  <c r="CT33" i="19"/>
  <c r="CV33" i="19" s="1"/>
  <c r="CT34" i="19"/>
  <c r="CV34" i="19" s="1"/>
  <c r="CT35" i="19"/>
  <c r="CV35" i="19" s="1"/>
  <c r="CT36" i="19"/>
  <c r="CU36" i="19" s="1"/>
  <c r="CT37" i="19"/>
  <c r="CU37" i="19" s="1"/>
  <c r="CT38" i="19"/>
  <c r="CU38" i="19" s="1"/>
  <c r="CT39" i="19"/>
  <c r="CU39" i="19" s="1"/>
  <c r="CT40" i="19"/>
  <c r="CV40" i="19" s="1"/>
  <c r="CT41" i="19"/>
  <c r="CV41" i="19" s="1"/>
  <c r="CT42" i="19"/>
  <c r="CV42" i="19" s="1"/>
  <c r="CT43" i="19"/>
  <c r="CV43" i="19" s="1"/>
  <c r="CT44" i="19"/>
  <c r="CV44" i="19" s="1"/>
  <c r="CT45" i="19"/>
  <c r="CV45" i="19" s="1"/>
  <c r="CT46" i="19"/>
  <c r="CV46" i="19" s="1"/>
  <c r="CT47" i="19"/>
  <c r="CV47" i="19" s="1"/>
  <c r="CT48" i="19"/>
  <c r="CU48" i="19" s="1"/>
  <c r="CT49" i="19"/>
  <c r="CU49" i="19" s="1"/>
  <c r="CT50" i="19"/>
  <c r="CV50" i="19" s="1"/>
  <c r="CT51" i="19"/>
  <c r="CV51" i="19" s="1"/>
  <c r="CT52" i="19"/>
  <c r="CV52" i="19" s="1"/>
  <c r="CT53" i="19"/>
  <c r="CV53" i="19" s="1"/>
  <c r="CT54" i="19"/>
  <c r="CV54" i="19" s="1"/>
  <c r="CT55" i="19"/>
  <c r="CV55" i="19" s="1"/>
  <c r="CT56" i="19"/>
  <c r="CV56" i="19" s="1"/>
  <c r="CT57" i="19"/>
  <c r="CV57" i="19" s="1"/>
  <c r="CT58" i="19"/>
  <c r="CV58" i="19" s="1"/>
  <c r="CT59" i="19"/>
  <c r="CU59" i="19" s="1"/>
  <c r="CT60" i="19"/>
  <c r="CU60" i="19" s="1"/>
  <c r="CT61" i="19"/>
  <c r="CV61" i="19" s="1"/>
  <c r="CT62" i="19"/>
  <c r="CU62" i="19" s="1"/>
  <c r="CT63" i="19"/>
  <c r="CU63" i="19" s="1"/>
  <c r="CT64" i="19"/>
  <c r="CU64" i="19" s="1"/>
  <c r="CT65" i="19"/>
  <c r="CU65" i="19" s="1"/>
  <c r="CT66" i="19"/>
  <c r="CU66" i="19" s="1"/>
  <c r="CT67" i="19"/>
  <c r="CU67" i="19" s="1"/>
  <c r="CT68" i="19"/>
  <c r="CU68" i="19" s="1"/>
  <c r="CT69" i="19"/>
  <c r="CU69" i="19" s="1"/>
  <c r="CT70" i="19"/>
  <c r="CU70" i="19" s="1"/>
  <c r="CT71" i="19"/>
  <c r="CV71" i="19" s="1"/>
  <c r="CT72" i="19"/>
  <c r="CU72" i="19" s="1"/>
  <c r="CT73" i="19"/>
  <c r="CU73" i="19" s="1"/>
  <c r="CT74" i="19"/>
  <c r="CU74" i="19" s="1"/>
  <c r="CT75" i="19"/>
  <c r="CU75" i="19" s="1"/>
  <c r="CT76" i="19"/>
  <c r="CU76" i="19" s="1"/>
  <c r="CT77" i="19"/>
  <c r="CU77" i="19" s="1"/>
  <c r="CT78" i="19"/>
  <c r="CU78" i="19" s="1"/>
  <c r="CT79" i="19"/>
  <c r="CU79" i="19" s="1"/>
  <c r="CT80" i="19"/>
  <c r="CU80" i="19" s="1"/>
  <c r="CT81" i="19"/>
  <c r="CU81" i="19" s="1"/>
  <c r="CT82" i="19"/>
  <c r="CU82" i="19" s="1"/>
  <c r="CT83" i="19"/>
  <c r="CU83" i="19" s="1"/>
  <c r="CT84" i="19"/>
  <c r="CU84" i="19" s="1"/>
  <c r="CT85" i="19"/>
  <c r="CT86" i="19"/>
  <c r="CU86" i="19" s="1"/>
  <c r="CT87" i="19"/>
  <c r="CU87" i="19" s="1"/>
  <c r="CT88" i="19"/>
  <c r="CU88" i="19" s="1"/>
  <c r="CT89" i="19"/>
  <c r="CU89" i="19" s="1"/>
  <c r="CT90" i="19"/>
  <c r="CU90" i="19" s="1"/>
  <c r="CT91" i="19"/>
  <c r="CT92" i="19"/>
  <c r="CT10" i="19"/>
  <c r="CV10" i="19" s="1"/>
  <c r="CT11" i="19"/>
  <c r="CV11" i="19" s="1"/>
  <c r="CT12" i="19"/>
  <c r="CU12" i="19" s="1"/>
  <c r="CT13" i="19"/>
  <c r="CU13" i="19" s="1"/>
  <c r="CT14" i="19"/>
  <c r="CV14" i="19" s="1"/>
  <c r="CT15" i="19"/>
  <c r="CV15" i="19" s="1"/>
  <c r="CT16" i="19"/>
  <c r="CV16" i="19" s="1"/>
  <c r="CT17" i="19"/>
  <c r="CV17" i="19" s="1"/>
  <c r="CT18" i="19"/>
  <c r="CU18" i="19" s="1"/>
  <c r="CT9" i="19"/>
  <c r="CV9" i="19" s="1"/>
  <c r="CS19" i="19"/>
  <c r="CS20" i="19"/>
  <c r="CS21" i="19"/>
  <c r="CS22" i="19"/>
  <c r="CS23" i="19"/>
  <c r="CS24" i="19"/>
  <c r="CS25" i="19"/>
  <c r="CS26" i="19"/>
  <c r="CS27" i="19"/>
  <c r="CS28" i="19"/>
  <c r="CS29" i="19"/>
  <c r="CS30" i="19"/>
  <c r="CS31" i="19"/>
  <c r="CS32" i="19"/>
  <c r="CS33" i="19"/>
  <c r="CS34" i="19"/>
  <c r="CS35" i="19"/>
  <c r="CS36" i="19"/>
  <c r="CS37" i="19"/>
  <c r="CS38" i="19"/>
  <c r="CS39" i="19"/>
  <c r="CS40" i="19"/>
  <c r="CS41" i="19"/>
  <c r="CS42" i="19"/>
  <c r="CS43" i="19"/>
  <c r="CS44" i="19"/>
  <c r="CS45" i="19"/>
  <c r="CS46" i="19"/>
  <c r="CS47" i="19"/>
  <c r="CS48" i="19"/>
  <c r="CS49" i="19"/>
  <c r="CS50" i="19"/>
  <c r="CS51" i="19"/>
  <c r="CS52" i="19"/>
  <c r="CS53" i="19"/>
  <c r="CS54" i="19"/>
  <c r="CS55" i="19"/>
  <c r="CS56" i="19"/>
  <c r="CS57" i="19"/>
  <c r="CS58" i="19"/>
  <c r="CS59" i="19"/>
  <c r="CS60" i="19"/>
  <c r="CS61" i="19"/>
  <c r="CS62" i="19"/>
  <c r="CS63" i="19"/>
  <c r="CS64" i="19"/>
  <c r="CS65" i="19"/>
  <c r="CS66" i="19"/>
  <c r="CS67" i="19"/>
  <c r="CS68" i="19"/>
  <c r="CS69" i="19"/>
  <c r="CS70" i="19"/>
  <c r="CS71" i="19"/>
  <c r="CS72" i="19"/>
  <c r="CS73" i="19"/>
  <c r="CS74" i="19"/>
  <c r="CS75" i="19"/>
  <c r="CS76" i="19"/>
  <c r="CS77" i="19"/>
  <c r="CS78" i="19"/>
  <c r="CS79" i="19"/>
  <c r="CS80" i="19"/>
  <c r="CS81" i="19"/>
  <c r="CS82" i="19"/>
  <c r="CS83" i="19"/>
  <c r="CS84" i="19"/>
  <c r="CS85" i="19"/>
  <c r="CS86" i="19"/>
  <c r="CS87" i="19"/>
  <c r="CS88" i="19"/>
  <c r="CS89" i="19"/>
  <c r="CS90" i="19"/>
  <c r="CS91" i="19"/>
  <c r="CS92" i="19"/>
  <c r="CS10" i="19"/>
  <c r="CS11" i="19"/>
  <c r="CS12" i="19"/>
  <c r="CS13" i="19"/>
  <c r="CS14" i="19"/>
  <c r="CS15" i="19"/>
  <c r="CS16" i="19"/>
  <c r="CS17" i="19"/>
  <c r="CS18" i="19"/>
  <c r="CS9" i="19"/>
  <c r="CV85" i="19" l="1"/>
  <c r="CU92" i="19"/>
  <c r="CV92" i="19"/>
  <c r="CV91" i="19"/>
  <c r="CU91" i="19"/>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3" i="5"/>
  <c r="D4" i="5"/>
  <c r="D5" i="5"/>
  <c r="D6" i="5"/>
  <c r="D7" i="5"/>
  <c r="D8" i="5"/>
  <c r="D9" i="5"/>
  <c r="D10" i="5"/>
  <c r="D11" i="5"/>
  <c r="D2" i="5"/>
  <c r="K67" i="5" l="1"/>
  <c r="K70" i="5"/>
  <c r="AD47" i="48" l="1"/>
  <c r="AB71" i="48"/>
  <c r="AC17" i="48"/>
  <c r="AD10" i="48"/>
  <c r="AD17" i="48"/>
  <c r="AB7" i="48"/>
  <c r="AD58" i="48"/>
  <c r="AB29" i="48"/>
  <c r="AB76" i="48"/>
  <c r="AD74" i="48"/>
  <c r="AC2" i="48"/>
  <c r="AB55" i="48"/>
  <c r="AB82" i="48"/>
  <c r="AB72" i="48"/>
  <c r="AC56" i="48"/>
  <c r="AC66" i="48"/>
  <c r="AC69" i="48"/>
  <c r="AC72" i="48"/>
  <c r="AD66" i="48"/>
  <c r="AD69" i="48"/>
  <c r="AD36" i="48"/>
  <c r="AB84" i="48"/>
  <c r="AC78" i="48"/>
  <c r="AD41" i="48"/>
  <c r="AB24" i="48"/>
  <c r="AC4" i="48"/>
  <c r="AD35" i="48"/>
  <c r="AB20" i="48"/>
  <c r="AC79" i="48"/>
  <c r="AC39" i="48"/>
  <c r="AC60" i="48"/>
  <c r="AD39" i="48"/>
  <c r="AC73" i="48"/>
  <c r="AC80" i="48"/>
  <c r="AC29" i="48"/>
  <c r="AB5" i="48"/>
  <c r="AC12" i="48"/>
  <c r="AB37" i="48"/>
  <c r="AB50" i="48"/>
  <c r="AB43" i="48"/>
  <c r="AD12" i="48"/>
  <c r="AB33" i="48"/>
  <c r="AC50" i="48"/>
  <c r="AB85" i="48"/>
  <c r="AD76" i="48"/>
  <c r="AC83" i="48"/>
  <c r="AB69" i="48"/>
  <c r="AC82" i="48"/>
  <c r="AC65" i="48"/>
  <c r="AB81" i="48"/>
  <c r="AD83" i="48"/>
  <c r="AD55" i="48"/>
  <c r="AB57" i="48"/>
  <c r="AB18" i="48"/>
  <c r="AD26" i="48"/>
  <c r="AD40" i="48"/>
  <c r="AC43" i="48"/>
  <c r="AD2" i="48"/>
  <c r="AD44" i="48"/>
  <c r="AC31" i="48"/>
  <c r="AC33" i="48"/>
  <c r="AD50" i="48"/>
  <c r="AB17" i="48"/>
  <c r="AC11" i="48"/>
  <c r="AD29" i="48"/>
  <c r="AC15" i="48"/>
  <c r="AB44" i="48"/>
  <c r="AD31" i="48"/>
  <c r="AD30" i="48"/>
  <c r="AD79" i="48"/>
  <c r="AD52" i="48"/>
  <c r="AD84" i="48"/>
  <c r="AC70" i="48"/>
  <c r="AB59" i="48"/>
  <c r="AD77" i="48"/>
  <c r="AD71" i="48"/>
  <c r="AC38" i="48"/>
  <c r="AB13" i="48"/>
  <c r="AD75" i="48"/>
  <c r="AD53" i="48"/>
  <c r="AB62" i="48"/>
  <c r="AB68" i="48"/>
  <c r="AB46" i="48"/>
  <c r="AC3" i="48"/>
  <c r="AC13" i="48"/>
  <c r="AC62" i="48"/>
  <c r="AD63" i="48"/>
  <c r="AC68" i="48"/>
  <c r="AC21" i="48"/>
  <c r="AD28" i="48"/>
  <c r="AC22" i="48"/>
  <c r="AD6" i="48"/>
  <c r="AB19" i="48"/>
  <c r="AB16" i="48"/>
  <c r="AC61" i="48"/>
  <c r="AD24" i="48"/>
  <c r="AD49" i="48"/>
  <c r="AB47" i="48"/>
  <c r="AB4" i="48"/>
  <c r="AC8" i="48"/>
  <c r="AD22" i="48"/>
  <c r="AC25" i="48"/>
  <c r="AB56" i="48"/>
  <c r="AB65" i="48"/>
  <c r="AC57" i="48"/>
  <c r="AD85" i="48"/>
  <c r="AC76" i="48"/>
  <c r="AB54" i="48"/>
  <c r="AD54" i="48"/>
  <c r="AD64" i="48"/>
  <c r="AB58" i="48"/>
  <c r="AD57" i="48"/>
  <c r="AB52" i="48"/>
  <c r="AB67" i="48"/>
  <c r="AD62" i="48"/>
  <c r="AB27" i="48"/>
  <c r="AC74" i="48"/>
  <c r="AD82" i="48"/>
  <c r="AC58" i="48"/>
  <c r="AD18" i="48"/>
  <c r="AD73" i="48"/>
  <c r="AD72" i="48"/>
  <c r="AD56" i="48"/>
  <c r="AD65" i="48"/>
  <c r="AC54" i="48"/>
  <c r="AC81" i="48"/>
  <c r="AB70" i="48"/>
  <c r="AB64" i="48"/>
  <c r="AC84" i="48"/>
  <c r="AC85" i="48"/>
  <c r="AC55" i="48"/>
  <c r="AB74" i="48"/>
  <c r="AB66" i="48"/>
  <c r="AD46" i="48"/>
  <c r="AB73" i="48"/>
  <c r="AD78" i="48"/>
  <c r="AC59" i="48"/>
  <c r="AC67" i="48"/>
  <c r="AB78" i="48"/>
  <c r="AB75" i="48"/>
  <c r="AC53" i="48"/>
  <c r="AB60" i="48"/>
  <c r="AD21" i="48"/>
  <c r="AC10" i="48"/>
  <c r="AB41" i="48"/>
  <c r="AC34" i="48"/>
  <c r="AB38" i="48"/>
  <c r="AD3" i="48"/>
  <c r="AC41" i="48"/>
  <c r="AC48" i="48"/>
  <c r="AD34" i="48"/>
  <c r="AB45" i="48"/>
  <c r="AD45" i="48"/>
  <c r="AB3" i="48"/>
  <c r="AB21" i="48"/>
  <c r="AC42" i="48"/>
  <c r="AC5" i="48"/>
  <c r="AB36" i="48"/>
  <c r="AC37" i="48"/>
  <c r="AB23" i="48"/>
  <c r="AE17" i="48"/>
  <c r="AC18" i="48"/>
  <c r="AD48" i="48"/>
  <c r="AB39" i="48"/>
  <c r="AD27" i="48"/>
  <c r="AB42" i="48"/>
  <c r="AD42" i="48"/>
  <c r="AB10" i="48"/>
  <c r="AC40" i="48"/>
  <c r="AD5" i="48"/>
  <c r="AD8" i="48"/>
  <c r="AB12" i="48"/>
  <c r="AB6" i="48"/>
  <c r="AD37" i="48"/>
  <c r="AC19" i="48"/>
  <c r="AF50" i="48"/>
  <c r="AC47" i="48"/>
  <c r="AE47" i="48"/>
  <c r="AD43" i="48"/>
  <c r="AB28" i="48"/>
  <c r="AB32" i="48"/>
  <c r="AD25" i="48"/>
  <c r="AB25" i="48"/>
  <c r="AC45" i="48"/>
  <c r="AB35" i="48"/>
  <c r="AC9" i="48"/>
  <c r="AC49" i="48"/>
  <c r="AC7" i="48"/>
  <c r="AD20" i="48"/>
  <c r="AC36" i="48"/>
  <c r="AB14" i="48"/>
  <c r="AB31" i="48"/>
  <c r="AC23" i="48"/>
  <c r="AD32" i="48"/>
  <c r="AB30" i="48"/>
  <c r="AB53" i="48"/>
  <c r="AB79" i="48"/>
  <c r="AC52" i="48"/>
  <c r="AB48" i="48"/>
  <c r="AD13" i="48"/>
  <c r="AC35" i="48"/>
  <c r="AB26" i="48"/>
  <c r="AD7" i="48"/>
  <c r="AB15" i="48"/>
  <c r="AC28" i="48"/>
  <c r="AD19" i="48"/>
  <c r="AD51" i="48"/>
  <c r="AC30" i="48"/>
  <c r="AB34" i="48"/>
  <c r="AE3" i="48"/>
  <c r="AD11" i="48"/>
  <c r="AB77" i="48"/>
  <c r="AC77" i="48"/>
  <c r="AD59" i="48"/>
  <c r="AC64" i="48"/>
  <c r="AD70" i="48"/>
  <c r="AD81" i="48"/>
  <c r="AB80" i="48"/>
  <c r="AD68" i="48"/>
  <c r="AD60" i="48"/>
  <c r="AD80" i="48"/>
  <c r="AC63" i="48"/>
  <c r="AB61" i="48"/>
  <c r="AB83" i="48"/>
  <c r="AC27" i="48"/>
  <c r="AC26" i="48"/>
  <c r="AD38" i="48"/>
  <c r="AB11" i="48"/>
  <c r="AE60" i="48"/>
  <c r="AB63" i="48"/>
  <c r="AE52" i="48"/>
  <c r="AC46" i="48"/>
  <c r="AC71" i="48"/>
  <c r="AC75" i="48"/>
  <c r="AD61" i="48"/>
  <c r="AD67" i="48"/>
  <c r="AE21" i="48"/>
  <c r="AE45" i="48"/>
  <c r="AD9" i="48"/>
  <c r="AD15" i="48"/>
  <c r="AE2" i="48"/>
  <c r="AC14" i="48"/>
  <c r="AD23" i="48"/>
  <c r="AB2" i="48"/>
  <c r="AD14" i="48"/>
  <c r="AC20" i="48"/>
  <c r="AD4" i="48"/>
  <c r="AB8" i="48"/>
  <c r="AC6" i="48"/>
  <c r="AC16" i="48"/>
  <c r="AB51" i="48"/>
  <c r="AC32" i="48"/>
  <c r="AC44" i="48"/>
  <c r="AB22" i="48"/>
  <c r="AD16" i="48"/>
  <c r="AD33" i="48"/>
  <c r="AC51" i="48"/>
  <c r="AC24" i="48"/>
  <c r="AB9" i="48"/>
  <c r="AB40" i="48"/>
  <c r="AB49" i="48"/>
  <c r="AF33" i="48"/>
  <c r="AE29" i="48"/>
  <c r="AE5" i="48"/>
  <c r="AF37" i="48"/>
  <c r="AH84" i="48" l="1"/>
  <c r="I84" i="5" s="1"/>
  <c r="AG17" i="48"/>
  <c r="AF63" i="48"/>
  <c r="AG12" i="48"/>
  <c r="AG58" i="48"/>
  <c r="AE11" i="48"/>
  <c r="AG74" i="48"/>
  <c r="AG57" i="48"/>
  <c r="AG23" i="48"/>
  <c r="AH38" i="48"/>
  <c r="I38" i="5" s="1"/>
  <c r="AE72" i="48"/>
  <c r="AE13" i="48"/>
  <c r="AF60" i="48"/>
  <c r="AH60" i="48"/>
  <c r="I60" i="5" s="1"/>
  <c r="AH82" i="48"/>
  <c r="I82" i="5" s="1"/>
  <c r="AE79" i="48"/>
  <c r="AG77" i="48"/>
  <c r="AE56" i="48"/>
  <c r="AF34" i="48"/>
  <c r="AH31" i="48"/>
  <c r="I31" i="5" s="1"/>
  <c r="AF12" i="48"/>
  <c r="AF73" i="48"/>
  <c r="AF48" i="48"/>
  <c r="AH70" i="48"/>
  <c r="I70" i="5" s="1"/>
  <c r="AE41" i="48"/>
  <c r="AG78" i="48"/>
  <c r="AE20" i="48"/>
  <c r="AF75" i="48"/>
  <c r="AE46" i="48"/>
  <c r="AF55" i="48"/>
  <c r="AF45" i="48"/>
  <c r="AF3" i="48"/>
  <c r="AG50" i="48"/>
  <c r="AG67" i="48"/>
  <c r="AE81" i="48"/>
  <c r="AH72" i="48"/>
  <c r="I72" i="5" s="1"/>
  <c r="AG4" i="48"/>
  <c r="AE9" i="48"/>
  <c r="AE76" i="48"/>
  <c r="AH76" i="48"/>
  <c r="I76" i="5" s="1"/>
  <c r="AF17" i="48"/>
  <c r="AG42" i="48"/>
  <c r="AF41" i="48"/>
  <c r="AF61" i="48"/>
  <c r="AF72" i="48"/>
  <c r="AE8" i="48"/>
  <c r="AG41" i="48"/>
  <c r="AF20" i="48"/>
  <c r="AH26" i="48"/>
  <c r="I26" i="5" s="1"/>
  <c r="AH83" i="48"/>
  <c r="I83" i="5" s="1"/>
  <c r="AH2" i="48"/>
  <c r="I2" i="5" s="1"/>
  <c r="AH79" i="48"/>
  <c r="I79" i="5" s="1"/>
  <c r="AH20" i="48"/>
  <c r="I20" i="5" s="1"/>
  <c r="AH15" i="48"/>
  <c r="I15" i="5" s="1"/>
  <c r="AG80" i="48"/>
  <c r="AG28" i="48"/>
  <c r="AF14" i="48"/>
  <c r="AE44" i="48"/>
  <c r="AE34" i="48"/>
  <c r="AG82" i="48"/>
  <c r="AH4" i="48"/>
  <c r="I4" i="5" s="1"/>
  <c r="AF28" i="48"/>
  <c r="AH13" i="48"/>
  <c r="I13" i="5" s="1"/>
  <c r="AH33" i="48"/>
  <c r="I33" i="5" s="1"/>
  <c r="AG15" i="48"/>
  <c r="AG3" i="48"/>
  <c r="AH17" i="48"/>
  <c r="I17" i="5" s="1"/>
  <c r="AH64" i="48"/>
  <c r="I64" i="5" s="1"/>
  <c r="AG76" i="48"/>
  <c r="AF13" i="48"/>
  <c r="AH52" i="48"/>
  <c r="I52" i="5" s="1"/>
  <c r="AF68" i="48"/>
  <c r="AE12" i="48"/>
  <c r="AG8" i="48"/>
  <c r="AF78" i="48"/>
  <c r="AG6" i="48"/>
  <c r="AH32" i="48"/>
  <c r="I32" i="5" s="1"/>
  <c r="AG34" i="48"/>
  <c r="AE57" i="48"/>
  <c r="AG37" i="48"/>
  <c r="AH12" i="48"/>
  <c r="I12" i="5" s="1"/>
  <c r="AH41" i="48"/>
  <c r="I41" i="5" s="1"/>
  <c r="AH50" i="48"/>
  <c r="I50" i="5" s="1"/>
  <c r="AF58" i="48"/>
  <c r="AG33" i="48"/>
  <c r="AF31" i="48"/>
  <c r="AF36" i="48"/>
  <c r="AE36" i="48"/>
  <c r="AH39" i="48"/>
  <c r="I39" i="5" s="1"/>
  <c r="AE37" i="48"/>
  <c r="AG39" i="48"/>
  <c r="AH62" i="48"/>
  <c r="I62" i="5" s="1"/>
  <c r="AF79" i="48"/>
  <c r="AF70" i="48"/>
  <c r="AF66" i="48"/>
  <c r="AG62" i="48"/>
  <c r="AH29" i="48"/>
  <c r="I29" i="5" s="1"/>
  <c r="AG61" i="48"/>
  <c r="AF82" i="48"/>
  <c r="AE82" i="48"/>
  <c r="AH58" i="48"/>
  <c r="I58" i="5" s="1"/>
  <c r="AE49" i="48"/>
  <c r="AF84" i="48"/>
  <c r="AF8" i="48"/>
  <c r="AH85" i="48"/>
  <c r="I85" i="5" s="1"/>
  <c r="AH22" i="48"/>
  <c r="I22" i="5" s="1"/>
  <c r="AE74" i="48"/>
  <c r="AF7" i="48"/>
  <c r="AE69" i="48"/>
  <c r="AF59" i="48"/>
  <c r="AF29" i="48"/>
  <c r="AE40" i="48"/>
  <c r="AH66" i="48"/>
  <c r="I66" i="5" s="1"/>
  <c r="AE50" i="48"/>
  <c r="AF44" i="48"/>
  <c r="AG79" i="48"/>
  <c r="AE62" i="48"/>
  <c r="AH61" i="48"/>
  <c r="I61" i="5" s="1"/>
  <c r="AE61" i="48"/>
  <c r="AH65" i="48"/>
  <c r="I65" i="5" s="1"/>
  <c r="AF62" i="48"/>
  <c r="AH69" i="48"/>
  <c r="I69" i="5" s="1"/>
  <c r="AE39" i="48"/>
  <c r="AH71" i="48"/>
  <c r="I71" i="5" s="1"/>
  <c r="AE55" i="48"/>
  <c r="AF19" i="48"/>
  <c r="AG60" i="48"/>
  <c r="AH43" i="48"/>
  <c r="I43" i="5" s="1"/>
  <c r="AF15" i="48"/>
  <c r="AG22" i="48"/>
  <c r="AE28" i="48"/>
  <c r="AG47" i="48"/>
  <c r="AG68" i="48"/>
  <c r="AE33" i="48"/>
  <c r="AF5" i="48"/>
  <c r="AG14" i="48"/>
  <c r="AH6" i="48"/>
  <c r="I6" i="5" s="1"/>
  <c r="AF47" i="48"/>
  <c r="AF39" i="48"/>
  <c r="AE77" i="48"/>
  <c r="AG36" i="48"/>
  <c r="AG5" i="48"/>
  <c r="AG29" i="48"/>
  <c r="AI29" i="48" s="1"/>
  <c r="J29" i="5" s="1"/>
  <c r="AF23" i="48"/>
  <c r="AH36" i="48"/>
  <c r="I36" i="5" s="1"/>
  <c r="AH47" i="48"/>
  <c r="I47" i="5" s="1"/>
  <c r="AH54" i="48"/>
  <c r="I54" i="5" s="1"/>
  <c r="AE23" i="48"/>
  <c r="AE15" i="48"/>
  <c r="AE7" i="48"/>
  <c r="AF77" i="48"/>
  <c r="AG69" i="48"/>
  <c r="AG31" i="48"/>
  <c r="AF26" i="48"/>
  <c r="AF80" i="48"/>
  <c r="AG81" i="48"/>
  <c r="AH55" i="48"/>
  <c r="I55" i="5" s="1"/>
  <c r="AE59" i="48"/>
  <c r="AH80" i="48"/>
  <c r="I80" i="5" s="1"/>
  <c r="AH30" i="48"/>
  <c r="I30" i="5" s="1"/>
  <c r="AH25" i="48"/>
  <c r="I25" i="5" s="1"/>
  <c r="AH21" i="48"/>
  <c r="I21" i="5" s="1"/>
  <c r="AG10" i="48"/>
  <c r="AG55" i="48"/>
  <c r="AH8" i="48"/>
  <c r="I8" i="5" s="1"/>
  <c r="AG75" i="48"/>
  <c r="AF52" i="48"/>
  <c r="AE22" i="48"/>
  <c r="AF32" i="48"/>
  <c r="AE32" i="48"/>
  <c r="AG11" i="48"/>
  <c r="AH46" i="48"/>
  <c r="I46" i="5" s="1"/>
  <c r="AE73" i="48"/>
  <c r="AH3" i="48"/>
  <c r="I3" i="5" s="1"/>
  <c r="AH78" i="48"/>
  <c r="I78" i="5" s="1"/>
  <c r="AG13" i="48"/>
  <c r="AG48" i="48"/>
  <c r="AH68" i="48"/>
  <c r="I68" i="5" s="1"/>
  <c r="AH51" i="48"/>
  <c r="I51" i="5" s="1"/>
  <c r="AF6" i="48"/>
  <c r="AH75" i="48"/>
  <c r="I75" i="5" s="1"/>
  <c r="AH27" i="48"/>
  <c r="I27" i="5" s="1"/>
  <c r="AF54" i="48"/>
  <c r="AH28" i="48"/>
  <c r="I28" i="5" s="1"/>
  <c r="AG25" i="48"/>
  <c r="AH24" i="48"/>
  <c r="I24" i="5" s="1"/>
  <c r="AH44" i="48"/>
  <c r="I44" i="5" s="1"/>
  <c r="AE58" i="48"/>
  <c r="AH18" i="48"/>
  <c r="I18" i="5" s="1"/>
  <c r="AH34" i="48"/>
  <c r="I34" i="5" s="1"/>
  <c r="AH73" i="48"/>
  <c r="I73" i="5" s="1"/>
  <c r="AF4" i="48"/>
  <c r="AH16" i="48"/>
  <c r="I16" i="5" s="1"/>
  <c r="AH14" i="48"/>
  <c r="I14" i="5" s="1"/>
  <c r="AF18" i="48"/>
  <c r="AE24" i="48"/>
  <c r="AG35" i="48"/>
  <c r="AF38" i="48"/>
  <c r="AH11" i="48"/>
  <c r="I11" i="5" s="1"/>
  <c r="AH56" i="48"/>
  <c r="I56" i="5" s="1"/>
  <c r="AF10" i="48"/>
  <c r="AE31" i="48"/>
  <c r="AH48" i="48"/>
  <c r="I48" i="5" s="1"/>
  <c r="AG45" i="48"/>
  <c r="AF42" i="48"/>
  <c r="AF21" i="48"/>
  <c r="AG18" i="48"/>
  <c r="AF83" i="48"/>
  <c r="AH77" i="48"/>
  <c r="I77" i="5" s="1"/>
  <c r="AG53" i="48"/>
  <c r="AH23" i="48"/>
  <c r="I23" i="5" s="1"/>
  <c r="AH42" i="48"/>
  <c r="I42" i="5" s="1"/>
  <c r="AH81" i="48"/>
  <c r="I81" i="5" s="1"/>
  <c r="AF69" i="48"/>
  <c r="AH63" i="48"/>
  <c r="I63" i="5" s="1"/>
  <c r="AG65" i="48"/>
  <c r="AE65" i="48"/>
  <c r="AF81" i="48"/>
  <c r="AH35" i="48"/>
  <c r="I35" i="5" s="1"/>
  <c r="AH7" i="48"/>
  <c r="I7" i="5" s="1"/>
  <c r="AF74" i="48"/>
  <c r="AG73" i="48"/>
  <c r="AG83" i="48"/>
  <c r="AE85" i="48"/>
  <c r="AG40" i="48"/>
  <c r="AH40" i="48"/>
  <c r="I40" i="5" s="1"/>
  <c r="AF40" i="48"/>
  <c r="AH53" i="48"/>
  <c r="I53" i="5" s="1"/>
  <c r="AH74" i="48"/>
  <c r="I74" i="5" s="1"/>
  <c r="AE4" i="48"/>
  <c r="AE10" i="48"/>
  <c r="AE6" i="48"/>
  <c r="AF30" i="48"/>
  <c r="AE68" i="48"/>
  <c r="AG46" i="48"/>
  <c r="AG71" i="48"/>
  <c r="AE84" i="48"/>
  <c r="AE53" i="48"/>
  <c r="AH49" i="48"/>
  <c r="I49" i="5" s="1"/>
  <c r="AH45" i="48"/>
  <c r="I45" i="5" s="1"/>
  <c r="AH19" i="48"/>
  <c r="I19" i="5" s="1"/>
  <c r="AH10" i="48"/>
  <c r="I10" i="5" s="1"/>
  <c r="AE67" i="48"/>
  <c r="AF76" i="48"/>
  <c r="AH57" i="48"/>
  <c r="I57" i="5" s="1"/>
  <c r="AH67" i="48"/>
  <c r="I67" i="5" s="1"/>
  <c r="AG84" i="48"/>
  <c r="AG9" i="48"/>
  <c r="AE43" i="48"/>
  <c r="AE75" i="48"/>
  <c r="AH9" i="48"/>
  <c r="I9" i="5" s="1"/>
  <c r="AH37" i="48"/>
  <c r="I37" i="5" s="1"/>
  <c r="AH5" i="48"/>
  <c r="I5" i="5" s="1"/>
  <c r="AH59" i="48"/>
  <c r="I59" i="5" s="1"/>
  <c r="AF67" i="48"/>
  <c r="AF9" i="48"/>
  <c r="AF11" i="48"/>
  <c r="AG66" i="48"/>
  <c r="AF85" i="48"/>
  <c r="AE54" i="48"/>
  <c r="AF65" i="48"/>
  <c r="AF22" i="48"/>
  <c r="AG51" i="48"/>
  <c r="AG27" i="48"/>
  <c r="AF46" i="48"/>
  <c r="AG59" i="48"/>
  <c r="AG64" i="48"/>
  <c r="AF56" i="48"/>
  <c r="AE25" i="48"/>
  <c r="AE30" i="48"/>
  <c r="AE19" i="48"/>
  <c r="AG72" i="48"/>
  <c r="AG32" i="48"/>
  <c r="AF49" i="48"/>
  <c r="AE16" i="48"/>
  <c r="AE26" i="48"/>
  <c r="AG54" i="48"/>
  <c r="AF64" i="48"/>
  <c r="AE51" i="48"/>
  <c r="AF16" i="48"/>
  <c r="AG20" i="48"/>
  <c r="AG30" i="48"/>
  <c r="AG26" i="48"/>
  <c r="AF43" i="48"/>
  <c r="AE48" i="48"/>
  <c r="AE78" i="48"/>
  <c r="AF24" i="48"/>
  <c r="AE35" i="48"/>
  <c r="AE70" i="48"/>
  <c r="AG56" i="48"/>
  <c r="AG63" i="48"/>
  <c r="AE66" i="48"/>
  <c r="AE64" i="48"/>
  <c r="AF51" i="48"/>
  <c r="AG7" i="48"/>
  <c r="AG16" i="48"/>
  <c r="AF2" i="48"/>
  <c r="AG38" i="48"/>
  <c r="AG24" i="48"/>
  <c r="AF35" i="48"/>
  <c r="AE38" i="48"/>
  <c r="AE71" i="48"/>
  <c r="AG70" i="48"/>
  <c r="AG85" i="48"/>
  <c r="AF57" i="48"/>
  <c r="AF53" i="48"/>
  <c r="AG2" i="48"/>
  <c r="AE42" i="48"/>
  <c r="AG21" i="48"/>
  <c r="AE27" i="48"/>
  <c r="AE83" i="48"/>
  <c r="AF25" i="48"/>
  <c r="AE14" i="48"/>
  <c r="AG44" i="48"/>
  <c r="AG49" i="48"/>
  <c r="AG19" i="48"/>
  <c r="AF27" i="48"/>
  <c r="AG52" i="48"/>
  <c r="AE80" i="48"/>
  <c r="AG43" i="48"/>
  <c r="AE18" i="48"/>
  <c r="AF71" i="48"/>
  <c r="AE63" i="48"/>
  <c r="AI39" i="48" l="1"/>
  <c r="J39" i="5" s="1"/>
  <c r="AI17" i="48"/>
  <c r="J17" i="5" s="1"/>
  <c r="AI13" i="48"/>
  <c r="J13" i="5" s="1"/>
  <c r="AI3" i="48"/>
  <c r="J3" i="5" s="1"/>
  <c r="AI60" i="48"/>
  <c r="J60" i="5" s="1"/>
  <c r="AI34" i="48"/>
  <c r="J34" i="5" s="1"/>
  <c r="AI41" i="48"/>
  <c r="J41" i="5" s="1"/>
  <c r="AI59" i="48"/>
  <c r="J59" i="5" s="1"/>
  <c r="AI12" i="48"/>
  <c r="J12" i="5" s="1"/>
  <c r="AI76" i="48"/>
  <c r="J76" i="5" s="1"/>
  <c r="AI28" i="48"/>
  <c r="J28" i="5" s="1"/>
  <c r="AI45" i="48"/>
  <c r="J45" i="5" s="1"/>
  <c r="AI61" i="48"/>
  <c r="J61" i="5" s="1"/>
  <c r="AI20" i="48"/>
  <c r="J20" i="5" s="1"/>
  <c r="AI37" i="48"/>
  <c r="J37" i="5" s="1"/>
  <c r="AI8" i="48"/>
  <c r="J8" i="5" s="1"/>
  <c r="AI78" i="48"/>
  <c r="J78" i="5" s="1"/>
  <c r="AI50" i="48"/>
  <c r="J50" i="5" s="1"/>
  <c r="AI44" i="48"/>
  <c r="J44" i="5" s="1"/>
  <c r="AI72" i="48"/>
  <c r="J72" i="5" s="1"/>
  <c r="AI33" i="48"/>
  <c r="J33" i="5" s="1"/>
  <c r="AI7" i="48"/>
  <c r="J7" i="5" s="1"/>
  <c r="AI81" i="48"/>
  <c r="J81" i="5" s="1"/>
  <c r="AI15" i="48"/>
  <c r="J15" i="5" s="1"/>
  <c r="AI11" i="48"/>
  <c r="J11" i="5" s="1"/>
  <c r="AI79" i="48"/>
  <c r="J79" i="5" s="1"/>
  <c r="AI58" i="48"/>
  <c r="J58" i="5" s="1"/>
  <c r="AI62" i="48"/>
  <c r="J62" i="5" s="1"/>
  <c r="AI57" i="48"/>
  <c r="J57" i="5" s="1"/>
  <c r="AI10" i="48"/>
  <c r="J10" i="5" s="1"/>
  <c r="AI23" i="48"/>
  <c r="J23" i="5" s="1"/>
  <c r="AI5" i="48"/>
  <c r="J5" i="5" s="1"/>
  <c r="AI36" i="48"/>
  <c r="J36" i="5" s="1"/>
  <c r="AI82" i="48"/>
  <c r="J82" i="5" s="1"/>
  <c r="AI47" i="48"/>
  <c r="J47" i="5" s="1"/>
  <c r="AI52" i="48"/>
  <c r="J52" i="5" s="1"/>
  <c r="AI22" i="48"/>
  <c r="J22" i="5" s="1"/>
  <c r="AI74" i="48"/>
  <c r="J74" i="5" s="1"/>
  <c r="AI80" i="48"/>
  <c r="J80" i="5" s="1"/>
  <c r="AI31" i="48"/>
  <c r="J31" i="5" s="1"/>
  <c r="AJ29" i="48"/>
  <c r="K29" i="5" s="1"/>
  <c r="O36" i="19" s="1"/>
  <c r="AI68" i="48"/>
  <c r="J68" i="5" s="1"/>
  <c r="AI55" i="48"/>
  <c r="J55" i="5" s="1"/>
  <c r="AJ60" i="48"/>
  <c r="K60" i="5" s="1"/>
  <c r="O67" i="19" s="1"/>
  <c r="AI69" i="48"/>
  <c r="J69" i="5" s="1"/>
  <c r="AI26" i="48"/>
  <c r="J26" i="5" s="1"/>
  <c r="AJ39" i="48"/>
  <c r="K39" i="5" s="1"/>
  <c r="O46" i="19" s="1"/>
  <c r="AI14" i="48"/>
  <c r="J14" i="5" s="1"/>
  <c r="AI32" i="48"/>
  <c r="J32" i="5" s="1"/>
  <c r="AI75" i="48"/>
  <c r="J75" i="5" s="1"/>
  <c r="AI4" i="48"/>
  <c r="J4" i="5" s="1"/>
  <c r="AI77" i="48"/>
  <c r="J77" i="5" s="1"/>
  <c r="AI48" i="48"/>
  <c r="J48" i="5" s="1"/>
  <c r="AI54" i="48"/>
  <c r="J54" i="5" s="1"/>
  <c r="AI19" i="48"/>
  <c r="J19" i="5" s="1"/>
  <c r="AI73" i="48"/>
  <c r="J73" i="5" s="1"/>
  <c r="AI38" i="48"/>
  <c r="J38" i="5" s="1"/>
  <c r="AI70" i="48"/>
  <c r="J70" i="5" s="1"/>
  <c r="O77" i="19" s="1"/>
  <c r="AI24" i="48"/>
  <c r="J24" i="5" s="1"/>
  <c r="AI66" i="48"/>
  <c r="J66" i="5" s="1"/>
  <c r="AI30" i="48"/>
  <c r="J30" i="5" s="1"/>
  <c r="AI27" i="48"/>
  <c r="J27" i="5" s="1"/>
  <c r="AI9" i="48"/>
  <c r="J9" i="5" s="1"/>
  <c r="AI6" i="48"/>
  <c r="J6" i="5" s="1"/>
  <c r="AI35" i="48"/>
  <c r="J35" i="5" s="1"/>
  <c r="AI43" i="48"/>
  <c r="J43" i="5" s="1"/>
  <c r="AI56" i="48"/>
  <c r="J56" i="5" s="1"/>
  <c r="AI18" i="48"/>
  <c r="J18" i="5" s="1"/>
  <c r="AI63" i="48"/>
  <c r="J63" i="5" s="1"/>
  <c r="AJ59" i="48"/>
  <c r="K59" i="5" s="1"/>
  <c r="AI84" i="48"/>
  <c r="J84" i="5" s="1"/>
  <c r="AI51" i="48"/>
  <c r="J51" i="5" s="1"/>
  <c r="AI64" i="48"/>
  <c r="J64" i="5" s="1"/>
  <c r="AI40" i="48"/>
  <c r="J40" i="5" s="1"/>
  <c r="AI42" i="48"/>
  <c r="J42" i="5" s="1"/>
  <c r="AI71" i="48"/>
  <c r="J71" i="5" s="1"/>
  <c r="AI53" i="48"/>
  <c r="J53" i="5" s="1"/>
  <c r="AI49" i="48"/>
  <c r="J49" i="5" s="1"/>
  <c r="AI65" i="48"/>
  <c r="J65" i="5" s="1"/>
  <c r="AI67" i="48"/>
  <c r="J67" i="5" s="1"/>
  <c r="O74" i="19" s="1"/>
  <c r="AI83" i="48"/>
  <c r="J83" i="5" s="1"/>
  <c r="AI2" i="48"/>
  <c r="J2" i="5" s="1"/>
  <c r="AI46" i="48"/>
  <c r="J46" i="5" s="1"/>
  <c r="AI25" i="48"/>
  <c r="J25" i="5" s="1"/>
  <c r="AI16" i="48"/>
  <c r="J16" i="5" s="1"/>
  <c r="AI85" i="48"/>
  <c r="J85" i="5" s="1"/>
  <c r="AI21" i="48"/>
  <c r="J21" i="5" s="1"/>
  <c r="AJ17" i="48" l="1"/>
  <c r="K17" i="5" s="1"/>
  <c r="O24" i="19" s="1"/>
  <c r="AJ13" i="48"/>
  <c r="K13" i="5" s="1"/>
  <c r="O20" i="19" s="1"/>
  <c r="AJ81" i="48"/>
  <c r="K81" i="5" s="1"/>
  <c r="AJ28" i="48"/>
  <c r="K28" i="5" s="1"/>
  <c r="O35" i="19" s="1"/>
  <c r="AJ3" i="48"/>
  <c r="K3" i="5" s="1"/>
  <c r="O10" i="19" s="1"/>
  <c r="AJ34" i="48"/>
  <c r="K34" i="5" s="1"/>
  <c r="O41" i="19" s="1"/>
  <c r="AJ61" i="48"/>
  <c r="K61" i="5" s="1"/>
  <c r="AJ8" i="48"/>
  <c r="K8" i="5" s="1"/>
  <c r="O15" i="19" s="1"/>
  <c r="AJ76" i="48"/>
  <c r="K76" i="5" s="1"/>
  <c r="O83" i="19" s="1"/>
  <c r="AJ12" i="48"/>
  <c r="K12" i="5" s="1"/>
  <c r="O19" i="19" s="1"/>
  <c r="AJ37" i="48"/>
  <c r="K37" i="5" s="1"/>
  <c r="O44" i="19" s="1"/>
  <c r="AJ41" i="48"/>
  <c r="K41" i="5" s="1"/>
  <c r="O48" i="19" s="1"/>
  <c r="AJ50" i="48"/>
  <c r="K50" i="5" s="1"/>
  <c r="O57" i="19" s="1"/>
  <c r="AJ7" i="48"/>
  <c r="K7" i="5" s="1"/>
  <c r="O14" i="19" s="1"/>
  <c r="AJ20" i="48"/>
  <c r="K20" i="5" s="1"/>
  <c r="O27" i="19" s="1"/>
  <c r="AJ45" i="48"/>
  <c r="K45" i="5" s="1"/>
  <c r="O52" i="19" s="1"/>
  <c r="AJ10" i="48"/>
  <c r="K10" i="5" s="1"/>
  <c r="O17" i="19" s="1"/>
  <c r="AJ78" i="48"/>
  <c r="K78" i="5" s="1"/>
  <c r="O85" i="19" s="1"/>
  <c r="AJ11" i="48"/>
  <c r="K11" i="5" s="1"/>
  <c r="O18" i="19" s="1"/>
  <c r="AJ36" i="48"/>
  <c r="K36" i="5" s="1"/>
  <c r="AJ57" i="48"/>
  <c r="K57" i="5" s="1"/>
  <c r="AJ23" i="48"/>
  <c r="K23" i="5" s="1"/>
  <c r="O30" i="19" s="1"/>
  <c r="AJ33" i="48"/>
  <c r="K33" i="5" s="1"/>
  <c r="O40" i="19" s="1"/>
  <c r="AJ5" i="48"/>
  <c r="K5" i="5" s="1"/>
  <c r="O12" i="19" s="1"/>
  <c r="AJ15" i="48"/>
  <c r="K15" i="5" s="1"/>
  <c r="O22" i="19" s="1"/>
  <c r="AJ72" i="48"/>
  <c r="K72" i="5" s="1"/>
  <c r="O79" i="19" s="1"/>
  <c r="AJ62" i="48"/>
  <c r="K62" i="5" s="1"/>
  <c r="O69" i="19" s="1"/>
  <c r="AJ44" i="48"/>
  <c r="K44" i="5" s="1"/>
  <c r="O51" i="19" s="1"/>
  <c r="AJ79" i="48"/>
  <c r="K79" i="5" s="1"/>
  <c r="AJ58" i="48"/>
  <c r="K58" i="5" s="1"/>
  <c r="AJ47" i="48"/>
  <c r="K47" i="5" s="1"/>
  <c r="O54" i="19" s="1"/>
  <c r="AJ74" i="48"/>
  <c r="K74" i="5" s="1"/>
  <c r="O81" i="19" s="1"/>
  <c r="AJ80" i="48"/>
  <c r="K80" i="5" s="1"/>
  <c r="O87" i="19" s="1"/>
  <c r="AJ82" i="48"/>
  <c r="K82" i="5" s="1"/>
  <c r="O89" i="19" s="1"/>
  <c r="AJ77" i="48"/>
  <c r="K77" i="5" s="1"/>
  <c r="AJ49" i="48"/>
  <c r="K49" i="5" s="1"/>
  <c r="O56" i="19" s="1"/>
  <c r="AJ46" i="48"/>
  <c r="K46" i="5" s="1"/>
  <c r="O53" i="19" s="1"/>
  <c r="AJ71" i="48"/>
  <c r="K71" i="5" s="1"/>
  <c r="AJ27" i="48"/>
  <c r="K27" i="5" s="1"/>
  <c r="O34" i="19" s="1"/>
  <c r="AJ48" i="48"/>
  <c r="K48" i="5" s="1"/>
  <c r="O55" i="19" s="1"/>
  <c r="AJ40" i="48"/>
  <c r="K40" i="5" s="1"/>
  <c r="O47" i="19" s="1"/>
  <c r="AJ38" i="48"/>
  <c r="K38" i="5" s="1"/>
  <c r="O45" i="19" s="1"/>
  <c r="AJ83" i="48"/>
  <c r="K83" i="5" s="1"/>
  <c r="O90" i="19" s="1"/>
  <c r="AJ75" i="48"/>
  <c r="K75" i="5" s="1"/>
  <c r="AJ25" i="48"/>
  <c r="K25" i="5" s="1"/>
  <c r="O32" i="19" s="1"/>
  <c r="AJ51" i="48"/>
  <c r="K51" i="5" s="1"/>
  <c r="O58" i="19" s="1"/>
  <c r="AJ43" i="48"/>
  <c r="K43" i="5" s="1"/>
  <c r="O50" i="19" s="1"/>
  <c r="AJ24" i="48"/>
  <c r="K24" i="5" s="1"/>
  <c r="O31" i="19" s="1"/>
  <c r="AJ73" i="48"/>
  <c r="K73" i="5" s="1"/>
  <c r="O80" i="19" s="1"/>
  <c r="AJ32" i="48"/>
  <c r="K32" i="5" s="1"/>
  <c r="O39" i="19" s="1"/>
  <c r="AJ22" i="48"/>
  <c r="K22" i="5" s="1"/>
  <c r="O29" i="19" s="1"/>
  <c r="AJ21" i="48"/>
  <c r="K21" i="5" s="1"/>
  <c r="O28" i="19" s="1"/>
  <c r="AJ4" i="48"/>
  <c r="K4" i="5" s="1"/>
  <c r="O11" i="19" s="1"/>
  <c r="AJ64" i="48"/>
  <c r="K64" i="5" s="1"/>
  <c r="AJ56" i="48"/>
  <c r="K56" i="5" s="1"/>
  <c r="O63" i="19" s="1"/>
  <c r="AJ66" i="48"/>
  <c r="K66" i="5" s="1"/>
  <c r="AJ85" i="48"/>
  <c r="K85" i="5" s="1"/>
  <c r="O92" i="19" s="1"/>
  <c r="AJ16" i="48"/>
  <c r="K16" i="5" s="1"/>
  <c r="O23" i="19" s="1"/>
  <c r="AJ65" i="48"/>
  <c r="K65" i="5" s="1"/>
  <c r="O72" i="19" s="1"/>
  <c r="AJ84" i="48"/>
  <c r="K84" i="5" s="1"/>
  <c r="O91" i="19" s="1"/>
  <c r="AJ35" i="48"/>
  <c r="K35" i="5" s="1"/>
  <c r="O42" i="19" s="1"/>
  <c r="AJ19" i="48"/>
  <c r="K19" i="5" s="1"/>
  <c r="O26" i="19" s="1"/>
  <c r="AJ14" i="48"/>
  <c r="K14" i="5" s="1"/>
  <c r="AJ52" i="48"/>
  <c r="K52" i="5" s="1"/>
  <c r="AJ53" i="48"/>
  <c r="K53" i="5" s="1"/>
  <c r="AJ63" i="48"/>
  <c r="K63" i="5" s="1"/>
  <c r="AJ9" i="48"/>
  <c r="K9" i="5" s="1"/>
  <c r="AJ54" i="48"/>
  <c r="K54" i="5" s="1"/>
  <c r="O61" i="19" s="1"/>
  <c r="AJ31" i="48"/>
  <c r="K31" i="5" s="1"/>
  <c r="O38" i="19" s="1"/>
  <c r="AJ6" i="48"/>
  <c r="K6" i="5" s="1"/>
  <c r="AJ26" i="48"/>
  <c r="K26" i="5" s="1"/>
  <c r="O33" i="19" s="1"/>
  <c r="AJ55" i="48"/>
  <c r="K55" i="5" s="1"/>
  <c r="O62" i="19" s="1"/>
  <c r="AJ2" i="48"/>
  <c r="K2" i="5" s="1"/>
  <c r="O9" i="19" s="1"/>
  <c r="AJ42" i="48"/>
  <c r="K42" i="5" s="1"/>
  <c r="O49" i="19" s="1"/>
  <c r="AJ18" i="48"/>
  <c r="K18" i="5" s="1"/>
  <c r="AJ30" i="48"/>
  <c r="K30" i="5" s="1"/>
  <c r="O37" i="19" s="1"/>
  <c r="AJ69" i="48"/>
  <c r="K69" i="5" s="1"/>
  <c r="AJ68" i="48"/>
  <c r="K68" i="5" s="1"/>
  <c r="O75" i="19" s="1"/>
  <c r="S10" i="19" l="1"/>
  <c r="S11" i="19"/>
  <c r="S12" i="19"/>
  <c r="S13" i="19"/>
  <c r="S14" i="19"/>
  <c r="S15" i="19"/>
  <c r="S16" i="19"/>
  <c r="S17" i="19"/>
  <c r="S18" i="19"/>
  <c r="S19" i="19"/>
  <c r="S20" i="19"/>
  <c r="S21" i="19"/>
  <c r="S22" i="19"/>
  <c r="S23" i="19"/>
  <c r="S24" i="19"/>
  <c r="S25" i="19"/>
  <c r="S26" i="19"/>
  <c r="S27" i="19"/>
  <c r="S28" i="19"/>
  <c r="S29" i="19"/>
  <c r="S30" i="19"/>
  <c r="S31" i="19"/>
  <c r="S32" i="19"/>
  <c r="S33" i="19"/>
  <c r="S34" i="19"/>
  <c r="S35" i="19"/>
  <c r="S36" i="19"/>
  <c r="S37" i="19"/>
  <c r="S38" i="19"/>
  <c r="S39" i="19"/>
  <c r="S40" i="19"/>
  <c r="S41" i="19"/>
  <c r="S42" i="19"/>
  <c r="S43" i="19"/>
  <c r="S44" i="19"/>
  <c r="S45" i="19"/>
  <c r="S46" i="19"/>
  <c r="S47" i="19"/>
  <c r="S48" i="19"/>
  <c r="S49" i="19"/>
  <c r="S50" i="19"/>
  <c r="S51" i="19"/>
  <c r="S52" i="19"/>
  <c r="S53" i="19"/>
  <c r="S54" i="19"/>
  <c r="S55" i="19"/>
  <c r="S56" i="19"/>
  <c r="S57" i="19"/>
  <c r="S58" i="19"/>
  <c r="S59" i="19"/>
  <c r="S60" i="19"/>
  <c r="S61" i="19"/>
  <c r="S62" i="19"/>
  <c r="S63" i="19"/>
  <c r="S64" i="19"/>
  <c r="S65" i="19"/>
  <c r="S66" i="19"/>
  <c r="S67" i="19"/>
  <c r="S68" i="19"/>
  <c r="S69" i="19"/>
  <c r="S70" i="19"/>
  <c r="S71" i="19"/>
  <c r="S72" i="19"/>
  <c r="S73" i="19"/>
  <c r="S74" i="19"/>
  <c r="S75" i="19"/>
  <c r="S76" i="19"/>
  <c r="S77" i="19"/>
  <c r="S78" i="19"/>
  <c r="S79" i="19"/>
  <c r="S80" i="19"/>
  <c r="S81" i="19"/>
  <c r="S82" i="19"/>
  <c r="S83" i="19"/>
  <c r="S84" i="19"/>
  <c r="S85" i="19"/>
  <c r="S86" i="19"/>
  <c r="S87" i="19"/>
  <c r="S88" i="19"/>
  <c r="S89" i="19"/>
  <c r="S90" i="19"/>
  <c r="S91" i="19"/>
  <c r="S92" i="19"/>
  <c r="S9" i="19" l="1"/>
  <c r="Z51"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 i="19" l="1"/>
  <c r="U9" i="19" l="1"/>
  <c r="U90" i="19"/>
  <c r="H3" i="5" l="1"/>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2" i="5"/>
  <c r="AC6" i="11" l="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C31" i="11"/>
  <c r="AC32" i="11"/>
  <c r="AC33" i="11"/>
  <c r="AC34" i="11"/>
  <c r="AC35" i="11"/>
  <c r="AC36" i="11"/>
  <c r="AC37" i="11"/>
  <c r="AC38" i="11"/>
  <c r="AC39" i="11"/>
  <c r="AC40" i="11"/>
  <c r="AC41" i="11"/>
  <c r="AC42" i="11"/>
  <c r="AC43" i="11"/>
  <c r="AC44" i="11"/>
  <c r="AC45" i="11"/>
  <c r="AC46" i="11"/>
  <c r="AC47" i="11"/>
  <c r="AC48" i="11"/>
  <c r="AC49" i="11"/>
  <c r="AC50" i="11"/>
  <c r="AC51" i="11"/>
  <c r="AC52" i="11"/>
  <c r="AC53" i="11"/>
  <c r="AC54" i="11"/>
  <c r="AC55" i="11"/>
  <c r="AC56" i="11"/>
  <c r="AC57" i="11"/>
  <c r="AC58" i="11"/>
  <c r="AC59" i="11"/>
  <c r="AC60" i="11"/>
  <c r="AC61" i="11"/>
  <c r="AC62" i="11"/>
  <c r="AC63" i="11"/>
  <c r="AC64" i="11"/>
  <c r="AC65" i="11"/>
  <c r="AC66" i="11"/>
  <c r="AC67" i="11"/>
  <c r="AC68" i="11"/>
  <c r="AC69" i="11"/>
  <c r="AC70" i="11"/>
  <c r="AC71" i="11"/>
  <c r="AC72" i="11"/>
  <c r="AC73" i="11"/>
  <c r="AC74" i="11"/>
  <c r="AC75" i="11"/>
  <c r="AC76" i="11"/>
  <c r="AC77" i="11"/>
  <c r="AC78" i="11"/>
  <c r="AC79" i="11"/>
  <c r="AC80" i="11"/>
  <c r="AC81" i="11"/>
  <c r="AC82" i="11"/>
  <c r="AC83" i="11"/>
  <c r="AC84" i="11"/>
  <c r="AC85" i="11"/>
  <c r="AC86" i="11"/>
  <c r="AC87" i="11"/>
  <c r="AC88" i="11"/>
  <c r="AC5" i="1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5" i="5"/>
  <c r="F6" i="5"/>
  <c r="F7" i="5"/>
  <c r="F8" i="5"/>
  <c r="F9" i="5"/>
  <c r="F3" i="5"/>
  <c r="F4"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2" i="5"/>
  <c r="V12" i="11"/>
  <c r="V13" i="11"/>
  <c r="J89" i="11" l="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5" i="11"/>
  <c r="O21" i="11"/>
  <c r="M21" i="11"/>
  <c r="BH4" i="33"/>
  <c r="BH5" i="33"/>
  <c r="BH6" i="33"/>
  <c r="BH7" i="33"/>
  <c r="BH8" i="33"/>
  <c r="BH9" i="33"/>
  <c r="BH10" i="33"/>
  <c r="BH11" i="33"/>
  <c r="BH12" i="33"/>
  <c r="BH13" i="33"/>
  <c r="BH14" i="33"/>
  <c r="BH15" i="33"/>
  <c r="BH16" i="33"/>
  <c r="BH17" i="33"/>
  <c r="BH18" i="33"/>
  <c r="BH19" i="33"/>
  <c r="BH20" i="33"/>
  <c r="BH21" i="33"/>
  <c r="BH22" i="33"/>
  <c r="BH23" i="33"/>
  <c r="BH24" i="33"/>
  <c r="BH25" i="33"/>
  <c r="BH26" i="33"/>
  <c r="BH27" i="33"/>
  <c r="BH28" i="33"/>
  <c r="BH29" i="33"/>
  <c r="BH30" i="33"/>
  <c r="BH31" i="33"/>
  <c r="BH32" i="33"/>
  <c r="BH33" i="33"/>
  <c r="BH34" i="33"/>
  <c r="BH35" i="33"/>
  <c r="BH36" i="33"/>
  <c r="BH37" i="33"/>
  <c r="BH38" i="33"/>
  <c r="BH39" i="33"/>
  <c r="BH40" i="33"/>
  <c r="BH41" i="33"/>
  <c r="BH42" i="33"/>
  <c r="BH43" i="33"/>
  <c r="BH44" i="33"/>
  <c r="BH45" i="33"/>
  <c r="BH46" i="33"/>
  <c r="BH47" i="33"/>
  <c r="BH48" i="33"/>
  <c r="BH49" i="33"/>
  <c r="BH50" i="33"/>
  <c r="BH51" i="33"/>
  <c r="BH52" i="33"/>
  <c r="BH3" i="33"/>
  <c r="N7" i="11" l="1"/>
  <c r="O7" i="11" s="1"/>
  <c r="N8" i="11"/>
  <c r="O8" i="11" s="1"/>
  <c r="N9" i="11"/>
  <c r="O9" i="11" s="1"/>
  <c r="N10" i="11"/>
  <c r="O10" i="11" s="1"/>
  <c r="N11" i="11"/>
  <c r="O11" i="11" s="1"/>
  <c r="N12" i="11"/>
  <c r="O12" i="11" s="1"/>
  <c r="N13" i="11"/>
  <c r="M13" i="11" s="1"/>
  <c r="N14" i="11"/>
  <c r="M14" i="11" s="1"/>
  <c r="N15" i="11"/>
  <c r="O15" i="11" s="1"/>
  <c r="N16" i="11"/>
  <c r="O16" i="11" s="1"/>
  <c r="N17" i="11"/>
  <c r="O17" i="11" s="1"/>
  <c r="N18" i="11"/>
  <c r="O18" i="11" s="1"/>
  <c r="N19" i="11"/>
  <c r="O19" i="11" s="1"/>
  <c r="N20" i="11"/>
  <c r="O20" i="11" s="1"/>
  <c r="N21" i="11"/>
  <c r="N22" i="11"/>
  <c r="N23" i="11"/>
  <c r="O23" i="11" s="1"/>
  <c r="N24" i="11"/>
  <c r="O24" i="11" s="1"/>
  <c r="N25" i="11"/>
  <c r="O25" i="11" s="1"/>
  <c r="N26" i="11"/>
  <c r="O26" i="11" s="1"/>
  <c r="N27" i="11"/>
  <c r="O27" i="11" s="1"/>
  <c r="N28" i="11"/>
  <c r="O28" i="11" s="1"/>
  <c r="N29" i="11"/>
  <c r="O29" i="11" s="1"/>
  <c r="N30" i="11"/>
  <c r="O30" i="11" s="1"/>
  <c r="N31" i="11"/>
  <c r="O31" i="11" s="1"/>
  <c r="N32" i="11"/>
  <c r="O32" i="11" s="1"/>
  <c r="N33" i="11"/>
  <c r="O33" i="11" s="1"/>
  <c r="N34" i="11"/>
  <c r="O34" i="11" s="1"/>
  <c r="N35" i="11"/>
  <c r="O35" i="11" s="1"/>
  <c r="N36" i="11"/>
  <c r="O36" i="11" s="1"/>
  <c r="N37" i="11"/>
  <c r="O37" i="11" s="1"/>
  <c r="N38" i="11"/>
  <c r="O38" i="11" s="1"/>
  <c r="N39" i="11"/>
  <c r="O39" i="11" s="1"/>
  <c r="N40" i="11"/>
  <c r="O40" i="11" s="1"/>
  <c r="N41" i="11"/>
  <c r="O41" i="11" s="1"/>
  <c r="N42" i="11"/>
  <c r="M42" i="11" s="1"/>
  <c r="N43" i="11"/>
  <c r="O43" i="11" s="1"/>
  <c r="N44" i="11"/>
  <c r="O44" i="11" s="1"/>
  <c r="N45" i="11"/>
  <c r="O45" i="11" s="1"/>
  <c r="N46" i="11"/>
  <c r="O46" i="11" s="1"/>
  <c r="N47" i="11"/>
  <c r="O47" i="11" s="1"/>
  <c r="N48" i="11"/>
  <c r="O48" i="11" s="1"/>
  <c r="N49" i="11"/>
  <c r="O49" i="11" s="1"/>
  <c r="N50" i="11"/>
  <c r="O50" i="11" s="1"/>
  <c r="N51" i="11"/>
  <c r="O51" i="11" s="1"/>
  <c r="N52" i="11"/>
  <c r="O52" i="11" s="1"/>
  <c r="N53" i="11"/>
  <c r="O53" i="11" s="1"/>
  <c r="N54" i="11"/>
  <c r="O54" i="11" s="1"/>
  <c r="N55" i="11"/>
  <c r="O55" i="11" s="1"/>
  <c r="N56" i="11"/>
  <c r="O56" i="11" s="1"/>
  <c r="N57" i="11"/>
  <c r="O57" i="11" s="1"/>
  <c r="N58" i="11"/>
  <c r="O58" i="11" s="1"/>
  <c r="N59" i="11"/>
  <c r="O59" i="11" s="1"/>
  <c r="N60" i="11"/>
  <c r="O60" i="11" s="1"/>
  <c r="N61" i="11"/>
  <c r="O61" i="11" s="1"/>
  <c r="N62" i="11"/>
  <c r="O62" i="11" s="1"/>
  <c r="N63" i="11"/>
  <c r="O63" i="11" s="1"/>
  <c r="N64" i="11"/>
  <c r="O64" i="11" s="1"/>
  <c r="N65" i="11"/>
  <c r="M65" i="11" s="1"/>
  <c r="N66" i="11"/>
  <c r="O66" i="11" s="1"/>
  <c r="N67" i="11"/>
  <c r="O67" i="11" s="1"/>
  <c r="N68" i="11"/>
  <c r="O68" i="11" s="1"/>
  <c r="N69" i="11"/>
  <c r="O69" i="11" s="1"/>
  <c r="N70" i="11"/>
  <c r="O70" i="11" s="1"/>
  <c r="N71" i="11"/>
  <c r="O71" i="11" s="1"/>
  <c r="N72" i="11"/>
  <c r="M72" i="11" s="1"/>
  <c r="N73" i="11"/>
  <c r="O73" i="11" s="1"/>
  <c r="N74" i="11"/>
  <c r="O74" i="11" s="1"/>
  <c r="N75" i="11"/>
  <c r="O75" i="11" s="1"/>
  <c r="N76" i="11"/>
  <c r="O76" i="11" s="1"/>
  <c r="N77" i="11"/>
  <c r="O77" i="11" s="1"/>
  <c r="N78" i="11"/>
  <c r="O78" i="11" s="1"/>
  <c r="N79" i="11"/>
  <c r="O79" i="11" s="1"/>
  <c r="N80" i="11"/>
  <c r="M80" i="11" s="1"/>
  <c r="N81" i="11"/>
  <c r="O81" i="11" s="1"/>
  <c r="N82" i="11"/>
  <c r="O82" i="11" s="1"/>
  <c r="N83" i="11"/>
  <c r="O83" i="11" s="1"/>
  <c r="N84" i="11"/>
  <c r="O84" i="11" s="1"/>
  <c r="N85" i="11"/>
  <c r="O85" i="11" s="1"/>
  <c r="N86" i="11"/>
  <c r="O86" i="11" s="1"/>
  <c r="N87" i="11"/>
  <c r="O87" i="11" s="1"/>
  <c r="N88" i="11"/>
  <c r="M88" i="11" s="1"/>
  <c r="N5" i="11"/>
  <c r="N6" i="11"/>
  <c r="M6" i="11" s="1"/>
  <c r="O5" i="11" l="1"/>
  <c r="M5" i="11"/>
  <c r="M22" i="11"/>
  <c r="O22" i="11"/>
  <c r="M50" i="11"/>
  <c r="M34" i="11"/>
  <c r="M19" i="11"/>
  <c r="M17" i="11"/>
  <c r="M8" i="11"/>
  <c r="M49" i="11"/>
  <c r="M33" i="11"/>
  <c r="M18" i="11"/>
  <c r="O6" i="11"/>
  <c r="M32" i="11"/>
  <c r="M81" i="11"/>
  <c r="M44" i="11"/>
  <c r="M28" i="11"/>
  <c r="M16" i="11"/>
  <c r="O42" i="11"/>
  <c r="M73" i="11"/>
  <c r="M26" i="11"/>
  <c r="M12" i="11"/>
  <c r="M48" i="11"/>
  <c r="O65" i="11"/>
  <c r="M41" i="11"/>
  <c r="M25" i="11"/>
  <c r="M11" i="11"/>
  <c r="M64" i="11"/>
  <c r="M40" i="11"/>
  <c r="M24" i="11"/>
  <c r="M10" i="11"/>
  <c r="M56" i="11"/>
  <c r="M36" i="11"/>
  <c r="M20" i="11"/>
  <c r="M9" i="11"/>
  <c r="O13" i="11"/>
  <c r="O88" i="11"/>
  <c r="O80" i="11"/>
  <c r="O72" i="11"/>
  <c r="M57" i="11"/>
  <c r="O14" i="11"/>
  <c r="M87" i="11"/>
  <c r="M79" i="11"/>
  <c r="M71" i="11"/>
  <c r="M63" i="11"/>
  <c r="M55" i="11"/>
  <c r="M47" i="11"/>
  <c r="M39" i="11"/>
  <c r="M31" i="11"/>
  <c r="M23" i="11"/>
  <c r="M15" i="11"/>
  <c r="M7" i="11"/>
  <c r="M86" i="11"/>
  <c r="M78" i="11"/>
  <c r="M70" i="11"/>
  <c r="M62" i="11"/>
  <c r="M54" i="11"/>
  <c r="M46" i="11"/>
  <c r="M38" i="11"/>
  <c r="M30" i="11"/>
  <c r="M85" i="11"/>
  <c r="M77" i="11"/>
  <c r="M69" i="11"/>
  <c r="M61" i="11"/>
  <c r="M53" i="11"/>
  <c r="M45" i="11"/>
  <c r="M37" i="11"/>
  <c r="M29" i="11"/>
  <c r="M84" i="11"/>
  <c r="M76" i="11"/>
  <c r="M68" i="11"/>
  <c r="M60" i="11"/>
  <c r="M52" i="11"/>
  <c r="M83" i="11"/>
  <c r="M75" i="11"/>
  <c r="M67" i="11"/>
  <c r="M59" i="11"/>
  <c r="M51" i="11"/>
  <c r="M43" i="11"/>
  <c r="M35" i="11"/>
  <c r="M27" i="11"/>
  <c r="M82" i="11"/>
  <c r="M74" i="11"/>
  <c r="M66" i="11"/>
  <c r="M58" i="11"/>
  <c r="AD55" i="11" l="1"/>
  <c r="E59" i="19" s="1"/>
  <c r="AD56" i="11"/>
  <c r="E60" i="19" s="1"/>
  <c r="AD57" i="11"/>
  <c r="E61" i="19" s="1"/>
  <c r="AD58" i="11"/>
  <c r="E62" i="19" s="1"/>
  <c r="AD59" i="11"/>
  <c r="E63" i="19" s="1"/>
  <c r="AD60" i="11"/>
  <c r="E64" i="19" s="1"/>
  <c r="AD61" i="11"/>
  <c r="E65" i="19" s="1"/>
  <c r="AD62" i="11"/>
  <c r="E66" i="19" s="1"/>
  <c r="AD63" i="11"/>
  <c r="E67" i="19" s="1"/>
  <c r="AD64" i="11"/>
  <c r="E68" i="19" s="1"/>
  <c r="AD65" i="11"/>
  <c r="E69" i="19" s="1"/>
  <c r="AD66" i="11"/>
  <c r="E70" i="19" s="1"/>
  <c r="AD67" i="11"/>
  <c r="E71" i="19" s="1"/>
  <c r="AD68" i="11"/>
  <c r="E72" i="19" s="1"/>
  <c r="AD69" i="11"/>
  <c r="E73" i="19" s="1"/>
  <c r="AD70" i="11"/>
  <c r="E74" i="19" s="1"/>
  <c r="AD71" i="11"/>
  <c r="E75" i="19" s="1"/>
  <c r="AD72" i="11"/>
  <c r="E76" i="19" s="1"/>
  <c r="AD73" i="11"/>
  <c r="E77" i="19" s="1"/>
  <c r="AD74" i="11"/>
  <c r="E78" i="19" s="1"/>
  <c r="AD75" i="11"/>
  <c r="E79" i="19" s="1"/>
  <c r="AD76" i="11"/>
  <c r="E80" i="19" s="1"/>
  <c r="AD77" i="11"/>
  <c r="E81" i="19" s="1"/>
  <c r="AD78" i="11"/>
  <c r="E82" i="19" s="1"/>
  <c r="AD79" i="11"/>
  <c r="E83" i="19" s="1"/>
  <c r="AD80" i="11"/>
  <c r="E84" i="19" s="1"/>
  <c r="AD81" i="11"/>
  <c r="E85" i="19" s="1"/>
  <c r="AD82" i="11"/>
  <c r="E86" i="19" s="1"/>
  <c r="AD83" i="11"/>
  <c r="E87" i="19" s="1"/>
  <c r="AD84" i="11"/>
  <c r="E88" i="19" s="1"/>
  <c r="AD85" i="11"/>
  <c r="E89" i="19" s="1"/>
  <c r="AD86" i="11"/>
  <c r="E90" i="19" s="1"/>
  <c r="AD87" i="11"/>
  <c r="E91" i="19" s="1"/>
  <c r="AD88" i="11"/>
  <c r="E92" i="19" s="1"/>
  <c r="AB55" i="11"/>
  <c r="F59" i="19" s="1"/>
  <c r="AB56" i="11"/>
  <c r="F60" i="19" s="1"/>
  <c r="AB57" i="11"/>
  <c r="F61" i="19" s="1"/>
  <c r="AB58" i="11"/>
  <c r="F62" i="19" s="1"/>
  <c r="AB59" i="11"/>
  <c r="F63" i="19" s="1"/>
  <c r="AB60" i="11"/>
  <c r="F64" i="19" s="1"/>
  <c r="AB61" i="11"/>
  <c r="F65" i="19" s="1"/>
  <c r="AB62" i="11"/>
  <c r="F66" i="19" s="1"/>
  <c r="AB63" i="11"/>
  <c r="F67" i="19" s="1"/>
  <c r="AB64" i="11"/>
  <c r="F68" i="19" s="1"/>
  <c r="AB65" i="11"/>
  <c r="F69" i="19" s="1"/>
  <c r="AB66" i="11"/>
  <c r="F70" i="19" s="1"/>
  <c r="AB67" i="11"/>
  <c r="F71" i="19" s="1"/>
  <c r="AB68" i="11"/>
  <c r="F72" i="19" s="1"/>
  <c r="AB69" i="11"/>
  <c r="F73" i="19" s="1"/>
  <c r="AB70" i="11"/>
  <c r="F74" i="19" s="1"/>
  <c r="AB71" i="11"/>
  <c r="F75" i="19" s="1"/>
  <c r="AB72" i="11"/>
  <c r="F76" i="19" s="1"/>
  <c r="AB73" i="11"/>
  <c r="F77" i="19" s="1"/>
  <c r="AB74" i="11"/>
  <c r="F78" i="19" s="1"/>
  <c r="AB75" i="11"/>
  <c r="F79" i="19" s="1"/>
  <c r="AB76" i="11"/>
  <c r="F80" i="19" s="1"/>
  <c r="AB77" i="11"/>
  <c r="F81" i="19" s="1"/>
  <c r="AB78" i="11"/>
  <c r="F82" i="19" s="1"/>
  <c r="AB79" i="11"/>
  <c r="F83" i="19" s="1"/>
  <c r="AB80" i="11"/>
  <c r="F84" i="19" s="1"/>
  <c r="AB81" i="11"/>
  <c r="F85" i="19" s="1"/>
  <c r="AB82" i="11"/>
  <c r="F86" i="19" s="1"/>
  <c r="AB83" i="11"/>
  <c r="F87" i="19" s="1"/>
  <c r="AB84" i="11"/>
  <c r="F88" i="19" s="1"/>
  <c r="AB85" i="11"/>
  <c r="F89" i="19" s="1"/>
  <c r="AB86" i="11"/>
  <c r="F90" i="19" s="1"/>
  <c r="AB87" i="11"/>
  <c r="F91" i="19" s="1"/>
  <c r="AB88" i="11"/>
  <c r="F92" i="19" s="1"/>
  <c r="W6" i="11"/>
  <c r="W7" i="11"/>
  <c r="W8" i="11"/>
  <c r="W9" i="11"/>
  <c r="W10" i="11"/>
  <c r="W11" i="11"/>
  <c r="W12" i="11"/>
  <c r="W13" i="11"/>
  <c r="W14" i="11"/>
  <c r="W15" i="11"/>
  <c r="W17" i="11"/>
  <c r="W19" i="11"/>
  <c r="W21" i="11"/>
  <c r="W22" i="11"/>
  <c r="W23" i="11"/>
  <c r="W24" i="11"/>
  <c r="W25" i="11"/>
  <c r="W26" i="11"/>
  <c r="W27" i="11"/>
  <c r="W28" i="11"/>
  <c r="W29" i="11"/>
  <c r="W30" i="11"/>
  <c r="W31" i="11"/>
  <c r="W32" i="11"/>
  <c r="W33" i="11"/>
  <c r="W34" i="11"/>
  <c r="W35" i="11"/>
  <c r="W36" i="11"/>
  <c r="W37" i="11"/>
  <c r="W39" i="11"/>
  <c r="W41" i="11"/>
  <c r="W42" i="11"/>
  <c r="W43" i="11"/>
  <c r="W44" i="11"/>
  <c r="W45" i="11"/>
  <c r="W46" i="11"/>
  <c r="W47" i="11"/>
  <c r="W48" i="11"/>
  <c r="W49" i="11"/>
  <c r="W50" i="11"/>
  <c r="W51" i="11"/>
  <c r="W52" i="11"/>
  <c r="W53" i="11"/>
  <c r="W54" i="11"/>
  <c r="W55" i="11"/>
  <c r="W56" i="11"/>
  <c r="W57" i="11"/>
  <c r="W58" i="11"/>
  <c r="W59" i="11"/>
  <c r="W60" i="11"/>
  <c r="W61" i="11"/>
  <c r="W62" i="11"/>
  <c r="W63" i="11"/>
  <c r="W64" i="11"/>
  <c r="W65" i="11"/>
  <c r="W66" i="11"/>
  <c r="W67" i="11"/>
  <c r="W68" i="11"/>
  <c r="W69" i="11"/>
  <c r="W70" i="11"/>
  <c r="W71" i="11"/>
  <c r="W72" i="11"/>
  <c r="W73" i="11"/>
  <c r="W74" i="11"/>
  <c r="W75" i="11"/>
  <c r="W76" i="11"/>
  <c r="W77" i="11"/>
  <c r="W78" i="11"/>
  <c r="W79" i="11"/>
  <c r="W80" i="11"/>
  <c r="W81" i="11"/>
  <c r="W82" i="11"/>
  <c r="W83" i="11"/>
  <c r="W84" i="11"/>
  <c r="W85" i="11"/>
  <c r="W86" i="11"/>
  <c r="W87" i="11"/>
  <c r="W88" i="11"/>
  <c r="W5" i="11"/>
  <c r="V6" i="11"/>
  <c r="V7" i="11"/>
  <c r="V8" i="11"/>
  <c r="V9" i="11"/>
  <c r="V10" i="11"/>
  <c r="V14" i="11"/>
  <c r="V15" i="11"/>
  <c r="V17" i="11"/>
  <c r="V19" i="11"/>
  <c r="V21" i="11"/>
  <c r="V22" i="11"/>
  <c r="V23" i="11"/>
  <c r="V24" i="11"/>
  <c r="V25" i="11"/>
  <c r="V26" i="11"/>
  <c r="V27" i="11"/>
  <c r="V28" i="11"/>
  <c r="V29" i="11"/>
  <c r="V30" i="11"/>
  <c r="V31" i="11"/>
  <c r="V32" i="11"/>
  <c r="V33" i="11"/>
  <c r="V34" i="11"/>
  <c r="V35" i="11"/>
  <c r="V36" i="11"/>
  <c r="V37" i="11"/>
  <c r="V39"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5"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50" i="11"/>
  <c r="D7" i="32"/>
  <c r="D6" i="32"/>
  <c r="D5" i="32"/>
  <c r="D8" i="32"/>
  <c r="C7" i="32"/>
  <c r="B7" i="32"/>
  <c r="C6" i="32"/>
  <c r="B6" i="32"/>
  <c r="C5" i="32"/>
  <c r="C8" i="32" s="1"/>
  <c r="B5" i="32"/>
  <c r="B8" i="32" s="1"/>
  <c r="S5" i="11" l="1"/>
  <c r="J23" i="19" l="1"/>
  <c r="J91" i="19"/>
  <c r="K91" i="19"/>
  <c r="J39" i="19"/>
  <c r="J92" i="19"/>
  <c r="K92" i="19"/>
  <c r="J38" i="19"/>
  <c r="J37" i="19"/>
  <c r="J18" i="19"/>
  <c r="J36" i="19"/>
  <c r="J13" i="19"/>
  <c r="J32" i="19"/>
  <c r="J12" i="19"/>
  <c r="J31" i="19"/>
  <c r="K28" i="19" l="1"/>
  <c r="J28" i="19"/>
  <c r="K20" i="19"/>
  <c r="J20" i="19"/>
  <c r="J10" i="19"/>
  <c r="K10" i="19"/>
  <c r="J15" i="19"/>
  <c r="K15" i="19"/>
  <c r="K35" i="19"/>
  <c r="J35" i="19"/>
  <c r="K50" i="19"/>
  <c r="J50" i="19"/>
  <c r="K48" i="19"/>
  <c r="J48" i="19"/>
  <c r="K17" i="19"/>
  <c r="J17" i="19"/>
  <c r="K41" i="19"/>
  <c r="J41" i="19"/>
  <c r="K57" i="19"/>
  <c r="J57" i="19"/>
  <c r="J47" i="19"/>
  <c r="K47" i="19"/>
  <c r="K43" i="19"/>
  <c r="J43" i="19"/>
  <c r="K59" i="19"/>
  <c r="K90" i="19"/>
  <c r="K74" i="19"/>
  <c r="K22" i="19"/>
  <c r="J22" i="19"/>
  <c r="K88" i="19"/>
  <c r="J53" i="19"/>
  <c r="K53" i="19"/>
  <c r="J45" i="19"/>
  <c r="K45" i="19"/>
  <c r="K68" i="19"/>
  <c r="K52" i="19"/>
  <c r="J52" i="19"/>
  <c r="J55" i="19"/>
  <c r="K55" i="19"/>
  <c r="K54" i="19"/>
  <c r="J54" i="19"/>
  <c r="K87" i="19"/>
  <c r="J30" i="19"/>
  <c r="K30" i="19"/>
  <c r="K81" i="19"/>
  <c r="K56" i="19"/>
  <c r="J56" i="19"/>
  <c r="K79" i="19"/>
  <c r="K83" i="19"/>
  <c r="K34" i="19"/>
  <c r="J34" i="19"/>
  <c r="K65" i="19"/>
  <c r="K64" i="19"/>
  <c r="K69" i="19"/>
  <c r="K77" i="19"/>
  <c r="K19" i="19"/>
  <c r="J19" i="19"/>
  <c r="K61" i="19"/>
  <c r="J11" i="19"/>
  <c r="K11" i="19"/>
  <c r="J29" i="19"/>
  <c r="K29" i="19"/>
  <c r="K27" i="19"/>
  <c r="J27" i="19"/>
  <c r="K66" i="19"/>
  <c r="K75" i="19"/>
  <c r="K51" i="19"/>
  <c r="J51" i="19"/>
  <c r="K72" i="19"/>
  <c r="J46" i="19"/>
  <c r="K46" i="19"/>
  <c r="K49" i="19"/>
  <c r="J49" i="19"/>
  <c r="K25" i="19"/>
  <c r="J25" i="19"/>
  <c r="K14" i="19"/>
  <c r="J14" i="19"/>
  <c r="K63" i="19"/>
  <c r="K26" i="19"/>
  <c r="J26" i="19"/>
  <c r="K42" i="19"/>
  <c r="J42" i="19"/>
  <c r="K44" i="19"/>
  <c r="J44" i="19"/>
  <c r="K85" i="19"/>
  <c r="K84" i="19"/>
  <c r="K60" i="19"/>
  <c r="K21" i="19"/>
  <c r="J21" i="19"/>
  <c r="K76" i="19"/>
  <c r="K58" i="19"/>
  <c r="J58" i="19"/>
  <c r="K70" i="19"/>
  <c r="K24" i="19"/>
  <c r="J24" i="19"/>
  <c r="K16" i="19"/>
  <c r="J16" i="19"/>
  <c r="K86" i="19"/>
  <c r="K89" i="19"/>
  <c r="K40" i="19"/>
  <c r="J40" i="19"/>
  <c r="K73" i="19"/>
  <c r="K67" i="19"/>
  <c r="K78" i="19"/>
  <c r="K80" i="19"/>
  <c r="K33" i="19"/>
  <c r="J33" i="19"/>
  <c r="K71" i="19"/>
  <c r="K62" i="19"/>
  <c r="K82"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 i="19"/>
  <c r="L11" i="19" l="1"/>
  <c r="L50" i="19"/>
  <c r="L33" i="19"/>
  <c r="L28" i="19"/>
  <c r="L46" i="19"/>
  <c r="L22" i="19"/>
  <c r="L35" i="19"/>
  <c r="L40" i="19"/>
  <c r="L10" i="19"/>
  <c r="L21" i="19"/>
  <c r="L19" i="19"/>
  <c r="L15" i="19"/>
  <c r="L16" i="19"/>
  <c r="L27" i="19"/>
  <c r="L44" i="19"/>
  <c r="L47" i="19"/>
  <c r="L24" i="19"/>
  <c r="L42" i="19"/>
  <c r="L34" i="19"/>
  <c r="L57" i="19"/>
  <c r="L58" i="19"/>
  <c r="L26" i="19"/>
  <c r="L41" i="19"/>
  <c r="L52" i="19"/>
  <c r="L14" i="19"/>
  <c r="L30" i="19"/>
  <c r="L45" i="19"/>
  <c r="L25" i="19"/>
  <c r="L54" i="19"/>
  <c r="L29" i="19"/>
  <c r="L20" i="19"/>
  <c r="N14" i="19" l="1"/>
  <c r="N25" i="19"/>
  <c r="N33" i="19"/>
  <c r="N43" i="19"/>
  <c r="N51" i="19"/>
  <c r="N61" i="19"/>
  <c r="N70" i="19"/>
  <c r="N80" i="19"/>
  <c r="N88" i="19"/>
  <c r="N15" i="19"/>
  <c r="N26" i="19"/>
  <c r="N34" i="19"/>
  <c r="N44" i="19"/>
  <c r="N52" i="19"/>
  <c r="N62" i="19"/>
  <c r="N71" i="19"/>
  <c r="N81" i="19"/>
  <c r="N89" i="19"/>
  <c r="N17" i="19"/>
  <c r="N27" i="19"/>
  <c r="N36" i="19"/>
  <c r="N45" i="19"/>
  <c r="N53" i="19"/>
  <c r="N64" i="19"/>
  <c r="N72" i="19"/>
  <c r="N82" i="19"/>
  <c r="N90" i="19"/>
  <c r="N18" i="19"/>
  <c r="N28" i="19"/>
  <c r="N38" i="19"/>
  <c r="N46" i="19"/>
  <c r="N54" i="19"/>
  <c r="N65" i="19"/>
  <c r="N73" i="19"/>
  <c r="N83" i="19"/>
  <c r="N10" i="19"/>
  <c r="N20" i="19"/>
  <c r="N29" i="19"/>
  <c r="N39" i="19"/>
  <c r="N47" i="19"/>
  <c r="N56" i="19"/>
  <c r="N66" i="19"/>
  <c r="N74" i="19"/>
  <c r="N84" i="19"/>
  <c r="N11" i="19"/>
  <c r="N21" i="19"/>
  <c r="N30" i="19"/>
  <c r="N40" i="19"/>
  <c r="N48" i="19"/>
  <c r="N57" i="19"/>
  <c r="N67" i="19"/>
  <c r="N76" i="19"/>
  <c r="N85" i="19"/>
  <c r="N12" i="19"/>
  <c r="N23" i="19"/>
  <c r="N31" i="19"/>
  <c r="N41" i="19"/>
  <c r="N49" i="19"/>
  <c r="N58" i="19"/>
  <c r="N68" i="19"/>
  <c r="N78" i="19"/>
  <c r="N86" i="19"/>
  <c r="N13" i="19"/>
  <c r="N24" i="19"/>
  <c r="N32" i="19"/>
  <c r="N42" i="19"/>
  <c r="N50" i="19"/>
  <c r="N60" i="19"/>
  <c r="N69" i="19"/>
  <c r="N79" i="19"/>
  <c r="N87" i="19"/>
  <c r="AB92" i="19"/>
  <c r="AB91" i="19"/>
  <c r="AB90" i="19"/>
  <c r="AB89" i="19"/>
  <c r="AA88" i="19"/>
  <c r="AB87" i="19"/>
  <c r="AA87" i="19"/>
  <c r="AB85" i="19"/>
  <c r="AB83" i="19"/>
  <c r="AB82" i="19"/>
  <c r="AB81" i="19"/>
  <c r="AB78" i="19"/>
  <c r="AB76" i="19"/>
  <c r="AA74" i="19"/>
  <c r="AB74" i="19"/>
  <c r="AB73" i="19"/>
  <c r="AA73" i="19"/>
  <c r="AA72" i="19"/>
  <c r="AB71" i="19"/>
  <c r="AB69" i="19"/>
  <c r="AA68" i="19"/>
  <c r="AB67" i="19"/>
  <c r="AA66" i="19"/>
  <c r="AB65" i="19"/>
  <c r="AB64" i="19"/>
  <c r="AB62" i="19"/>
  <c r="AA59" i="19"/>
  <c r="AB58" i="19"/>
  <c r="AB57" i="19"/>
  <c r="AB56" i="19"/>
  <c r="AB55" i="19"/>
  <c r="AA54" i="19"/>
  <c r="AB53" i="19"/>
  <c r="AA52" i="19"/>
  <c r="AB51" i="19"/>
  <c r="AB50" i="19"/>
  <c r="AB49" i="19"/>
  <c r="AB47" i="19"/>
  <c r="AA46" i="19"/>
  <c r="AB45" i="19"/>
  <c r="AA44" i="19"/>
  <c r="AB42" i="19"/>
  <c r="AB41" i="19"/>
  <c r="AB40" i="19"/>
  <c r="AA39" i="19"/>
  <c r="AB38" i="19"/>
  <c r="AB37" i="19"/>
  <c r="AB36" i="19"/>
  <c r="AB35" i="19"/>
  <c r="AB33" i="19"/>
  <c r="AB32" i="19"/>
  <c r="AA31" i="19"/>
  <c r="AB30" i="19"/>
  <c r="AB28" i="19"/>
  <c r="AA27" i="19"/>
  <c r="AB26" i="19"/>
  <c r="AB25" i="19"/>
  <c r="AA24" i="19"/>
  <c r="AB23" i="19"/>
  <c r="AA22" i="19"/>
  <c r="AB21" i="19"/>
  <c r="AA20" i="19"/>
  <c r="AB20" i="19"/>
  <c r="AB19" i="19"/>
  <c r="AA19" i="19"/>
  <c r="AA18" i="19"/>
  <c r="AB17" i="19"/>
  <c r="AA16" i="19"/>
  <c r="AB15" i="19"/>
  <c r="AA14" i="19"/>
  <c r="AA13" i="19"/>
  <c r="AB12" i="19"/>
  <c r="AB11" i="19"/>
  <c r="AB10" i="19"/>
  <c r="AB9" i="19"/>
  <c r="AA9" i="19" l="1"/>
  <c r="AA11" i="19"/>
  <c r="AB68" i="19"/>
  <c r="AB39" i="19"/>
  <c r="AB46" i="19"/>
  <c r="AA55" i="19"/>
  <c r="AB24" i="19"/>
  <c r="AB54" i="19"/>
  <c r="AA38" i="19"/>
  <c r="AA40" i="19"/>
  <c r="AB22" i="19"/>
  <c r="AB59" i="19"/>
  <c r="AA69" i="19"/>
  <c r="AB52" i="19"/>
  <c r="AA85" i="19"/>
  <c r="AA30" i="19"/>
  <c r="AA32" i="19"/>
  <c r="AA45" i="19"/>
  <c r="AA49" i="19"/>
  <c r="AA58" i="19"/>
  <c r="AA67" i="19"/>
  <c r="AA82" i="19"/>
  <c r="AB88" i="19"/>
  <c r="AA12" i="19"/>
  <c r="AB16" i="19"/>
  <c r="AB18" i="19"/>
  <c r="AA26" i="19"/>
  <c r="AA28" i="19"/>
  <c r="AA71" i="19"/>
  <c r="AA90" i="19"/>
  <c r="AB31" i="19"/>
  <c r="AB44" i="19"/>
  <c r="AB66" i="19"/>
  <c r="AA83" i="19"/>
  <c r="AA89" i="19"/>
  <c r="AA17" i="19"/>
  <c r="AB27" i="19"/>
  <c r="AA33" i="19"/>
  <c r="AB72" i="19"/>
  <c r="AA78" i="19"/>
  <c r="AA36" i="19"/>
  <c r="AB13" i="19"/>
  <c r="AB14" i="19"/>
  <c r="AA15" i="19"/>
  <c r="AB34" i="19"/>
  <c r="AA34" i="19"/>
  <c r="U19" i="19"/>
  <c r="AA10" i="19"/>
  <c r="AA21" i="19"/>
  <c r="AA23" i="19"/>
  <c r="AA25" i="19"/>
  <c r="AA41" i="19"/>
  <c r="AB29" i="19"/>
  <c r="AA29" i="19"/>
  <c r="AA35" i="19"/>
  <c r="AB43" i="19"/>
  <c r="AA43" i="19"/>
  <c r="AA37" i="19"/>
  <c r="AA42" i="19"/>
  <c r="AA47" i="19"/>
  <c r="AB48" i="19"/>
  <c r="AA48" i="19"/>
  <c r="AB60" i="19"/>
  <c r="AA60" i="19"/>
  <c r="AB61" i="19"/>
  <c r="AA61" i="19"/>
  <c r="AA50" i="19"/>
  <c r="AA51" i="19"/>
  <c r="AA53" i="19"/>
  <c r="AA62" i="19"/>
  <c r="AB63" i="19"/>
  <c r="AA63" i="19"/>
  <c r="AA56" i="19"/>
  <c r="AA57" i="19"/>
  <c r="U62" i="19"/>
  <c r="AB77" i="19"/>
  <c r="AA77" i="19"/>
  <c r="AB75" i="19"/>
  <c r="AA75" i="19"/>
  <c r="AA64" i="19"/>
  <c r="AA65" i="19"/>
  <c r="AB70" i="19"/>
  <c r="AA70" i="19"/>
  <c r="AB79" i="19"/>
  <c r="AA79" i="19"/>
  <c r="AA76" i="19"/>
  <c r="AB80" i="19"/>
  <c r="AA80" i="19"/>
  <c r="AA84" i="19"/>
  <c r="AB84" i="19"/>
  <c r="AB86" i="19"/>
  <c r="AA86" i="19"/>
  <c r="AA81" i="19"/>
  <c r="AA91" i="19"/>
  <c r="AA92" i="19"/>
  <c r="U55" i="19" l="1"/>
  <c r="U65" i="19"/>
  <c r="U43" i="19"/>
  <c r="U84" i="19"/>
  <c r="U59" i="19"/>
  <c r="U35" i="19"/>
  <c r="U24" i="19"/>
  <c r="U92" i="19"/>
  <c r="U76" i="19"/>
  <c r="U45" i="19"/>
  <c r="U32" i="19"/>
  <c r="U16" i="19"/>
  <c r="U57" i="19"/>
  <c r="U86" i="19"/>
  <c r="U36" i="19"/>
  <c r="U80" i="19"/>
  <c r="U14" i="19"/>
  <c r="U73" i="19"/>
  <c r="U64" i="19"/>
  <c r="U50" i="19"/>
  <c r="U66" i="19"/>
  <c r="U69" i="19"/>
  <c r="U61" i="19"/>
  <c r="U10" i="19"/>
  <c r="U11" i="19"/>
  <c r="U79" i="19"/>
  <c r="U54" i="19"/>
  <c r="U40" i="19"/>
  <c r="U21" i="19"/>
  <c r="U17" i="19"/>
  <c r="U31" i="19"/>
  <c r="U13" i="19"/>
  <c r="U58" i="19"/>
  <c r="U44" i="19"/>
  <c r="U38" i="19"/>
  <c r="U82" i="19"/>
  <c r="U29" i="19"/>
  <c r="U47" i="19"/>
  <c r="U88" i="19"/>
  <c r="U72" i="19"/>
  <c r="U33" i="19"/>
  <c r="U67" i="19"/>
  <c r="U89" i="19"/>
  <c r="U81" i="19"/>
  <c r="U51" i="19"/>
  <c r="U22" i="19"/>
  <c r="U49" i="19"/>
  <c r="U27" i="19"/>
  <c r="U63" i="19"/>
  <c r="U77" i="19"/>
  <c r="U37" i="19"/>
  <c r="U48" i="19"/>
  <c r="U46" i="19"/>
  <c r="U52" i="19"/>
  <c r="U74" i="19"/>
  <c r="U78" i="19"/>
  <c r="U68" i="19"/>
  <c r="U39" i="19"/>
  <c r="U12" i="19"/>
  <c r="U30" i="19"/>
  <c r="U87" i="19"/>
  <c r="U42" i="19"/>
  <c r="U53" i="19"/>
  <c r="U71" i="19"/>
  <c r="U85" i="19"/>
  <c r="U25" i="19"/>
  <c r="U23" i="19"/>
  <c r="U75" i="19"/>
  <c r="U26" i="19"/>
  <c r="U60" i="19"/>
  <c r="U83" i="19"/>
  <c r="U18" i="19"/>
  <c r="U15" i="19"/>
  <c r="U34" i="19"/>
  <c r="U41" i="19"/>
  <c r="U20" i="19"/>
  <c r="U28" i="19"/>
  <c r="U56" i="19"/>
  <c r="U91" i="19"/>
  <c r="U70" i="19"/>
  <c r="U93" i="19" l="1"/>
  <c r="CM94" i="19" l="1"/>
  <c r="AF88" i="11" l="1"/>
  <c r="AF87" i="11"/>
  <c r="AF86" i="11"/>
  <c r="AF85" i="11"/>
  <c r="AF84" i="11"/>
  <c r="AF83" i="11"/>
  <c r="AF82" i="11"/>
  <c r="AF81" i="11"/>
  <c r="AF80" i="11"/>
  <c r="AF79" i="11"/>
  <c r="AF78" i="11"/>
  <c r="AF77" i="11"/>
  <c r="AF76" i="11"/>
  <c r="AF75" i="11"/>
  <c r="AF74" i="11"/>
  <c r="AF73" i="11"/>
  <c r="AF72" i="11"/>
  <c r="AF71" i="11"/>
  <c r="AF70" i="11"/>
  <c r="AF69" i="11"/>
  <c r="AF68" i="11"/>
  <c r="AF67" i="11"/>
  <c r="AF66" i="11"/>
  <c r="AF65" i="11"/>
  <c r="AF64" i="11"/>
  <c r="AF63" i="11"/>
  <c r="AF62" i="11"/>
  <c r="AF61" i="11"/>
  <c r="AF60" i="11"/>
  <c r="AF59" i="11"/>
  <c r="AF58" i="11"/>
  <c r="AF57" i="11"/>
  <c r="AF56" i="11"/>
  <c r="AF55" i="11"/>
  <c r="AF54" i="11"/>
  <c r="AF53" i="11"/>
  <c r="AF52" i="11"/>
  <c r="AF51" i="11"/>
  <c r="AF50" i="11"/>
  <c r="AF49" i="11"/>
  <c r="AF48" i="11"/>
  <c r="AF47" i="11"/>
  <c r="AF46" i="11"/>
  <c r="AF45" i="11"/>
  <c r="AF44" i="11"/>
  <c r="AF43" i="11"/>
  <c r="AF42" i="11"/>
  <c r="AF41" i="11"/>
  <c r="AF40" i="11"/>
  <c r="AF39" i="11"/>
  <c r="AF38" i="11"/>
  <c r="AF37" i="11"/>
  <c r="AF36" i="11"/>
  <c r="AF35" i="11"/>
  <c r="AF34" i="11"/>
  <c r="AF33" i="11"/>
  <c r="AF32" i="11"/>
  <c r="AF31" i="11"/>
  <c r="AF30" i="11"/>
  <c r="AF29" i="11"/>
  <c r="AF28" i="11"/>
  <c r="AF27" i="11"/>
  <c r="AF26" i="11"/>
  <c r="AF25" i="11"/>
  <c r="AF24" i="11"/>
  <c r="AF23" i="11"/>
  <c r="AF22" i="11"/>
  <c r="AF21" i="11"/>
  <c r="AF20" i="11"/>
  <c r="AF19" i="11"/>
  <c r="AF18" i="11"/>
  <c r="AF17" i="11"/>
  <c r="AF16" i="11"/>
  <c r="AF15" i="11"/>
  <c r="AF14" i="11"/>
  <c r="AF13" i="11"/>
  <c r="AF12" i="11"/>
  <c r="AF11" i="11"/>
  <c r="AF10" i="11"/>
  <c r="AF9" i="11"/>
  <c r="AF8" i="11"/>
  <c r="AF7" i="11"/>
  <c r="AF6" i="11"/>
  <c r="AF5" i="11"/>
  <c r="S70" i="11"/>
  <c r="Y70" i="11" s="1"/>
  <c r="P69" i="11" l="1"/>
  <c r="P81" i="11"/>
  <c r="P72" i="11"/>
  <c r="S75" i="11"/>
  <c r="Y75" i="11" s="1"/>
  <c r="S78" i="11"/>
  <c r="Y78" i="11" s="1"/>
  <c r="P77" i="11"/>
  <c r="X77" i="11" s="1"/>
  <c r="S8" i="11"/>
  <c r="Y8" i="11" s="1"/>
  <c r="S74" i="11"/>
  <c r="Y74" i="11" s="1"/>
  <c r="S82" i="11"/>
  <c r="Y82" i="11" s="1"/>
  <c r="S10" i="11"/>
  <c r="Y10" i="11" s="1"/>
  <c r="S14" i="11"/>
  <c r="Y14" i="11" s="1"/>
  <c r="S18" i="11"/>
  <c r="Y18" i="11" s="1"/>
  <c r="S22" i="11"/>
  <c r="Y22" i="11" s="1"/>
  <c r="S26" i="11"/>
  <c r="Y26" i="11" s="1"/>
  <c r="S30" i="11"/>
  <c r="Y30" i="11" s="1"/>
  <c r="S34" i="11"/>
  <c r="Y34" i="11" s="1"/>
  <c r="S38" i="11"/>
  <c r="Y38" i="11" s="1"/>
  <c r="S42" i="11"/>
  <c r="Y42" i="11" s="1"/>
  <c r="S46" i="11"/>
  <c r="Y46" i="11" s="1"/>
  <c r="S50" i="11"/>
  <c r="Y50" i="11" s="1"/>
  <c r="S54" i="11"/>
  <c r="Y54" i="11" s="1"/>
  <c r="S58" i="11"/>
  <c r="Y58" i="11" s="1"/>
  <c r="S62" i="11"/>
  <c r="Y62" i="11" s="1"/>
  <c r="S66" i="11"/>
  <c r="Y66" i="11" s="1"/>
  <c r="S71" i="11"/>
  <c r="Y71" i="11" s="1"/>
  <c r="S15" i="11"/>
  <c r="Y15" i="11" s="1"/>
  <c r="S23" i="11"/>
  <c r="Y23" i="11" s="1"/>
  <c r="S47" i="11"/>
  <c r="Y47" i="11" s="1"/>
  <c r="S51" i="11"/>
  <c r="Y51" i="11" s="1"/>
  <c r="S55" i="11"/>
  <c r="Y55" i="11" s="1"/>
  <c r="S59" i="11"/>
  <c r="Y59" i="11" s="1"/>
  <c r="S63" i="11"/>
  <c r="Y63" i="11" s="1"/>
  <c r="S67" i="11"/>
  <c r="Y67" i="11" s="1"/>
  <c r="S86" i="11"/>
  <c r="Y86" i="11" s="1"/>
  <c r="S27" i="11"/>
  <c r="Y27" i="11" s="1"/>
  <c r="S43" i="11"/>
  <c r="Y43" i="11" s="1"/>
  <c r="S88" i="11"/>
  <c r="S84" i="11"/>
  <c r="Y84" i="11" s="1"/>
  <c r="S80" i="11"/>
  <c r="Y80" i="11" s="1"/>
  <c r="S76" i="11"/>
  <c r="Y76" i="11" s="1"/>
  <c r="S72" i="11"/>
  <c r="Y72" i="11" s="1"/>
  <c r="S68" i="11"/>
  <c r="Y68" i="11" s="1"/>
  <c r="S64" i="11"/>
  <c r="Y64" i="11" s="1"/>
  <c r="S60" i="11"/>
  <c r="Y60" i="11" s="1"/>
  <c r="S56" i="11"/>
  <c r="Y56" i="11" s="1"/>
  <c r="S52" i="11"/>
  <c r="Y52" i="11" s="1"/>
  <c r="S48" i="11"/>
  <c r="Y48" i="11" s="1"/>
  <c r="S44" i="11"/>
  <c r="Y44" i="11" s="1"/>
  <c r="S40" i="11"/>
  <c r="Y40" i="11" s="1"/>
  <c r="S36" i="11"/>
  <c r="Y36" i="11" s="1"/>
  <c r="S32" i="11"/>
  <c r="Y32" i="11" s="1"/>
  <c r="S28" i="11"/>
  <c r="Y28" i="11" s="1"/>
  <c r="S24" i="11"/>
  <c r="Y24" i="11" s="1"/>
  <c r="S20" i="11"/>
  <c r="Y20" i="11" s="1"/>
  <c r="S16" i="11"/>
  <c r="Y16" i="11" s="1"/>
  <c r="S12" i="11"/>
  <c r="Y12" i="11" s="1"/>
  <c r="S87" i="11"/>
  <c r="Y87" i="11" s="1"/>
  <c r="S83" i="11"/>
  <c r="Y83" i="11" s="1"/>
  <c r="S79" i="11"/>
  <c r="Y79" i="11" s="1"/>
  <c r="S85" i="11"/>
  <c r="Y85" i="11" s="1"/>
  <c r="S81" i="11"/>
  <c r="Y81" i="11" s="1"/>
  <c r="S77" i="11"/>
  <c r="Y77" i="11" s="1"/>
  <c r="S73" i="11"/>
  <c r="Y73" i="11" s="1"/>
  <c r="S69" i="11"/>
  <c r="Y69" i="11" s="1"/>
  <c r="S65" i="11"/>
  <c r="Y65" i="11" s="1"/>
  <c r="S61" i="11"/>
  <c r="Y61" i="11" s="1"/>
  <c r="S57" i="11"/>
  <c r="Y57" i="11" s="1"/>
  <c r="S53" i="11"/>
  <c r="Y53" i="11" s="1"/>
  <c r="S49" i="11"/>
  <c r="Y49" i="11" s="1"/>
  <c r="S45" i="11"/>
  <c r="Y45" i="11" s="1"/>
  <c r="S41" i="11"/>
  <c r="Y41" i="11" s="1"/>
  <c r="S37" i="11"/>
  <c r="Y37" i="11" s="1"/>
  <c r="S33" i="11"/>
  <c r="Y33" i="11" s="1"/>
  <c r="S29" i="11"/>
  <c r="Y29" i="11" s="1"/>
  <c r="S25" i="11"/>
  <c r="Y25" i="11" s="1"/>
  <c r="S21" i="11"/>
  <c r="Y21" i="11" s="1"/>
  <c r="S17" i="11"/>
  <c r="Y17" i="11" s="1"/>
  <c r="S13" i="11"/>
  <c r="Y13" i="11" s="1"/>
  <c r="S9" i="11"/>
  <c r="Y9" i="11" s="1"/>
  <c r="Y5" i="11"/>
  <c r="J91" i="11"/>
  <c r="J92" i="11" s="1"/>
  <c r="S7" i="11"/>
  <c r="Y7" i="11" s="1"/>
  <c r="S11" i="11"/>
  <c r="Y11" i="11" s="1"/>
  <c r="S19" i="11"/>
  <c r="Y19" i="11" s="1"/>
  <c r="S31" i="11"/>
  <c r="Y31" i="11" s="1"/>
  <c r="S35" i="11"/>
  <c r="Y35" i="11" s="1"/>
  <c r="S39" i="11"/>
  <c r="Y39" i="11" s="1"/>
  <c r="S6" i="11"/>
  <c r="Y6" i="11" s="1"/>
  <c r="P85" i="11"/>
  <c r="P8" i="11" l="1"/>
  <c r="T8" i="11" s="1"/>
  <c r="C12" i="19" s="1"/>
  <c r="P11" i="11"/>
  <c r="X11" i="11" s="1"/>
  <c r="Z11" i="11" s="1"/>
  <c r="D15" i="19" s="1"/>
  <c r="P10" i="11"/>
  <c r="Y88" i="11"/>
  <c r="P51" i="11"/>
  <c r="P75" i="11"/>
  <c r="T75" i="11" s="1"/>
  <c r="C79" i="19" s="1"/>
  <c r="P6" i="11"/>
  <c r="P5" i="11"/>
  <c r="P9" i="11"/>
  <c r="T9" i="11" s="1"/>
  <c r="C13" i="19" s="1"/>
  <c r="P59" i="11"/>
  <c r="T59" i="11" s="1"/>
  <c r="C63" i="19" s="1"/>
  <c r="P79" i="11"/>
  <c r="T79" i="11" s="1"/>
  <c r="C83" i="19" s="1"/>
  <c r="P45" i="11"/>
  <c r="P87" i="11"/>
  <c r="T87" i="11" s="1"/>
  <c r="C91" i="19" s="1"/>
  <c r="P62" i="11"/>
  <c r="X62" i="11" s="1"/>
  <c r="Z62" i="11" s="1"/>
  <c r="D66" i="19" s="1"/>
  <c r="T85" i="11"/>
  <c r="C89" i="19" s="1"/>
  <c r="X85" i="11"/>
  <c r="Z85" i="11" s="1"/>
  <c r="D89" i="19" s="1"/>
  <c r="P27" i="11"/>
  <c r="T81" i="11"/>
  <c r="C85" i="19" s="1"/>
  <c r="X81" i="11"/>
  <c r="Z81" i="11" s="1"/>
  <c r="D85" i="19" s="1"/>
  <c r="P70" i="11"/>
  <c r="P26" i="11"/>
  <c r="P57" i="11"/>
  <c r="P35" i="11"/>
  <c r="P15" i="11"/>
  <c r="P23" i="11"/>
  <c r="T69" i="11"/>
  <c r="C73" i="19" s="1"/>
  <c r="X69" i="11"/>
  <c r="Z69" i="11" s="1"/>
  <c r="D73" i="19" s="1"/>
  <c r="P42" i="11"/>
  <c r="P71" i="11"/>
  <c r="P31" i="11"/>
  <c r="T72" i="11"/>
  <c r="C76" i="19" s="1"/>
  <c r="X72" i="11"/>
  <c r="Z72" i="11" s="1"/>
  <c r="D76" i="19" s="1"/>
  <c r="P7" i="11"/>
  <c r="Z77" i="11"/>
  <c r="D81" i="19" s="1"/>
  <c r="P39" i="11"/>
  <c r="P19" i="11"/>
  <c r="P83" i="11"/>
  <c r="P47" i="11"/>
  <c r="P54" i="11"/>
  <c r="P65" i="11"/>
  <c r="P53" i="11"/>
  <c r="P44" i="11"/>
  <c r="P24" i="11"/>
  <c r="P13" i="11"/>
  <c r="P58" i="11"/>
  <c r="P18" i="11"/>
  <c r="X18" i="11" s="1"/>
  <c r="Z18" i="11" s="1"/>
  <c r="D22" i="19" s="1"/>
  <c r="P50" i="11"/>
  <c r="P22" i="11"/>
  <c r="P64" i="11"/>
  <c r="P52" i="11"/>
  <c r="P33" i="11"/>
  <c r="P12" i="11"/>
  <c r="P55" i="11"/>
  <c r="P78" i="11"/>
  <c r="P88" i="11"/>
  <c r="P61" i="11"/>
  <c r="P41" i="11"/>
  <c r="P32" i="11"/>
  <c r="P21" i="11"/>
  <c r="P80" i="11"/>
  <c r="P38" i="11"/>
  <c r="P14" i="11"/>
  <c r="P60" i="11"/>
  <c r="P49" i="11"/>
  <c r="P40" i="11"/>
  <c r="P20" i="11"/>
  <c r="X20" i="11" s="1"/>
  <c r="Z20" i="11" s="1"/>
  <c r="D24" i="19" s="1"/>
  <c r="P46" i="11"/>
  <c r="P25" i="11"/>
  <c r="P86" i="11"/>
  <c r="P67" i="11"/>
  <c r="T77" i="11"/>
  <c r="C81" i="19" s="1"/>
  <c r="P48" i="11"/>
  <c r="P29" i="11"/>
  <c r="P43" i="11"/>
  <c r="P76" i="11"/>
  <c r="P30" i="11"/>
  <c r="P84" i="11"/>
  <c r="P63" i="11"/>
  <c r="P74" i="11"/>
  <c r="P37" i="11"/>
  <c r="P28" i="11"/>
  <c r="P17" i="11"/>
  <c r="P66" i="11"/>
  <c r="P73" i="11"/>
  <c r="P68" i="11"/>
  <c r="P56" i="11"/>
  <c r="P36" i="11"/>
  <c r="P16" i="11"/>
  <c r="P82" i="11"/>
  <c r="P34" i="11"/>
  <c r="J79" i="19" l="1"/>
  <c r="J89" i="19"/>
  <c r="J85" i="19"/>
  <c r="J63" i="19"/>
  <c r="K12" i="19"/>
  <c r="J81" i="19"/>
  <c r="X75" i="11"/>
  <c r="Z75" i="11" s="1"/>
  <c r="D79" i="19" s="1"/>
  <c r="AB41" i="11"/>
  <c r="F45" i="19" s="1"/>
  <c r="AD41" i="11"/>
  <c r="E45" i="19" s="1"/>
  <c r="AD53" i="11"/>
  <c r="E57" i="19" s="1"/>
  <c r="AB53" i="11"/>
  <c r="F57" i="19" s="1"/>
  <c r="AD7" i="11"/>
  <c r="E11" i="19" s="1"/>
  <c r="AB7" i="11"/>
  <c r="F11" i="19" s="1"/>
  <c r="X45" i="11"/>
  <c r="Z45" i="11" s="1"/>
  <c r="D49" i="19" s="1"/>
  <c r="AD45" i="11"/>
  <c r="E49" i="19" s="1"/>
  <c r="AB45" i="11"/>
  <c r="F49" i="19" s="1"/>
  <c r="AD37" i="11"/>
  <c r="E41" i="19" s="1"/>
  <c r="AB37" i="11"/>
  <c r="F41" i="19" s="1"/>
  <c r="AD29" i="11"/>
  <c r="E33" i="19" s="1"/>
  <c r="AB29" i="11"/>
  <c r="F33" i="19" s="1"/>
  <c r="AB40" i="11"/>
  <c r="F44" i="19" s="1"/>
  <c r="AD40" i="11"/>
  <c r="E44" i="19" s="1"/>
  <c r="AD36" i="11"/>
  <c r="E40" i="19" s="1"/>
  <c r="AB36" i="11"/>
  <c r="F40" i="19" s="1"/>
  <c r="AB48" i="11"/>
  <c r="F52" i="19" s="1"/>
  <c r="AD48" i="11"/>
  <c r="E52" i="19" s="1"/>
  <c r="AB49" i="11"/>
  <c r="F53" i="19" s="1"/>
  <c r="AD49" i="11"/>
  <c r="E53" i="19" s="1"/>
  <c r="AB22" i="11"/>
  <c r="F26" i="19" s="1"/>
  <c r="AD22" i="11"/>
  <c r="E26" i="19" s="1"/>
  <c r="AB23" i="11"/>
  <c r="F27" i="19" s="1"/>
  <c r="AD23" i="11"/>
  <c r="E27" i="19" s="1"/>
  <c r="AD51" i="11"/>
  <c r="E55" i="19" s="1"/>
  <c r="AB51" i="11"/>
  <c r="F55" i="19" s="1"/>
  <c r="AD16" i="11"/>
  <c r="E20" i="19" s="1"/>
  <c r="AB16" i="11"/>
  <c r="F20" i="19" s="1"/>
  <c r="AB50" i="11"/>
  <c r="F54" i="19" s="1"/>
  <c r="AD50" i="11"/>
  <c r="E54" i="19" s="1"/>
  <c r="AD54" i="11"/>
  <c r="E58" i="19" s="1"/>
  <c r="AB54" i="11"/>
  <c r="F58" i="19" s="1"/>
  <c r="AB14" i="11"/>
  <c r="F18" i="19" s="1"/>
  <c r="AD14" i="11"/>
  <c r="E18" i="19" s="1"/>
  <c r="AB18" i="11"/>
  <c r="F22" i="19" s="1"/>
  <c r="AD18" i="11"/>
  <c r="E22" i="19" s="1"/>
  <c r="AD47" i="11"/>
  <c r="E51" i="19" s="1"/>
  <c r="AB47" i="11"/>
  <c r="F51" i="19" s="1"/>
  <c r="AD27" i="11"/>
  <c r="E31" i="19" s="1"/>
  <c r="AB27" i="11"/>
  <c r="F31" i="19" s="1"/>
  <c r="AD30" i="11"/>
  <c r="E34" i="19" s="1"/>
  <c r="AB30" i="11"/>
  <c r="F34" i="19" s="1"/>
  <c r="AD38" i="11"/>
  <c r="E42" i="19" s="1"/>
  <c r="AB38" i="11"/>
  <c r="F42" i="19" s="1"/>
  <c r="AB31" i="11"/>
  <c r="F35" i="19" s="1"/>
  <c r="AD31" i="11"/>
  <c r="E35" i="19" s="1"/>
  <c r="AB15" i="11"/>
  <c r="F19" i="19" s="1"/>
  <c r="AD15" i="11"/>
  <c r="E19" i="19" s="1"/>
  <c r="AB13" i="11"/>
  <c r="F17" i="19" s="1"/>
  <c r="AD13" i="11"/>
  <c r="E17" i="19" s="1"/>
  <c r="X10" i="11"/>
  <c r="Z10" i="11" s="1"/>
  <c r="D14" i="19" s="1"/>
  <c r="AD10" i="11"/>
  <c r="E14" i="19" s="1"/>
  <c r="AB10" i="11"/>
  <c r="F14" i="19" s="1"/>
  <c r="AD25" i="11"/>
  <c r="E29" i="19" s="1"/>
  <c r="AB25" i="11"/>
  <c r="F29" i="19" s="1"/>
  <c r="AB12" i="11"/>
  <c r="F16" i="19" s="1"/>
  <c r="AD12" i="11"/>
  <c r="E16" i="19" s="1"/>
  <c r="AB19" i="11"/>
  <c r="F23" i="19" s="1"/>
  <c r="AD19" i="11"/>
  <c r="E23" i="19" s="1"/>
  <c r="AD35" i="11"/>
  <c r="E39" i="19" s="1"/>
  <c r="AB35" i="11"/>
  <c r="F39" i="19" s="1"/>
  <c r="AB34" i="11"/>
  <c r="F38" i="19" s="1"/>
  <c r="AD34" i="11"/>
  <c r="E38" i="19" s="1"/>
  <c r="AD17" i="11"/>
  <c r="E21" i="19" s="1"/>
  <c r="AB17" i="11"/>
  <c r="F21" i="19" s="1"/>
  <c r="AD46" i="11"/>
  <c r="E50" i="19" s="1"/>
  <c r="AB46" i="11"/>
  <c r="F50" i="19" s="1"/>
  <c r="AB21" i="11"/>
  <c r="F25" i="19" s="1"/>
  <c r="AD21" i="11"/>
  <c r="E25" i="19" s="1"/>
  <c r="AD33" i="11"/>
  <c r="E37" i="19" s="1"/>
  <c r="AB33" i="11"/>
  <c r="F37" i="19" s="1"/>
  <c r="AB24" i="11"/>
  <c r="F28" i="19" s="1"/>
  <c r="AD24" i="11"/>
  <c r="E28" i="19" s="1"/>
  <c r="AD39" i="11"/>
  <c r="E43" i="19" s="1"/>
  <c r="AB39" i="11"/>
  <c r="F43" i="19" s="1"/>
  <c r="AB42" i="11"/>
  <c r="F46" i="19" s="1"/>
  <c r="AD42" i="11"/>
  <c r="E46" i="19" s="1"/>
  <c r="AD9" i="11"/>
  <c r="E13" i="19" s="1"/>
  <c r="AB9" i="11"/>
  <c r="F13" i="19" s="1"/>
  <c r="AD11" i="11"/>
  <c r="E15" i="19" s="1"/>
  <c r="AB11" i="11"/>
  <c r="F15" i="19" s="1"/>
  <c r="AD28" i="11"/>
  <c r="E32" i="19" s="1"/>
  <c r="AB28" i="11"/>
  <c r="F32" i="19" s="1"/>
  <c r="AD43" i="11"/>
  <c r="E47" i="19" s="1"/>
  <c r="AB43" i="11"/>
  <c r="F47" i="19" s="1"/>
  <c r="AB20" i="11"/>
  <c r="F24" i="19" s="1"/>
  <c r="AD20" i="11"/>
  <c r="E24" i="19" s="1"/>
  <c r="AD32" i="11"/>
  <c r="E36" i="19" s="1"/>
  <c r="AB32" i="11"/>
  <c r="F36" i="19" s="1"/>
  <c r="AD52" i="11"/>
  <c r="E56" i="19" s="1"/>
  <c r="AB52" i="11"/>
  <c r="F56" i="19" s="1"/>
  <c r="AD44" i="11"/>
  <c r="E48" i="19" s="1"/>
  <c r="AB44" i="11"/>
  <c r="F48" i="19" s="1"/>
  <c r="AD26" i="11"/>
  <c r="E30" i="19" s="1"/>
  <c r="AB26" i="11"/>
  <c r="F30" i="19" s="1"/>
  <c r="X8" i="11"/>
  <c r="Z8" i="11" s="1"/>
  <c r="D12" i="19" s="1"/>
  <c r="AD8" i="11"/>
  <c r="E12" i="19" s="1"/>
  <c r="AB8" i="11"/>
  <c r="F12" i="19" s="1"/>
  <c r="X5" i="11"/>
  <c r="Z5" i="11" s="1"/>
  <c r="D9" i="19" s="1"/>
  <c r="AB5" i="11"/>
  <c r="F9" i="19" s="1"/>
  <c r="AD5" i="11"/>
  <c r="E9" i="19" s="1"/>
  <c r="AD6" i="11"/>
  <c r="E10" i="19" s="1"/>
  <c r="AB6" i="11"/>
  <c r="F10" i="19" s="1"/>
  <c r="X9" i="11"/>
  <c r="Z9" i="11" s="1"/>
  <c r="D13" i="19" s="1"/>
  <c r="T62" i="11"/>
  <c r="C66" i="19" s="1"/>
  <c r="T10" i="11"/>
  <c r="C14" i="19" s="1"/>
  <c r="X51" i="11"/>
  <c r="Z51" i="11" s="1"/>
  <c r="D55" i="19" s="1"/>
  <c r="X6" i="11"/>
  <c r="Z6" i="11" s="1"/>
  <c r="D10" i="19" s="1"/>
  <c r="T42" i="11"/>
  <c r="C46" i="19" s="1"/>
  <c r="T6" i="11"/>
  <c r="C10" i="19" s="1"/>
  <c r="T51" i="11"/>
  <c r="C55" i="19" s="1"/>
  <c r="T5" i="11"/>
  <c r="C9" i="19" s="1"/>
  <c r="X79" i="11"/>
  <c r="Z79" i="11" s="1"/>
  <c r="D83" i="19" s="1"/>
  <c r="T45" i="11"/>
  <c r="C49" i="19" s="1"/>
  <c r="X59" i="11"/>
  <c r="Z59" i="11" s="1"/>
  <c r="D63" i="19" s="1"/>
  <c r="X87" i="11"/>
  <c r="T17" i="11"/>
  <c r="C21" i="19" s="1"/>
  <c r="X17" i="11"/>
  <c r="Z17" i="11" s="1"/>
  <c r="D21" i="19" s="1"/>
  <c r="T21" i="11"/>
  <c r="C25" i="19" s="1"/>
  <c r="X21" i="11"/>
  <c r="Z21" i="11" s="1"/>
  <c r="D25" i="19" s="1"/>
  <c r="T13" i="11"/>
  <c r="C17" i="19" s="1"/>
  <c r="X13" i="11"/>
  <c r="Z13" i="11" s="1"/>
  <c r="D17" i="19" s="1"/>
  <c r="T83" i="11"/>
  <c r="C87" i="19" s="1"/>
  <c r="X83" i="11"/>
  <c r="Z83" i="11" s="1"/>
  <c r="D87" i="19" s="1"/>
  <c r="T7" i="11"/>
  <c r="C11" i="19" s="1"/>
  <c r="X7" i="11"/>
  <c r="Z7" i="11" s="1"/>
  <c r="D11" i="19" s="1"/>
  <c r="T16" i="11"/>
  <c r="C20" i="19" s="1"/>
  <c r="X16" i="11"/>
  <c r="Z16" i="11" s="1"/>
  <c r="D20" i="19" s="1"/>
  <c r="T28" i="11"/>
  <c r="C32" i="19" s="1"/>
  <c r="X28" i="11"/>
  <c r="Z28" i="11" s="1"/>
  <c r="D32" i="19" s="1"/>
  <c r="T43" i="11"/>
  <c r="C47" i="19" s="1"/>
  <c r="X43" i="11"/>
  <c r="Z43" i="11" s="1"/>
  <c r="D47" i="19" s="1"/>
  <c r="T20" i="11"/>
  <c r="C24" i="19" s="1"/>
  <c r="T32" i="11"/>
  <c r="C36" i="19" s="1"/>
  <c r="X32" i="11"/>
  <c r="Z32" i="11" s="1"/>
  <c r="D36" i="19" s="1"/>
  <c r="T33" i="11"/>
  <c r="C37" i="19" s="1"/>
  <c r="X33" i="11"/>
  <c r="Z33" i="11" s="1"/>
  <c r="D37" i="19" s="1"/>
  <c r="T24" i="11"/>
  <c r="C28" i="19" s="1"/>
  <c r="X24" i="11"/>
  <c r="Z24" i="11" s="1"/>
  <c r="D28" i="19" s="1"/>
  <c r="T31" i="11"/>
  <c r="C35" i="19" s="1"/>
  <c r="X31" i="11"/>
  <c r="Z31" i="11" s="1"/>
  <c r="D35" i="19" s="1"/>
  <c r="T23" i="11"/>
  <c r="C27" i="19" s="1"/>
  <c r="X23" i="11"/>
  <c r="Z23" i="11" s="1"/>
  <c r="D27" i="19" s="1"/>
  <c r="T27" i="11"/>
  <c r="C31" i="19" s="1"/>
  <c r="X27" i="11"/>
  <c r="Z27" i="11" s="1"/>
  <c r="D31" i="19" s="1"/>
  <c r="T71" i="11"/>
  <c r="C75" i="19" s="1"/>
  <c r="X71" i="11"/>
  <c r="Z71" i="11" s="1"/>
  <c r="D75" i="19" s="1"/>
  <c r="T56" i="11"/>
  <c r="C60" i="19" s="1"/>
  <c r="X56" i="11"/>
  <c r="Z56" i="11" s="1"/>
  <c r="D60" i="19" s="1"/>
  <c r="T74" i="11"/>
  <c r="C78" i="19" s="1"/>
  <c r="X74" i="11"/>
  <c r="Z74" i="11" s="1"/>
  <c r="D78" i="19" s="1"/>
  <c r="T48" i="11"/>
  <c r="C52" i="19" s="1"/>
  <c r="X48" i="11"/>
  <c r="Z48" i="11" s="1"/>
  <c r="D52" i="19" s="1"/>
  <c r="T49" i="11"/>
  <c r="C53" i="19" s="1"/>
  <c r="X49" i="11"/>
  <c r="Z49" i="11" s="1"/>
  <c r="D53" i="19" s="1"/>
  <c r="T61" i="11"/>
  <c r="C65" i="19" s="1"/>
  <c r="X61" i="11"/>
  <c r="Z61" i="11" s="1"/>
  <c r="D65" i="19" s="1"/>
  <c r="T64" i="11"/>
  <c r="C68" i="19" s="1"/>
  <c r="X64" i="11"/>
  <c r="T53" i="11"/>
  <c r="C57" i="19" s="1"/>
  <c r="X53" i="11"/>
  <c r="Z53" i="11" s="1"/>
  <c r="D57" i="19" s="1"/>
  <c r="T11" i="11"/>
  <c r="C15" i="19" s="1"/>
  <c r="AG75" i="11"/>
  <c r="G79" i="19" s="1"/>
  <c r="T26" i="11"/>
  <c r="C30" i="19" s="1"/>
  <c r="X26" i="11"/>
  <c r="Z26" i="11" s="1"/>
  <c r="D30" i="19" s="1"/>
  <c r="AG85" i="11"/>
  <c r="G89" i="19" s="1"/>
  <c r="T82" i="11"/>
  <c r="C86" i="19" s="1"/>
  <c r="X82" i="11"/>
  <c r="Z82" i="11" s="1"/>
  <c r="D86" i="19" s="1"/>
  <c r="T68" i="11"/>
  <c r="C72" i="19" s="1"/>
  <c r="X68" i="11"/>
  <c r="Z68" i="11" s="1"/>
  <c r="D72" i="19" s="1"/>
  <c r="T63" i="11"/>
  <c r="C67" i="19" s="1"/>
  <c r="X63" i="11"/>
  <c r="Z63" i="11" s="1"/>
  <c r="D67" i="19" s="1"/>
  <c r="AG77" i="11"/>
  <c r="G81" i="19" s="1"/>
  <c r="T60" i="11"/>
  <c r="C64" i="19" s="1"/>
  <c r="X60" i="11"/>
  <c r="Z60" i="11" s="1"/>
  <c r="D64" i="19" s="1"/>
  <c r="T22" i="11"/>
  <c r="C26" i="19" s="1"/>
  <c r="X22" i="11"/>
  <c r="Z22" i="11" s="1"/>
  <c r="D26" i="19" s="1"/>
  <c r="T65" i="11"/>
  <c r="C69" i="19" s="1"/>
  <c r="X65" i="11"/>
  <c r="Z65" i="11" s="1"/>
  <c r="D69" i="19" s="1"/>
  <c r="X42" i="11"/>
  <c r="Z42" i="11" s="1"/>
  <c r="D46" i="19" s="1"/>
  <c r="AG79" i="11"/>
  <c r="G83" i="19" s="1"/>
  <c r="AG9" i="11"/>
  <c r="G13" i="19" s="1"/>
  <c r="T40" i="11"/>
  <c r="C44" i="19" s="1"/>
  <c r="X40" i="11"/>
  <c r="Z40" i="11" s="1"/>
  <c r="D44" i="19" s="1"/>
  <c r="T84" i="11"/>
  <c r="C88" i="19" s="1"/>
  <c r="X84" i="11"/>
  <c r="Z84" i="11" s="1"/>
  <c r="D88" i="19" s="1"/>
  <c r="T67" i="11"/>
  <c r="C71" i="19" s="1"/>
  <c r="X67" i="11"/>
  <c r="Z67" i="11" s="1"/>
  <c r="D71" i="19" s="1"/>
  <c r="T14" i="11"/>
  <c r="C18" i="19" s="1"/>
  <c r="X14" i="11"/>
  <c r="Z14" i="11" s="1"/>
  <c r="D18" i="19" s="1"/>
  <c r="T88" i="11"/>
  <c r="C92" i="19" s="1"/>
  <c r="X88" i="11"/>
  <c r="Z88" i="11" s="1"/>
  <c r="D92" i="19" s="1"/>
  <c r="T50" i="11"/>
  <c r="C54" i="19" s="1"/>
  <c r="X50" i="11"/>
  <c r="Z50" i="11" s="1"/>
  <c r="D54" i="19" s="1"/>
  <c r="T54" i="11"/>
  <c r="C58" i="19" s="1"/>
  <c r="X54" i="11"/>
  <c r="Z54" i="11" s="1"/>
  <c r="D58" i="19" s="1"/>
  <c r="T19" i="11"/>
  <c r="C23" i="19" s="1"/>
  <c r="X19" i="11"/>
  <c r="Z19" i="11" s="1"/>
  <c r="D23" i="19" s="1"/>
  <c r="AG87" i="11"/>
  <c r="G91" i="19" s="1"/>
  <c r="AG59" i="11"/>
  <c r="G63" i="19" s="1"/>
  <c r="T12" i="11"/>
  <c r="C16" i="19" s="1"/>
  <c r="X12" i="11"/>
  <c r="Z12" i="11" s="1"/>
  <c r="D16" i="19" s="1"/>
  <c r="T36" i="11"/>
  <c r="C40" i="19" s="1"/>
  <c r="X36" i="11"/>
  <c r="Z36" i="11" s="1"/>
  <c r="D40" i="19" s="1"/>
  <c r="T37" i="11"/>
  <c r="C41" i="19" s="1"/>
  <c r="X37" i="11"/>
  <c r="Z37" i="11" s="1"/>
  <c r="D41" i="19" s="1"/>
  <c r="T41" i="11"/>
  <c r="C45" i="19" s="1"/>
  <c r="X41" i="11"/>
  <c r="Z41" i="11" s="1"/>
  <c r="D45" i="19" s="1"/>
  <c r="T52" i="11"/>
  <c r="C56" i="19" s="1"/>
  <c r="X52" i="11"/>
  <c r="Z52" i="11" s="1"/>
  <c r="D56" i="19" s="1"/>
  <c r="T44" i="11"/>
  <c r="C48" i="19" s="1"/>
  <c r="X44" i="11"/>
  <c r="Z44" i="11" s="1"/>
  <c r="D48" i="19" s="1"/>
  <c r="AG8" i="11"/>
  <c r="G12" i="19" s="1"/>
  <c r="T57" i="11"/>
  <c r="C61" i="19" s="1"/>
  <c r="X57" i="11"/>
  <c r="Z57" i="11" s="1"/>
  <c r="D61" i="19" s="1"/>
  <c r="T73" i="11"/>
  <c r="C77" i="19" s="1"/>
  <c r="X73" i="11"/>
  <c r="Z73" i="11" s="1"/>
  <c r="D77" i="19" s="1"/>
  <c r="T30" i="11"/>
  <c r="C34" i="19" s="1"/>
  <c r="X30" i="11"/>
  <c r="Z30" i="11" s="1"/>
  <c r="D34" i="19" s="1"/>
  <c r="T86" i="11"/>
  <c r="C90" i="19" s="1"/>
  <c r="X86" i="11"/>
  <c r="Z86" i="11" s="1"/>
  <c r="D90" i="19" s="1"/>
  <c r="T38" i="11"/>
  <c r="C42" i="19" s="1"/>
  <c r="X38" i="11"/>
  <c r="Z38" i="11" s="1"/>
  <c r="D42" i="19" s="1"/>
  <c r="T78" i="11"/>
  <c r="C82" i="19" s="1"/>
  <c r="X78" i="11"/>
  <c r="Z78" i="11" s="1"/>
  <c r="D82" i="19" s="1"/>
  <c r="T18" i="11"/>
  <c r="C22" i="19" s="1"/>
  <c r="T39" i="11"/>
  <c r="C43" i="19" s="1"/>
  <c r="X39" i="11"/>
  <c r="Z39" i="11" s="1"/>
  <c r="D43" i="19" s="1"/>
  <c r="AG72" i="11"/>
  <c r="G76" i="19" s="1"/>
  <c r="AG69" i="11"/>
  <c r="G73" i="19" s="1"/>
  <c r="T15" i="11"/>
  <c r="C19" i="19" s="1"/>
  <c r="X15" i="11"/>
  <c r="Z15" i="11" s="1"/>
  <c r="D19" i="19" s="1"/>
  <c r="T70" i="11"/>
  <c r="C74" i="19" s="1"/>
  <c r="X70" i="11"/>
  <c r="Z70" i="11" s="1"/>
  <c r="D74" i="19" s="1"/>
  <c r="T46" i="11"/>
  <c r="C50" i="19" s="1"/>
  <c r="X46" i="11"/>
  <c r="Z46" i="11" s="1"/>
  <c r="D50" i="19" s="1"/>
  <c r="T29" i="11"/>
  <c r="C33" i="19" s="1"/>
  <c r="X29" i="11"/>
  <c r="Z29" i="11" s="1"/>
  <c r="D33" i="19" s="1"/>
  <c r="T34" i="11"/>
  <c r="C38" i="19" s="1"/>
  <c r="X34" i="11"/>
  <c r="Z34" i="11" s="1"/>
  <c r="D38" i="19" s="1"/>
  <c r="T66" i="11"/>
  <c r="C70" i="19" s="1"/>
  <c r="X66" i="11"/>
  <c r="Z66" i="11" s="1"/>
  <c r="D70" i="19" s="1"/>
  <c r="T76" i="11"/>
  <c r="C80" i="19" s="1"/>
  <c r="X76" i="11"/>
  <c r="Z76" i="11" s="1"/>
  <c r="D80" i="19" s="1"/>
  <c r="T25" i="11"/>
  <c r="C29" i="19" s="1"/>
  <c r="X25" i="11"/>
  <c r="Z25" i="11" s="1"/>
  <c r="D29" i="19" s="1"/>
  <c r="T80" i="11"/>
  <c r="C84" i="19" s="1"/>
  <c r="X80" i="11"/>
  <c r="Z80" i="11" s="1"/>
  <c r="D84" i="19" s="1"/>
  <c r="T55" i="11"/>
  <c r="C59" i="19" s="1"/>
  <c r="X55" i="11"/>
  <c r="Z55" i="11" s="1"/>
  <c r="D59" i="19" s="1"/>
  <c r="T58" i="11"/>
  <c r="C62" i="19" s="1"/>
  <c r="X58" i="11"/>
  <c r="Z58" i="11" s="1"/>
  <c r="D62" i="19" s="1"/>
  <c r="T47" i="11"/>
  <c r="C51" i="19" s="1"/>
  <c r="X47" i="11"/>
  <c r="Z47" i="11" s="1"/>
  <c r="D51" i="19" s="1"/>
  <c r="T35" i="11"/>
  <c r="C39" i="19" s="1"/>
  <c r="X35" i="11"/>
  <c r="Z35" i="11" s="1"/>
  <c r="D39" i="19" s="1"/>
  <c r="AG81" i="11"/>
  <c r="G85" i="19" s="1"/>
  <c r="J83" i="19" l="1"/>
  <c r="L83" i="19" s="1"/>
  <c r="O76" i="19"/>
  <c r="J76" i="19"/>
  <c r="L76" i="19" s="1"/>
  <c r="O13" i="19"/>
  <c r="K13" i="19"/>
  <c r="L13" i="19" s="1"/>
  <c r="O73" i="19"/>
  <c r="J73" i="19"/>
  <c r="L73" i="19" s="1"/>
  <c r="N91" i="19"/>
  <c r="L63" i="19"/>
  <c r="L81" i="19"/>
  <c r="L89" i="19"/>
  <c r="L85" i="19"/>
  <c r="L79" i="19"/>
  <c r="L12" i="19"/>
  <c r="N63" i="19"/>
  <c r="J69" i="19"/>
  <c r="K31" i="19"/>
  <c r="K39" i="19"/>
  <c r="K23" i="19"/>
  <c r="J61" i="19"/>
  <c r="L51" i="19"/>
  <c r="K38" i="19"/>
  <c r="J74" i="19"/>
  <c r="J90" i="19"/>
  <c r="J77" i="19"/>
  <c r="K36" i="19"/>
  <c r="J62" i="19"/>
  <c r="O16" i="19"/>
  <c r="K18" i="19"/>
  <c r="K37" i="19"/>
  <c r="O25" i="19"/>
  <c r="L53" i="19"/>
  <c r="O21" i="19"/>
  <c r="J80" i="19"/>
  <c r="L48" i="19"/>
  <c r="K32" i="19"/>
  <c r="AG45" i="11"/>
  <c r="G49" i="19" s="1"/>
  <c r="L49" i="19"/>
  <c r="AG5" i="11"/>
  <c r="G9" i="19" s="1"/>
  <c r="N9" i="19"/>
  <c r="AG10" i="11"/>
  <c r="G14" i="19" s="1"/>
  <c r="AG62" i="11"/>
  <c r="G66" i="19" s="1"/>
  <c r="AG42" i="11"/>
  <c r="G46" i="19" s="1"/>
  <c r="AG6" i="11"/>
  <c r="G10" i="19" s="1"/>
  <c r="AG51" i="11"/>
  <c r="G55" i="19" s="1"/>
  <c r="AG86" i="11"/>
  <c r="G90" i="19" s="1"/>
  <c r="AG44" i="11"/>
  <c r="G48" i="19" s="1"/>
  <c r="AG41" i="11"/>
  <c r="G45" i="19" s="1"/>
  <c r="AG36" i="11"/>
  <c r="G40" i="19" s="1"/>
  <c r="AG54" i="11"/>
  <c r="G58" i="19" s="1"/>
  <c r="AG64" i="11"/>
  <c r="G68" i="19" s="1"/>
  <c r="AG27" i="11"/>
  <c r="G31" i="19" s="1"/>
  <c r="AG23" i="11"/>
  <c r="G27" i="19" s="1"/>
  <c r="AG24" i="11"/>
  <c r="G28" i="19" s="1"/>
  <c r="AG32" i="11"/>
  <c r="G36" i="19" s="1"/>
  <c r="AG43" i="11"/>
  <c r="G47" i="19" s="1"/>
  <c r="AG16" i="11"/>
  <c r="G20" i="19" s="1"/>
  <c r="AG7" i="11"/>
  <c r="G11" i="19" s="1"/>
  <c r="AG25" i="11"/>
  <c r="G29" i="19" s="1"/>
  <c r="AG78" i="11"/>
  <c r="G82" i="19" s="1"/>
  <c r="AG84" i="11"/>
  <c r="G88" i="19" s="1"/>
  <c r="AG65" i="11"/>
  <c r="G69" i="19" s="1"/>
  <c r="AG11" i="11"/>
  <c r="G15" i="19" s="1"/>
  <c r="AG56" i="11"/>
  <c r="G60" i="19" s="1"/>
  <c r="AG14" i="11"/>
  <c r="G18" i="19" s="1"/>
  <c r="AG26" i="11"/>
  <c r="G30" i="19" s="1"/>
  <c r="AG61" i="11"/>
  <c r="G65" i="19" s="1"/>
  <c r="AG48" i="11"/>
  <c r="G52" i="19" s="1"/>
  <c r="AG83" i="11"/>
  <c r="G87" i="19" s="1"/>
  <c r="AG21" i="11"/>
  <c r="G25" i="19" s="1"/>
  <c r="AG35" i="11"/>
  <c r="G39" i="19" s="1"/>
  <c r="AG15" i="11"/>
  <c r="G19" i="19" s="1"/>
  <c r="AG60" i="11"/>
  <c r="G64" i="19" s="1"/>
  <c r="AG68" i="11"/>
  <c r="G72" i="19" s="1"/>
  <c r="AG46" i="11"/>
  <c r="G50" i="19" s="1"/>
  <c r="AG47" i="11"/>
  <c r="G51" i="19" s="1"/>
  <c r="AG30" i="11"/>
  <c r="G34" i="19" s="1"/>
  <c r="AG52" i="11"/>
  <c r="G56" i="19" s="1"/>
  <c r="AG37" i="11"/>
  <c r="G41" i="19" s="1"/>
  <c r="AG12" i="11"/>
  <c r="G16" i="19" s="1"/>
  <c r="AG19" i="11"/>
  <c r="G23" i="19" s="1"/>
  <c r="AG50" i="11"/>
  <c r="G54" i="19" s="1"/>
  <c r="AG71" i="11"/>
  <c r="G75" i="19" s="1"/>
  <c r="AG31" i="11"/>
  <c r="G35" i="19" s="1"/>
  <c r="AG33" i="11"/>
  <c r="G37" i="19" s="1"/>
  <c r="AG20" i="11"/>
  <c r="G24" i="19" s="1"/>
  <c r="AG28" i="11"/>
  <c r="G32" i="19" s="1"/>
  <c r="AG39" i="11"/>
  <c r="G43" i="19" s="1"/>
  <c r="AG57" i="11"/>
  <c r="G61" i="19" s="1"/>
  <c r="AG34" i="11"/>
  <c r="G38" i="19" s="1"/>
  <c r="AG76" i="11"/>
  <c r="G80" i="19" s="1"/>
  <c r="AG80" i="11"/>
  <c r="G84" i="19" s="1"/>
  <c r="AG38" i="11"/>
  <c r="G42" i="19" s="1"/>
  <c r="AG22" i="11"/>
  <c r="G26" i="19" s="1"/>
  <c r="AG82" i="11"/>
  <c r="G86" i="19" s="1"/>
  <c r="AG53" i="11"/>
  <c r="G57" i="19" s="1"/>
  <c r="AG70" i="11"/>
  <c r="G74" i="19" s="1"/>
  <c r="AG67" i="11"/>
  <c r="G71" i="19" s="1"/>
  <c r="AG74" i="11"/>
  <c r="G78" i="19" s="1"/>
  <c r="AG55" i="11"/>
  <c r="G59" i="19" s="1"/>
  <c r="AG18" i="11"/>
  <c r="G22" i="19" s="1"/>
  <c r="AG58" i="11"/>
  <c r="G62" i="19" s="1"/>
  <c r="AG66" i="11"/>
  <c r="G70" i="19" s="1"/>
  <c r="AG29" i="11"/>
  <c r="G33" i="19" s="1"/>
  <c r="AG73" i="11"/>
  <c r="G77" i="19" s="1"/>
  <c r="AG88" i="11"/>
  <c r="G92" i="19" s="1"/>
  <c r="AG40" i="11"/>
  <c r="G44" i="19" s="1"/>
  <c r="AG63" i="11"/>
  <c r="G67" i="19" s="1"/>
  <c r="AG49" i="11"/>
  <c r="G53" i="19" s="1"/>
  <c r="AG13" i="11"/>
  <c r="G17" i="19" s="1"/>
  <c r="AG17" i="11"/>
  <c r="G21" i="19" s="1"/>
  <c r="J67" i="19" l="1"/>
  <c r="L67" i="19" s="1"/>
  <c r="O65" i="19"/>
  <c r="J65" i="19"/>
  <c r="O60" i="19"/>
  <c r="J60" i="19"/>
  <c r="O86" i="19"/>
  <c r="J86" i="19"/>
  <c r="L86" i="19" s="1"/>
  <c r="O59" i="19"/>
  <c r="J59" i="19"/>
  <c r="L59" i="19" s="1"/>
  <c r="O66" i="19"/>
  <c r="J66" i="19"/>
  <c r="O64" i="19"/>
  <c r="J64" i="19"/>
  <c r="L64" i="19" s="1"/>
  <c r="O84" i="19"/>
  <c r="J84" i="19"/>
  <c r="L84" i="19" s="1"/>
  <c r="O82" i="19"/>
  <c r="J82" i="19"/>
  <c r="L82" i="19" s="1"/>
  <c r="O71" i="19"/>
  <c r="J71" i="19"/>
  <c r="O88" i="19"/>
  <c r="J88" i="19"/>
  <c r="J87" i="19"/>
  <c r="L87" i="19" s="1"/>
  <c r="L43" i="19"/>
  <c r="O43" i="19"/>
  <c r="J75" i="19"/>
  <c r="L75" i="19" s="1"/>
  <c r="O78" i="19"/>
  <c r="J78" i="19"/>
  <c r="O68" i="19"/>
  <c r="J68" i="19"/>
  <c r="L68" i="19" s="1"/>
  <c r="O70" i="19"/>
  <c r="J70" i="19"/>
  <c r="L70" i="19" s="1"/>
  <c r="J72" i="19"/>
  <c r="L72" i="19" s="1"/>
  <c r="L17" i="19"/>
  <c r="L55" i="19"/>
  <c r="L56" i="19"/>
  <c r="L71" i="19"/>
  <c r="L88" i="19"/>
  <c r="L65" i="19"/>
  <c r="N59" i="19"/>
  <c r="L61" i="19"/>
  <c r="L62" i="19"/>
  <c r="L69" i="19"/>
  <c r="L77" i="19"/>
  <c r="L90" i="19"/>
  <c r="N92" i="19"/>
  <c r="L39" i="19"/>
  <c r="N37" i="19"/>
  <c r="L80" i="19"/>
  <c r="L18" i="19"/>
  <c r="L74" i="19"/>
  <c r="L23" i="19"/>
  <c r="L32" i="19"/>
  <c r="L60" i="19"/>
  <c r="L38" i="19"/>
  <c r="L31" i="19"/>
  <c r="N35" i="19"/>
  <c r="N16" i="19"/>
  <c r="N19" i="19"/>
  <c r="N22" i="19"/>
  <c r="L78" i="19"/>
  <c r="N75" i="19"/>
  <c r="H16" i="19"/>
  <c r="L37" i="19"/>
  <c r="H13" i="19"/>
  <c r="N77" i="19"/>
  <c r="L36" i="19"/>
  <c r="L66" i="19"/>
  <c r="N55" i="19"/>
  <c r="M91" i="19" l="1"/>
  <c r="L91" i="19" s="1"/>
  <c r="M92" i="19" l="1"/>
  <c r="L92" i="19" s="1"/>
  <c r="H85" i="19"/>
  <c r="H89" i="19"/>
  <c r="H12" i="19"/>
  <c r="H66" i="19"/>
  <c r="H14" i="19"/>
  <c r="H63" i="19"/>
  <c r="H20" i="19"/>
  <c r="H79" i="19"/>
  <c r="H51" i="19"/>
  <c r="H83" i="19"/>
  <c r="H46" i="19"/>
  <c r="H76" i="19"/>
  <c r="H67" i="19"/>
  <c r="H91" i="19"/>
  <c r="H10" i="19"/>
  <c r="H81" i="19"/>
  <c r="H73" i="19"/>
  <c r="H75" i="19" l="1"/>
  <c r="H68" i="19"/>
  <c r="H29" i="19"/>
  <c r="H34" i="19"/>
  <c r="H31" i="19"/>
  <c r="H35" i="19"/>
  <c r="H52" i="19"/>
  <c r="H77" i="19"/>
  <c r="H64" i="19"/>
  <c r="H86" i="19"/>
  <c r="H40" i="19"/>
  <c r="H21" i="19"/>
  <c r="H23" i="19"/>
  <c r="H38" i="19"/>
  <c r="H82" i="19"/>
  <c r="H27" i="19"/>
  <c r="H53" i="19"/>
  <c r="H59" i="19"/>
  <c r="H84" i="19"/>
  <c r="H54" i="19"/>
  <c r="H65" i="19"/>
  <c r="H30" i="19"/>
  <c r="H24" i="19"/>
  <c r="H78" i="19"/>
  <c r="H80" i="19"/>
  <c r="H69" i="19"/>
  <c r="H15" i="19"/>
  <c r="H61" i="19"/>
  <c r="H72" i="19"/>
  <c r="H87" i="19"/>
  <c r="H37" i="19"/>
  <c r="H28" i="19"/>
  <c r="H17" i="19"/>
  <c r="H90" i="19"/>
  <c r="H92" i="19"/>
  <c r="H48" i="19"/>
  <c r="H33" i="19"/>
  <c r="P33" i="19" s="1"/>
  <c r="H56" i="19"/>
  <c r="H43" i="19"/>
  <c r="H88" i="19"/>
  <c r="H49" i="19"/>
  <c r="H60" i="19"/>
  <c r="H18" i="19"/>
  <c r="H74" i="19"/>
  <c r="H41" i="19"/>
  <c r="H57" i="19"/>
  <c r="H22" i="19"/>
  <c r="H62" i="19"/>
  <c r="H9" i="19"/>
  <c r="H26" i="19"/>
  <c r="H50" i="19"/>
  <c r="H39" i="19"/>
  <c r="H32" i="19"/>
  <c r="H70" i="19"/>
  <c r="H47" i="19"/>
  <c r="H19" i="19"/>
  <c r="H71" i="19"/>
  <c r="H55" i="19"/>
  <c r="H42" i="19"/>
  <c r="H25" i="19"/>
  <c r="H58" i="19"/>
  <c r="H36" i="19"/>
  <c r="H44" i="19"/>
  <c r="H45" i="19"/>
  <c r="H11" i="19"/>
  <c r="P86" i="19" l="1"/>
  <c r="P64" i="19"/>
  <c r="P74" i="19"/>
  <c r="P75" i="19"/>
  <c r="P92" i="19"/>
  <c r="X92" i="19" s="1"/>
  <c r="P87" i="19"/>
  <c r="P80" i="19"/>
  <c r="P65" i="19"/>
  <c r="P71" i="19"/>
  <c r="P72" i="19"/>
  <c r="P62" i="19"/>
  <c r="P77" i="19"/>
  <c r="P60" i="19"/>
  <c r="P82" i="19"/>
  <c r="P67" i="19"/>
  <c r="P61" i="19"/>
  <c r="P59" i="19"/>
  <c r="P70" i="19"/>
  <c r="P90" i="19"/>
  <c r="P78" i="19"/>
  <c r="P88" i="19"/>
  <c r="P69" i="19"/>
  <c r="P11" i="19"/>
  <c r="P73" i="19"/>
  <c r="P49" i="19"/>
  <c r="P16" i="19"/>
  <c r="P34" i="19"/>
  <c r="P66" i="19"/>
  <c r="P44" i="19"/>
  <c r="P55" i="19"/>
  <c r="P76" i="19"/>
  <c r="P58" i="19"/>
  <c r="P47" i="19"/>
  <c r="P38" i="19"/>
  <c r="P23" i="19"/>
  <c r="P52" i="19"/>
  <c r="P79" i="19"/>
  <c r="P68" i="19"/>
  <c r="P63" i="19"/>
  <c r="P48" i="19"/>
  <c r="P26" i="19"/>
  <c r="P28" i="19"/>
  <c r="P57" i="19"/>
  <c r="P36" i="19"/>
  <c r="P30" i="19"/>
  <c r="P83" i="19"/>
  <c r="P17" i="19"/>
  <c r="P50" i="19"/>
  <c r="P41" i="19"/>
  <c r="P37" i="19"/>
  <c r="P21" i="19"/>
  <c r="P31" i="19"/>
  <c r="P54" i="19"/>
  <c r="P15" i="19"/>
  <c r="P45" i="19"/>
  <c r="P84" i="19"/>
  <c r="P42" i="19"/>
  <c r="P53" i="19"/>
  <c r="P22" i="19"/>
  <c r="P25" i="19"/>
  <c r="P56" i="19"/>
  <c r="P27" i="19"/>
  <c r="P40" i="19"/>
  <c r="P29" i="19"/>
  <c r="P24" i="19"/>
  <c r="P35" i="19"/>
  <c r="P18" i="19"/>
  <c r="P32" i="19"/>
  <c r="P39" i="19"/>
  <c r="P43" i="19"/>
  <c r="P19" i="19"/>
  <c r="P85" i="19"/>
  <c r="P51" i="19"/>
  <c r="P20" i="19"/>
  <c r="P14" i="19"/>
  <c r="P91" i="19"/>
  <c r="X91" i="19" s="1"/>
  <c r="P12" i="19"/>
  <c r="P13" i="19"/>
  <c r="P10" i="19"/>
  <c r="P89" i="19"/>
  <c r="P81" i="19"/>
  <c r="P46" i="19"/>
  <c r="X20" i="19" l="1"/>
  <c r="X89" i="19"/>
  <c r="X29" i="19"/>
  <c r="X50" i="19"/>
  <c r="X48" i="19"/>
  <c r="X59" i="19"/>
  <c r="X35" i="19"/>
  <c r="X38" i="19"/>
  <c r="X62" i="19"/>
  <c r="X42" i="19"/>
  <c r="X46" i="19"/>
  <c r="X34" i="19"/>
  <c r="X15" i="19"/>
  <c r="X83" i="19"/>
  <c r="X68" i="19"/>
  <c r="X11" i="19"/>
  <c r="X80" i="19"/>
  <c r="X53" i="19"/>
  <c r="X41" i="19"/>
  <c r="X16" i="19"/>
  <c r="X70" i="19"/>
  <c r="X72" i="19"/>
  <c r="X61" i="19"/>
  <c r="X12" i="19"/>
  <c r="X30" i="19"/>
  <c r="X79" i="19"/>
  <c r="X55" i="19"/>
  <c r="X69" i="19"/>
  <c r="X31" i="19"/>
  <c r="X44" i="19"/>
  <c r="X60" i="19"/>
  <c r="X25" i="19"/>
  <c r="X52" i="19"/>
  <c r="X14" i="19"/>
  <c r="X57" i="19"/>
  <c r="X75" i="19"/>
  <c r="X76" i="19"/>
  <c r="X87" i="19"/>
  <c r="X36" i="19"/>
  <c r="X22" i="19"/>
  <c r="X27" i="19"/>
  <c r="X88" i="19"/>
  <c r="X84" i="19"/>
  <c r="X67" i="19"/>
  <c r="X90" i="19"/>
  <c r="X13" i="19"/>
  <c r="X37" i="19"/>
  <c r="X81" i="19"/>
  <c r="X24" i="19"/>
  <c r="X51" i="19"/>
  <c r="X28" i="19"/>
  <c r="X49" i="19"/>
  <c r="X43" i="19"/>
  <c r="X23" i="19"/>
  <c r="X85" i="19"/>
  <c r="X18" i="19"/>
  <c r="X21" i="19"/>
  <c r="X71" i="19"/>
  <c r="X66" i="19"/>
  <c r="X32" i="19"/>
  <c r="X40" i="19"/>
  <c r="X45" i="19"/>
  <c r="X26" i="19"/>
  <c r="X63" i="19"/>
  <c r="X58" i="19"/>
  <c r="X64" i="19"/>
  <c r="X10" i="19"/>
  <c r="X54" i="19"/>
  <c r="X17" i="19"/>
  <c r="X73" i="19"/>
  <c r="X82" i="19"/>
  <c r="X77" i="19"/>
  <c r="X39" i="19"/>
  <c r="X65" i="19"/>
  <c r="X86" i="19"/>
  <c r="X19" i="19"/>
  <c r="X56" i="19"/>
  <c r="X47" i="19"/>
  <c r="X33" i="19"/>
  <c r="X78" i="19"/>
  <c r="X74" i="19"/>
  <c r="K9" i="19" l="1"/>
  <c r="J9" i="19"/>
  <c r="L9" i="19" l="1"/>
  <c r="P9" i="19" l="1"/>
  <c r="X9" i="19" l="1"/>
  <c r="X93" i="19" s="1"/>
  <c r="X7" i="19" l="1"/>
  <c r="AE6" i="19" s="1"/>
  <c r="AE10" i="19" l="1"/>
  <c r="AE69" i="19"/>
  <c r="AE73" i="19"/>
  <c r="AE12" i="19"/>
  <c r="AE11" i="19"/>
  <c r="AE91" i="19"/>
  <c r="AE24" i="19"/>
  <c r="AE14" i="19"/>
  <c r="AE27" i="19"/>
  <c r="AE39" i="19"/>
  <c r="AE32" i="19"/>
  <c r="AE29" i="19"/>
  <c r="AE37" i="19"/>
  <c r="AE46" i="19"/>
  <c r="AE53" i="19"/>
  <c r="AE48" i="19"/>
  <c r="AE40" i="19"/>
  <c r="AE34" i="19"/>
  <c r="AE55" i="19"/>
  <c r="AE88" i="19"/>
  <c r="AE86" i="19"/>
  <c r="AE85" i="19"/>
  <c r="AE16" i="19"/>
  <c r="AE44" i="19"/>
  <c r="AE51" i="19"/>
  <c r="AE78" i="19"/>
  <c r="AE79" i="19"/>
  <c r="AE43" i="19"/>
  <c r="AE82" i="19"/>
  <c r="AE92" i="19"/>
  <c r="AE57" i="19"/>
  <c r="AE90" i="19"/>
  <c r="AE74" i="19"/>
  <c r="AE25" i="19"/>
  <c r="AE21" i="19"/>
  <c r="AE28" i="19"/>
  <c r="AE59" i="19"/>
  <c r="AE38" i="19"/>
  <c r="AE22" i="19"/>
  <c r="AE18" i="19"/>
  <c r="AE72" i="19"/>
  <c r="AE47" i="19"/>
  <c r="AE45" i="19"/>
  <c r="AE77" i="19"/>
  <c r="AE41" i="19"/>
  <c r="AE68" i="19"/>
  <c r="AE52" i="19"/>
  <c r="AE70" i="19"/>
  <c r="AE65" i="19"/>
  <c r="AE67" i="19"/>
  <c r="AE76" i="19"/>
  <c r="AE42" i="19"/>
  <c r="AE30" i="19"/>
  <c r="AE87" i="19"/>
  <c r="AE83" i="19"/>
  <c r="AE58" i="19"/>
  <c r="AE20" i="19"/>
  <c r="AE75" i="19"/>
  <c r="AE17" i="19"/>
  <c r="AE89" i="19"/>
  <c r="AE13" i="19"/>
  <c r="AE80" i="19"/>
  <c r="AE54" i="19"/>
  <c r="AE60" i="19"/>
  <c r="AE36" i="19"/>
  <c r="AE50" i="19"/>
  <c r="AE15" i="19"/>
  <c r="AE35" i="19"/>
  <c r="AE81" i="19"/>
  <c r="AE71" i="19"/>
  <c r="AE84" i="19"/>
  <c r="AE66" i="19"/>
  <c r="AE56" i="19"/>
  <c r="AE23" i="19"/>
  <c r="AE31" i="19"/>
  <c r="AE64" i="19"/>
  <c r="AE62" i="19"/>
  <c r="AE61" i="19"/>
  <c r="AE26" i="19"/>
  <c r="AE19" i="19"/>
  <c r="AE63" i="19"/>
  <c r="AE49" i="19"/>
  <c r="AE33" i="19"/>
  <c r="AE9" i="19"/>
  <c r="AI19" i="19" l="1"/>
  <c r="AK19" i="19" s="1"/>
  <c r="AH19" i="19"/>
  <c r="AF19" i="19"/>
  <c r="AG19" i="19"/>
  <c r="AF66" i="19"/>
  <c r="AH66" i="19"/>
  <c r="AI66" i="19"/>
  <c r="AK66" i="19" s="1"/>
  <c r="AG66" i="19"/>
  <c r="AF60" i="19"/>
  <c r="AH60" i="19"/>
  <c r="AI60" i="19"/>
  <c r="AK60" i="19" s="1"/>
  <c r="AG60" i="19"/>
  <c r="AF58" i="19"/>
  <c r="AH58" i="19"/>
  <c r="AI58" i="19"/>
  <c r="AK58" i="19" s="1"/>
  <c r="AG58" i="19"/>
  <c r="AF70" i="19"/>
  <c r="AI70" i="19"/>
  <c r="AK70" i="19" s="1"/>
  <c r="AH70" i="19"/>
  <c r="AG70" i="19"/>
  <c r="AH18" i="19"/>
  <c r="AF18" i="19"/>
  <c r="AI18" i="19"/>
  <c r="AK18" i="19" s="1"/>
  <c r="AG18" i="19"/>
  <c r="AF90" i="19"/>
  <c r="AH90" i="19"/>
  <c r="AI90" i="19"/>
  <c r="AK90" i="19" s="1"/>
  <c r="AG90" i="19"/>
  <c r="AH44" i="19"/>
  <c r="AI44" i="19"/>
  <c r="AK44" i="19" s="1"/>
  <c r="AF44" i="19"/>
  <c r="AG44" i="19"/>
  <c r="AF48" i="19"/>
  <c r="AI48" i="19"/>
  <c r="AK48" i="19" s="1"/>
  <c r="AH48" i="19"/>
  <c r="AG48" i="19"/>
  <c r="AF14" i="19"/>
  <c r="AH14" i="19"/>
  <c r="AI14" i="19"/>
  <c r="AK14" i="19" s="1"/>
  <c r="AG14" i="19"/>
  <c r="AH26" i="19"/>
  <c r="AI26" i="19"/>
  <c r="AK26" i="19" s="1"/>
  <c r="AF26" i="19"/>
  <c r="AG26" i="19"/>
  <c r="AF84" i="19"/>
  <c r="AH84" i="19"/>
  <c r="AI84" i="19"/>
  <c r="AK84" i="19" s="1"/>
  <c r="AG84" i="19"/>
  <c r="AF54" i="19"/>
  <c r="AI54" i="19"/>
  <c r="AK54" i="19" s="1"/>
  <c r="AH54" i="19"/>
  <c r="AG54" i="19"/>
  <c r="AF83" i="19"/>
  <c r="AH83" i="19"/>
  <c r="AI83" i="19"/>
  <c r="AK83" i="19" s="1"/>
  <c r="AG83" i="19"/>
  <c r="AH52" i="19"/>
  <c r="AI52" i="19"/>
  <c r="AK52" i="19" s="1"/>
  <c r="AF52" i="19"/>
  <c r="AG52" i="19"/>
  <c r="AF22" i="19"/>
  <c r="AI22" i="19"/>
  <c r="AK22" i="19" s="1"/>
  <c r="AH22" i="19"/>
  <c r="AG22" i="19"/>
  <c r="AF57" i="19"/>
  <c r="AI57" i="19"/>
  <c r="AK57" i="19" s="1"/>
  <c r="AH57" i="19"/>
  <c r="AG57" i="19"/>
  <c r="AF16" i="19"/>
  <c r="AI16" i="19"/>
  <c r="AK16" i="19" s="1"/>
  <c r="AH16" i="19"/>
  <c r="AG16" i="19"/>
  <c r="AH53" i="19"/>
  <c r="AF53" i="19"/>
  <c r="AI53" i="19"/>
  <c r="AK53" i="19" s="1"/>
  <c r="AG53" i="19"/>
  <c r="AI24" i="19"/>
  <c r="AK24" i="19" s="1"/>
  <c r="AH24" i="19"/>
  <c r="AF24" i="19"/>
  <c r="AG24" i="19"/>
  <c r="AH61" i="19"/>
  <c r="AF61" i="19"/>
  <c r="AI61" i="19"/>
  <c r="AK61" i="19" s="1"/>
  <c r="AG61" i="19"/>
  <c r="AI71" i="19"/>
  <c r="AK71" i="19" s="1"/>
  <c r="AF71" i="19"/>
  <c r="AH71" i="19"/>
  <c r="AG71" i="19"/>
  <c r="AI80" i="19"/>
  <c r="AK80" i="19" s="1"/>
  <c r="AF80" i="19"/>
  <c r="AH80" i="19"/>
  <c r="AG80" i="19"/>
  <c r="AH87" i="19"/>
  <c r="AF87" i="19"/>
  <c r="AI87" i="19"/>
  <c r="AK87" i="19" s="1"/>
  <c r="AG87" i="19"/>
  <c r="AH68" i="19"/>
  <c r="AF68" i="19"/>
  <c r="AI68" i="19"/>
  <c r="AK68" i="19" s="1"/>
  <c r="AG68" i="19"/>
  <c r="AF38" i="19"/>
  <c r="AH38" i="19"/>
  <c r="AI38" i="19"/>
  <c r="AK38" i="19" s="1"/>
  <c r="AG38" i="19"/>
  <c r="AF92" i="19"/>
  <c r="AI92" i="19"/>
  <c r="AK92" i="19" s="1"/>
  <c r="AH92" i="19"/>
  <c r="AG92" i="19"/>
  <c r="AI85" i="19"/>
  <c r="AK85" i="19" s="1"/>
  <c r="AF85" i="19"/>
  <c r="AH85" i="19"/>
  <c r="AG85" i="19"/>
  <c r="AI46" i="19"/>
  <c r="AK46" i="19" s="1"/>
  <c r="AF46" i="19"/>
  <c r="AH46" i="19"/>
  <c r="AG46" i="19"/>
  <c r="AI91" i="19"/>
  <c r="AK91" i="19" s="1"/>
  <c r="AF91" i="19"/>
  <c r="AH91" i="19"/>
  <c r="AG91" i="19"/>
  <c r="AI62" i="19"/>
  <c r="AK62" i="19" s="1"/>
  <c r="AH62" i="19"/>
  <c r="AF62" i="19"/>
  <c r="AG62" i="19"/>
  <c r="AI81" i="19"/>
  <c r="AK81" i="19" s="1"/>
  <c r="AH81" i="19"/>
  <c r="AF81" i="19"/>
  <c r="AG81" i="19"/>
  <c r="AF13" i="19"/>
  <c r="AH13" i="19"/>
  <c r="AI13" i="19"/>
  <c r="AK13" i="19" s="1"/>
  <c r="AG13" i="19"/>
  <c r="AH30" i="19"/>
  <c r="AF30" i="19"/>
  <c r="AI30" i="19"/>
  <c r="AK30" i="19" s="1"/>
  <c r="AG30" i="19"/>
  <c r="AF41" i="19"/>
  <c r="AI41" i="19"/>
  <c r="AK41" i="19" s="1"/>
  <c r="AH41" i="19"/>
  <c r="AG41" i="19"/>
  <c r="AH59" i="19"/>
  <c r="AF59" i="19"/>
  <c r="AI59" i="19"/>
  <c r="AK59" i="19" s="1"/>
  <c r="AG59" i="19"/>
  <c r="AF82" i="19"/>
  <c r="AH82" i="19"/>
  <c r="AI82" i="19"/>
  <c r="AK82" i="19" s="1"/>
  <c r="AG82" i="19"/>
  <c r="AI86" i="19"/>
  <c r="AK86" i="19" s="1"/>
  <c r="AF86" i="19"/>
  <c r="AH86" i="19"/>
  <c r="AG86" i="19"/>
  <c r="AI37" i="19"/>
  <c r="AK37" i="19" s="1"/>
  <c r="AH37" i="19"/>
  <c r="AF37" i="19"/>
  <c r="AG37" i="19"/>
  <c r="AH11" i="19"/>
  <c r="AI11" i="19"/>
  <c r="AK11" i="19" s="1"/>
  <c r="AF11" i="19"/>
  <c r="AG11" i="19"/>
  <c r="AF9" i="19"/>
  <c r="AI9" i="19"/>
  <c r="AK9" i="19" s="1"/>
  <c r="AH9" i="19"/>
  <c r="AG9" i="19"/>
  <c r="AI35" i="19"/>
  <c r="AK35" i="19" s="1"/>
  <c r="AH35" i="19"/>
  <c r="AF35" i="19"/>
  <c r="AG35" i="19"/>
  <c r="AH42" i="19"/>
  <c r="AF42" i="19"/>
  <c r="AI42" i="19"/>
  <c r="AK42" i="19" s="1"/>
  <c r="AG42" i="19"/>
  <c r="AF28" i="19"/>
  <c r="AI28" i="19"/>
  <c r="AK28" i="19" s="1"/>
  <c r="AH28" i="19"/>
  <c r="AG28" i="19"/>
  <c r="AI43" i="19"/>
  <c r="AK43" i="19" s="1"/>
  <c r="AF43" i="19"/>
  <c r="AH43" i="19"/>
  <c r="AG43" i="19"/>
  <c r="AH29" i="19"/>
  <c r="AF29" i="19"/>
  <c r="AI29" i="19"/>
  <c r="AK29" i="19" s="1"/>
  <c r="AG29" i="19"/>
  <c r="AH33" i="19"/>
  <c r="AF33" i="19"/>
  <c r="AI33" i="19"/>
  <c r="AK33" i="19" s="1"/>
  <c r="AG33" i="19"/>
  <c r="AH31" i="19"/>
  <c r="AI31" i="19"/>
  <c r="AK31" i="19" s="1"/>
  <c r="AF31" i="19"/>
  <c r="AG31" i="19"/>
  <c r="AI15" i="19"/>
  <c r="AK15" i="19" s="1"/>
  <c r="AH15" i="19"/>
  <c r="AF15" i="19"/>
  <c r="AG15" i="19"/>
  <c r="AH17" i="19"/>
  <c r="AF17" i="19"/>
  <c r="AI17" i="19"/>
  <c r="AK17" i="19" s="1"/>
  <c r="AG17" i="19"/>
  <c r="AH76" i="19"/>
  <c r="AI76" i="19"/>
  <c r="AK76" i="19" s="1"/>
  <c r="AF76" i="19"/>
  <c r="AG76" i="19"/>
  <c r="AH45" i="19"/>
  <c r="AF45" i="19"/>
  <c r="AI45" i="19"/>
  <c r="AK45" i="19" s="1"/>
  <c r="AG45" i="19"/>
  <c r="AH21" i="19"/>
  <c r="AF21" i="19"/>
  <c r="AI21" i="19"/>
  <c r="AK21" i="19" s="1"/>
  <c r="AG21" i="19"/>
  <c r="AF79" i="19"/>
  <c r="AI79" i="19"/>
  <c r="AK79" i="19" s="1"/>
  <c r="AH79" i="19"/>
  <c r="AG79" i="19"/>
  <c r="AF55" i="19"/>
  <c r="AI55" i="19"/>
  <c r="AK55" i="19" s="1"/>
  <c r="AH55" i="19"/>
  <c r="AG55" i="19"/>
  <c r="AI32" i="19"/>
  <c r="AK32" i="19" s="1"/>
  <c r="AH32" i="19"/>
  <c r="AF32" i="19"/>
  <c r="AG32" i="19"/>
  <c r="AH73" i="19"/>
  <c r="AF73" i="19"/>
  <c r="AI73" i="19"/>
  <c r="AK73" i="19" s="1"/>
  <c r="AG73" i="19"/>
  <c r="AI49" i="19"/>
  <c r="AK49" i="19" s="1"/>
  <c r="AF49" i="19"/>
  <c r="AH49" i="19"/>
  <c r="AG49" i="19"/>
  <c r="AH23" i="19"/>
  <c r="AF23" i="19"/>
  <c r="AI23" i="19"/>
  <c r="AK23" i="19" s="1"/>
  <c r="AG23" i="19"/>
  <c r="AF50" i="19"/>
  <c r="AI50" i="19"/>
  <c r="AK50" i="19" s="1"/>
  <c r="AH50" i="19"/>
  <c r="AG50" i="19"/>
  <c r="AH75" i="19"/>
  <c r="AI75" i="19"/>
  <c r="AK75" i="19" s="1"/>
  <c r="AF75" i="19"/>
  <c r="AG75" i="19"/>
  <c r="AI67" i="19"/>
  <c r="AK67" i="19" s="1"/>
  <c r="AH67" i="19"/>
  <c r="AF67" i="19"/>
  <c r="AG67" i="19"/>
  <c r="AF47" i="19"/>
  <c r="AI47" i="19"/>
  <c r="AK47" i="19" s="1"/>
  <c r="AH47" i="19"/>
  <c r="AG47" i="19"/>
  <c r="AH25" i="19"/>
  <c r="AF25" i="19"/>
  <c r="AI25" i="19"/>
  <c r="AK25" i="19" s="1"/>
  <c r="AG25" i="19"/>
  <c r="AH78" i="19"/>
  <c r="AI78" i="19"/>
  <c r="AK78" i="19" s="1"/>
  <c r="AF78" i="19"/>
  <c r="AG78" i="19"/>
  <c r="AF34" i="19"/>
  <c r="AH34" i="19"/>
  <c r="AI34" i="19"/>
  <c r="AK34" i="19" s="1"/>
  <c r="AG34" i="19"/>
  <c r="AH39" i="19"/>
  <c r="AI39" i="19"/>
  <c r="AK39" i="19" s="1"/>
  <c r="AF39" i="19"/>
  <c r="AG39" i="19"/>
  <c r="AF69" i="19"/>
  <c r="AH69" i="19"/>
  <c r="AI69" i="19"/>
  <c r="AK69" i="19" s="1"/>
  <c r="AG69" i="19"/>
  <c r="AF64" i="19"/>
  <c r="AH64" i="19"/>
  <c r="AI64" i="19"/>
  <c r="AK64" i="19" s="1"/>
  <c r="AG64" i="19"/>
  <c r="AH89" i="19"/>
  <c r="AF89" i="19"/>
  <c r="AI89" i="19"/>
  <c r="AK89" i="19" s="1"/>
  <c r="AG89" i="19"/>
  <c r="AF77" i="19"/>
  <c r="AI77" i="19"/>
  <c r="AK77" i="19" s="1"/>
  <c r="AH77" i="19"/>
  <c r="AG77" i="19"/>
  <c r="AI88" i="19"/>
  <c r="AK88" i="19" s="1"/>
  <c r="AH88" i="19"/>
  <c r="AF88" i="19"/>
  <c r="AG88" i="19"/>
  <c r="AH12" i="19"/>
  <c r="AI12" i="19"/>
  <c r="AK12" i="19" s="1"/>
  <c r="AF12" i="19"/>
  <c r="AG12" i="19"/>
  <c r="AI63" i="19"/>
  <c r="AK63" i="19" s="1"/>
  <c r="AH63" i="19"/>
  <c r="AF63" i="19"/>
  <c r="AG63" i="19"/>
  <c r="AF56" i="19"/>
  <c r="AH56" i="19"/>
  <c r="AI56" i="19"/>
  <c r="AK56" i="19" s="1"/>
  <c r="AG56" i="19"/>
  <c r="AF36" i="19"/>
  <c r="AH36" i="19"/>
  <c r="AI36" i="19"/>
  <c r="AK36" i="19" s="1"/>
  <c r="AG36" i="19"/>
  <c r="AH20" i="19"/>
  <c r="AF20" i="19"/>
  <c r="AI20" i="19"/>
  <c r="AK20" i="19" s="1"/>
  <c r="AG20" i="19"/>
  <c r="AH65" i="19"/>
  <c r="AI65" i="19"/>
  <c r="AK65" i="19" s="1"/>
  <c r="AF65" i="19"/>
  <c r="AG65" i="19"/>
  <c r="AF72" i="19"/>
  <c r="AH72" i="19"/>
  <c r="AI72" i="19"/>
  <c r="AK72" i="19" s="1"/>
  <c r="AG72" i="19"/>
  <c r="AI74" i="19"/>
  <c r="AK74" i="19" s="1"/>
  <c r="AF74" i="19"/>
  <c r="AH74" i="19"/>
  <c r="AG74" i="19"/>
  <c r="AI51" i="19"/>
  <c r="AK51" i="19" s="1"/>
  <c r="AF51" i="19"/>
  <c r="AH51" i="19"/>
  <c r="AG51" i="19"/>
  <c r="AH40" i="19"/>
  <c r="AI40" i="19"/>
  <c r="AK40" i="19" s="1"/>
  <c r="AF40" i="19"/>
  <c r="AG40" i="19"/>
  <c r="AH27" i="19"/>
  <c r="AF27" i="19"/>
  <c r="AI27" i="19"/>
  <c r="AK27" i="19" s="1"/>
  <c r="AG27" i="19"/>
  <c r="AH10" i="19"/>
  <c r="AF10" i="19"/>
  <c r="AI10" i="19"/>
  <c r="AK10" i="19" s="1"/>
  <c r="AG10" i="19"/>
  <c r="AH93" i="19" l="1"/>
  <c r="AK93" i="19"/>
  <c r="AN39" i="19" s="1"/>
  <c r="AF93" i="19"/>
  <c r="AG93" i="19"/>
  <c r="AN40" i="19" l="1"/>
  <c r="AM81" i="19"/>
  <c r="AM36" i="19"/>
  <c r="AN50" i="19"/>
  <c r="AN59" i="19"/>
  <c r="AM60" i="19"/>
  <c r="AM20" i="19"/>
  <c r="AL46" i="19"/>
  <c r="AL11" i="19"/>
  <c r="AL52" i="19"/>
  <c r="AN85" i="19"/>
  <c r="AL53" i="19"/>
  <c r="AM18" i="19"/>
  <c r="AL29" i="19"/>
  <c r="AL78" i="19"/>
  <c r="AM74" i="19"/>
  <c r="AL9" i="19"/>
  <c r="AN81" i="19"/>
  <c r="AM49" i="19"/>
  <c r="AL71" i="19"/>
  <c r="AL58" i="19"/>
  <c r="AL14" i="19"/>
  <c r="AN75" i="19"/>
  <c r="AN52" i="19"/>
  <c r="AL81" i="19"/>
  <c r="AN9" i="19"/>
  <c r="AM75" i="19"/>
  <c r="AN20" i="19"/>
  <c r="AL18" i="19"/>
  <c r="AL50" i="19"/>
  <c r="AN10" i="19"/>
  <c r="AM46" i="19"/>
  <c r="AN84" i="19"/>
  <c r="AM85" i="19"/>
  <c r="AN31" i="19"/>
  <c r="AL49" i="19"/>
  <c r="AL40" i="19"/>
  <c r="AM53" i="19"/>
  <c r="AM59" i="19"/>
  <c r="AN16" i="19"/>
  <c r="AL28" i="19"/>
  <c r="AN61" i="19"/>
  <c r="AM42" i="19"/>
  <c r="AL75" i="19"/>
  <c r="AN37" i="19"/>
  <c r="AL31" i="19"/>
  <c r="AM91" i="19"/>
  <c r="AN69" i="19"/>
  <c r="AL10" i="19"/>
  <c r="AM86" i="19"/>
  <c r="AM84" i="19"/>
  <c r="AN82" i="19"/>
  <c r="AM31" i="19"/>
  <c r="AM34" i="19"/>
  <c r="AN73" i="19"/>
  <c r="AM26" i="19"/>
  <c r="AN92" i="19"/>
  <c r="AM43" i="19"/>
  <c r="AM55" i="19"/>
  <c r="AM12" i="19"/>
  <c r="AM88" i="19"/>
  <c r="AL16" i="19"/>
  <c r="AN83" i="19"/>
  <c r="AM10" i="19"/>
  <c r="AL85" i="19"/>
  <c r="AL55" i="19"/>
  <c r="AM16" i="19"/>
  <c r="AL42" i="19"/>
  <c r="AN64" i="19"/>
  <c r="AN80" i="19"/>
  <c r="AM9" i="19"/>
  <c r="AL64" i="19"/>
  <c r="AN15" i="19"/>
  <c r="AL83" i="19"/>
  <c r="AL91" i="19"/>
  <c r="AL37" i="19"/>
  <c r="AM69" i="19"/>
  <c r="AN70" i="19"/>
  <c r="AL86" i="19"/>
  <c r="AL82" i="19"/>
  <c r="AN32" i="19"/>
  <c r="AL34" i="19"/>
  <c r="AM73" i="19"/>
  <c r="AL26" i="19"/>
  <c r="AM92" i="19"/>
  <c r="AL43" i="19"/>
  <c r="AL12" i="19"/>
  <c r="AL88" i="19"/>
  <c r="AL38" i="19"/>
  <c r="AN79" i="19"/>
  <c r="AM50" i="19"/>
  <c r="AM40" i="19"/>
  <c r="AN12" i="19"/>
  <c r="AM37" i="19"/>
  <c r="AM90" i="19"/>
  <c r="AL80" i="19"/>
  <c r="AN76" i="19"/>
  <c r="AM64" i="19"/>
  <c r="AM15" i="19"/>
  <c r="AN62" i="19"/>
  <c r="AN17" i="19"/>
  <c r="AL69" i="19"/>
  <c r="AM70" i="19"/>
  <c r="AN24" i="19"/>
  <c r="AM82" i="19"/>
  <c r="AM32" i="19"/>
  <c r="AN63" i="19"/>
  <c r="AL73" i="19"/>
  <c r="AL92" i="19"/>
  <c r="AN33" i="19"/>
  <c r="AN66" i="19"/>
  <c r="AN41" i="19"/>
  <c r="AL79" i="19"/>
  <c r="AL57" i="19"/>
  <c r="AN91" i="19"/>
  <c r="AL84" i="19"/>
  <c r="AN34" i="19"/>
  <c r="AL59" i="19"/>
  <c r="AN88" i="19"/>
  <c r="AM19" i="19"/>
  <c r="AM52" i="19"/>
  <c r="AL20" i="19"/>
  <c r="AM80" i="19"/>
  <c r="AN11" i="19"/>
  <c r="AM76" i="19"/>
  <c r="AL15" i="19"/>
  <c r="AN71" i="19"/>
  <c r="AM62" i="19"/>
  <c r="AL17" i="19"/>
  <c r="AN36" i="19"/>
  <c r="AL70" i="19"/>
  <c r="AN58" i="19"/>
  <c r="AM24" i="19"/>
  <c r="AN29" i="19"/>
  <c r="AL32" i="19"/>
  <c r="AM63" i="19"/>
  <c r="AN60" i="19"/>
  <c r="AL33" i="19"/>
  <c r="AN78" i="19"/>
  <c r="AN51" i="19"/>
  <c r="AL66" i="19"/>
  <c r="AL41" i="19"/>
  <c r="AM25" i="19"/>
  <c r="AN68" i="19"/>
  <c r="AN47" i="19"/>
  <c r="AN86" i="19"/>
  <c r="AN26" i="19"/>
  <c r="AN90" i="19"/>
  <c r="AM83" i="19"/>
  <c r="AL90" i="19"/>
  <c r="AM11" i="19"/>
  <c r="AL76" i="19"/>
  <c r="AN18" i="19"/>
  <c r="AM71" i="19"/>
  <c r="AL62" i="19"/>
  <c r="AM17" i="19"/>
  <c r="AL36" i="19"/>
  <c r="AN46" i="19"/>
  <c r="AM58" i="19"/>
  <c r="AL24" i="19"/>
  <c r="AM29" i="19"/>
  <c r="AN49" i="19"/>
  <c r="AL63" i="19"/>
  <c r="AL60" i="19"/>
  <c r="AN53" i="19"/>
  <c r="AM33" i="19"/>
  <c r="AM78" i="19"/>
  <c r="AM51" i="19"/>
  <c r="AM14" i="19"/>
  <c r="AM41" i="19"/>
  <c r="AL74" i="19"/>
  <c r="AL68" i="19"/>
  <c r="AL47" i="19"/>
  <c r="AN72" i="19"/>
  <c r="AM27" i="19"/>
  <c r="AN87" i="19"/>
  <c r="AM35" i="19"/>
  <c r="AM67" i="19"/>
  <c r="AM54" i="19"/>
  <c r="AM72" i="19"/>
  <c r="AN44" i="19"/>
  <c r="AM87" i="19"/>
  <c r="AL35" i="19"/>
  <c r="AN89" i="19"/>
  <c r="AL54" i="19"/>
  <c r="AN48" i="19"/>
  <c r="AM68" i="19"/>
  <c r="AM47" i="19"/>
  <c r="AL72" i="19"/>
  <c r="AL44" i="19"/>
  <c r="AL87" i="19"/>
  <c r="AN45" i="19"/>
  <c r="AL89" i="19"/>
  <c r="AN23" i="19"/>
  <c r="AM79" i="19"/>
  <c r="AM61" i="19"/>
  <c r="AM48" i="19"/>
  <c r="AN30" i="19"/>
  <c r="AN56" i="19"/>
  <c r="AM44" i="19"/>
  <c r="AN13" i="19"/>
  <c r="AM45" i="19"/>
  <c r="AM89" i="19"/>
  <c r="AL23" i="19"/>
  <c r="AN28" i="19"/>
  <c r="AN25" i="19"/>
  <c r="AL61" i="19"/>
  <c r="AL48" i="19"/>
  <c r="AM30" i="19"/>
  <c r="AN21" i="19"/>
  <c r="AN77" i="19"/>
  <c r="AM56" i="19"/>
  <c r="AN22" i="19"/>
  <c r="AL13" i="19"/>
  <c r="AL45" i="19"/>
  <c r="AN65" i="19"/>
  <c r="AM23" i="19"/>
  <c r="AL51" i="19"/>
  <c r="AM66" i="19"/>
  <c r="AN38" i="19"/>
  <c r="AM28" i="19"/>
  <c r="AL25" i="19"/>
  <c r="AN19" i="19"/>
  <c r="AN57" i="19"/>
  <c r="AL30" i="19"/>
  <c r="AM21" i="19"/>
  <c r="AM77" i="19"/>
  <c r="AL56" i="19"/>
  <c r="AL22" i="19"/>
  <c r="AM13" i="19"/>
  <c r="AM65" i="19"/>
  <c r="AL21" i="19"/>
  <c r="AL77" i="19"/>
  <c r="AN27" i="19"/>
  <c r="AM22" i="19"/>
  <c r="AN67" i="19"/>
  <c r="AL65" i="19"/>
  <c r="AL39" i="19"/>
  <c r="AN43" i="19"/>
  <c r="AN55" i="19"/>
  <c r="AN14" i="19"/>
  <c r="AM38" i="19"/>
  <c r="AN74" i="19"/>
  <c r="AL19" i="19"/>
  <c r="AM57" i="19"/>
  <c r="AN42" i="19"/>
  <c r="AL27" i="19"/>
  <c r="AN35" i="19"/>
  <c r="AL67" i="19"/>
  <c r="AN54" i="19"/>
  <c r="AM39" i="19"/>
  <c r="AM93" i="19" l="1"/>
  <c r="AL93" i="19"/>
  <c r="AN93" i="19"/>
  <c r="AP6" i="19" l="1"/>
  <c r="AP39" i="19" l="1"/>
  <c r="AP49" i="19"/>
  <c r="AP32" i="19"/>
  <c r="AP38" i="19"/>
  <c r="AP92" i="19"/>
  <c r="AP90" i="19"/>
  <c r="AP91" i="19"/>
  <c r="AP75" i="19"/>
  <c r="AP86" i="19"/>
  <c r="AP33" i="19"/>
  <c r="AP88" i="19"/>
  <c r="AP87" i="19"/>
  <c r="AP30" i="19"/>
  <c r="AP43" i="19"/>
  <c r="AP80" i="19"/>
  <c r="AP16" i="19"/>
  <c r="AP67" i="19"/>
  <c r="AP31" i="19"/>
  <c r="AP77" i="19"/>
  <c r="AP82" i="19"/>
  <c r="AP64" i="19"/>
  <c r="AP37" i="19"/>
  <c r="AP70" i="19"/>
  <c r="AP85" i="19"/>
  <c r="AP65" i="19"/>
  <c r="AP54" i="19"/>
  <c r="AP42" i="19"/>
  <c r="AP10" i="19"/>
  <c r="AP72" i="19"/>
  <c r="AP24" i="19"/>
  <c r="AP12" i="19"/>
  <c r="AP15" i="19"/>
  <c r="AP69" i="19"/>
  <c r="AP47" i="19"/>
  <c r="AP9" i="19"/>
  <c r="AP61" i="19"/>
  <c r="AP13" i="19"/>
  <c r="AP35" i="19"/>
  <c r="AP57" i="19"/>
  <c r="AP14" i="19"/>
  <c r="AP83" i="19"/>
  <c r="AP20" i="19"/>
  <c r="AP79" i="19"/>
  <c r="AP36" i="19"/>
  <c r="AP41" i="19"/>
  <c r="AP73" i="19"/>
  <c r="AP17" i="19"/>
  <c r="AP26" i="19"/>
  <c r="AP53" i="19"/>
  <c r="AP45" i="19"/>
  <c r="AP25" i="19"/>
  <c r="AP55" i="19"/>
  <c r="AP21" i="19"/>
  <c r="AP60" i="19"/>
  <c r="AP59" i="19"/>
  <c r="AP74" i="19"/>
  <c r="AP56" i="19"/>
  <c r="AP23" i="19"/>
  <c r="AP29" i="19"/>
  <c r="AP48" i="19"/>
  <c r="AP66" i="19"/>
  <c r="AP19" i="19"/>
  <c r="AP71" i="19"/>
  <c r="AP18" i="19"/>
  <c r="AP58" i="19"/>
  <c r="AP68" i="19"/>
  <c r="AP63" i="19"/>
  <c r="AP44" i="19"/>
  <c r="AP89" i="19"/>
  <c r="AP22" i="19"/>
  <c r="AP52" i="19"/>
  <c r="AP78" i="19"/>
  <c r="AP51" i="19"/>
  <c r="AP46" i="19"/>
  <c r="AP50" i="19"/>
  <c r="AP84" i="19"/>
  <c r="AP28" i="19"/>
  <c r="AP76" i="19"/>
  <c r="AP11" i="19"/>
  <c r="AP62" i="19"/>
  <c r="AP81" i="19"/>
  <c r="AP34" i="19"/>
  <c r="AP40" i="19"/>
  <c r="AP27" i="19"/>
  <c r="AT92" i="19" l="1"/>
  <c r="AU92" i="19" s="1"/>
  <c r="AR92" i="19"/>
  <c r="AQ92" i="19"/>
  <c r="AS92" i="19"/>
  <c r="AQ38" i="19"/>
  <c r="AT38" i="19"/>
  <c r="AU38" i="19" s="1"/>
  <c r="AS38" i="19"/>
  <c r="AR38" i="19"/>
  <c r="AS32" i="19"/>
  <c r="AR32" i="19"/>
  <c r="AQ32" i="19"/>
  <c r="AT32" i="19"/>
  <c r="AU32" i="19" s="1"/>
  <c r="AT49" i="19"/>
  <c r="AU49" i="19" s="1"/>
  <c r="AR49" i="19"/>
  <c r="AS49" i="19"/>
  <c r="AQ49" i="19"/>
  <c r="AS39" i="19"/>
  <c r="AR39" i="19"/>
  <c r="AQ39" i="19"/>
  <c r="AT39" i="19"/>
  <c r="AU39" i="19" s="1"/>
  <c r="AS40" i="19"/>
  <c r="AT40" i="19"/>
  <c r="AU40" i="19" s="1"/>
  <c r="AQ40" i="19"/>
  <c r="AR40" i="19"/>
  <c r="AQ28" i="19"/>
  <c r="AS28" i="19"/>
  <c r="AT28" i="19"/>
  <c r="AU28" i="19" s="1"/>
  <c r="AR28" i="19"/>
  <c r="AS89" i="19"/>
  <c r="AT89" i="19"/>
  <c r="AU89" i="19" s="1"/>
  <c r="AQ89" i="19"/>
  <c r="AR89" i="19"/>
  <c r="AS66" i="19"/>
  <c r="AT66" i="19"/>
  <c r="AU66" i="19" s="1"/>
  <c r="AQ66" i="19"/>
  <c r="AR66" i="19"/>
  <c r="AR21" i="19"/>
  <c r="AT21" i="19"/>
  <c r="AU21" i="19" s="1"/>
  <c r="AQ21" i="19"/>
  <c r="AS21" i="19"/>
  <c r="AS41" i="19"/>
  <c r="AQ41" i="19"/>
  <c r="AT41" i="19"/>
  <c r="AU41" i="19" s="1"/>
  <c r="AR41" i="19"/>
  <c r="AT13" i="19"/>
  <c r="AU13" i="19" s="1"/>
  <c r="AS13" i="19"/>
  <c r="AQ13" i="19"/>
  <c r="AR13" i="19"/>
  <c r="AT72" i="19"/>
  <c r="AU72" i="19" s="1"/>
  <c r="AS72" i="19"/>
  <c r="AQ72" i="19"/>
  <c r="AR72" i="19"/>
  <c r="AQ64" i="19"/>
  <c r="AS64" i="19"/>
  <c r="AT64" i="19"/>
  <c r="AU64" i="19" s="1"/>
  <c r="AR64" i="19"/>
  <c r="AR30" i="19"/>
  <c r="AT30" i="19"/>
  <c r="AU30" i="19" s="1"/>
  <c r="AQ30" i="19"/>
  <c r="AS30" i="19"/>
  <c r="AS27" i="19"/>
  <c r="AT27" i="19"/>
  <c r="AU27" i="19" s="1"/>
  <c r="AQ27" i="19"/>
  <c r="AR27" i="19"/>
  <c r="AT84" i="19"/>
  <c r="AU84" i="19" s="1"/>
  <c r="AS84" i="19"/>
  <c r="AQ84" i="19"/>
  <c r="AR84" i="19"/>
  <c r="AQ44" i="19"/>
  <c r="AT44" i="19"/>
  <c r="AU44" i="19" s="1"/>
  <c r="AS44" i="19"/>
  <c r="AR44" i="19"/>
  <c r="AQ48" i="19"/>
  <c r="AT48" i="19"/>
  <c r="AU48" i="19" s="1"/>
  <c r="AS48" i="19"/>
  <c r="AR48" i="19"/>
  <c r="AR55" i="19"/>
  <c r="AQ55" i="19"/>
  <c r="AT55" i="19"/>
  <c r="AU55" i="19" s="1"/>
  <c r="AS55" i="19"/>
  <c r="AR36" i="19"/>
  <c r="AQ36" i="19"/>
  <c r="AS36" i="19"/>
  <c r="AT36" i="19"/>
  <c r="AU36" i="19" s="1"/>
  <c r="AR61" i="19"/>
  <c r="AS61" i="19"/>
  <c r="AT61" i="19"/>
  <c r="AU61" i="19" s="1"/>
  <c r="AQ61" i="19"/>
  <c r="AR10" i="19"/>
  <c r="AT10" i="19"/>
  <c r="AU10" i="19" s="1"/>
  <c r="AQ10" i="19"/>
  <c r="AS10" i="19"/>
  <c r="AR82" i="19"/>
  <c r="AS82" i="19"/>
  <c r="AQ82" i="19"/>
  <c r="AT82" i="19"/>
  <c r="AU82" i="19" s="1"/>
  <c r="AS87" i="19"/>
  <c r="AQ87" i="19"/>
  <c r="AT87" i="19"/>
  <c r="AU87" i="19" s="1"/>
  <c r="AR87" i="19"/>
  <c r="AQ79" i="19"/>
  <c r="AT79" i="19"/>
  <c r="AU79" i="19" s="1"/>
  <c r="AS79" i="19"/>
  <c r="AR79" i="19"/>
  <c r="AR34" i="19"/>
  <c r="AQ34" i="19"/>
  <c r="AT34" i="19"/>
  <c r="AU34" i="19" s="1"/>
  <c r="AS34" i="19"/>
  <c r="AR46" i="19"/>
  <c r="AT46" i="19"/>
  <c r="AU46" i="19" s="1"/>
  <c r="AS46" i="19"/>
  <c r="AQ46" i="19"/>
  <c r="AR68" i="19"/>
  <c r="AT68" i="19"/>
  <c r="AU68" i="19" s="1"/>
  <c r="AQ68" i="19"/>
  <c r="AS68" i="19"/>
  <c r="AR23" i="19"/>
  <c r="AS23" i="19"/>
  <c r="AQ23" i="19"/>
  <c r="AT23" i="19"/>
  <c r="AU23" i="19" s="1"/>
  <c r="AT45" i="19"/>
  <c r="AU45" i="19" s="1"/>
  <c r="AQ45" i="19"/>
  <c r="AS45" i="19"/>
  <c r="AR45" i="19"/>
  <c r="AR20" i="19"/>
  <c r="AQ20" i="19"/>
  <c r="AT20" i="19"/>
  <c r="AU20" i="19" s="1"/>
  <c r="AS20" i="19"/>
  <c r="AR47" i="19"/>
  <c r="AS47" i="19"/>
  <c r="AQ47" i="19"/>
  <c r="AT47" i="19"/>
  <c r="AU47" i="19" s="1"/>
  <c r="AR54" i="19"/>
  <c r="AS54" i="19"/>
  <c r="AQ54" i="19"/>
  <c r="AT54" i="19"/>
  <c r="AU54" i="19" s="1"/>
  <c r="AR31" i="19"/>
  <c r="AQ31" i="19"/>
  <c r="AS31" i="19"/>
  <c r="AT31" i="19"/>
  <c r="AU31" i="19" s="1"/>
  <c r="AR33" i="19"/>
  <c r="AQ33" i="19"/>
  <c r="AT33" i="19"/>
  <c r="AU33" i="19" s="1"/>
  <c r="AS33" i="19"/>
  <c r="AR50" i="19"/>
  <c r="AS50" i="19"/>
  <c r="AT50" i="19"/>
  <c r="AU50" i="19" s="1"/>
  <c r="AQ50" i="19"/>
  <c r="AR25" i="19"/>
  <c r="AT25" i="19"/>
  <c r="AU25" i="19" s="1"/>
  <c r="AQ25" i="19"/>
  <c r="AS25" i="19"/>
  <c r="AT9" i="19"/>
  <c r="AU9" i="19" s="1"/>
  <c r="AS9" i="19"/>
  <c r="AQ9" i="19"/>
  <c r="AR9" i="19"/>
  <c r="AS81" i="19"/>
  <c r="AT81" i="19"/>
  <c r="AU81" i="19" s="1"/>
  <c r="AQ81" i="19"/>
  <c r="AR81" i="19"/>
  <c r="AS51" i="19"/>
  <c r="AQ51" i="19"/>
  <c r="AT51" i="19"/>
  <c r="AU51" i="19" s="1"/>
  <c r="AR51" i="19"/>
  <c r="AS58" i="19"/>
  <c r="AT58" i="19"/>
  <c r="AU58" i="19" s="1"/>
  <c r="AQ58" i="19"/>
  <c r="AR58" i="19"/>
  <c r="AT56" i="19"/>
  <c r="AU56" i="19" s="1"/>
  <c r="AQ56" i="19"/>
  <c r="AS56" i="19"/>
  <c r="AR56" i="19"/>
  <c r="AT53" i="19"/>
  <c r="AU53" i="19" s="1"/>
  <c r="AQ53" i="19"/>
  <c r="AS53" i="19"/>
  <c r="AR53" i="19"/>
  <c r="AR83" i="19"/>
  <c r="AQ83" i="19"/>
  <c r="AS83" i="19"/>
  <c r="AT83" i="19"/>
  <c r="AU83" i="19" s="1"/>
  <c r="AT69" i="19"/>
  <c r="AU69" i="19" s="1"/>
  <c r="AQ69" i="19"/>
  <c r="AS69" i="19"/>
  <c r="AR69" i="19"/>
  <c r="AR65" i="19"/>
  <c r="AQ65" i="19"/>
  <c r="AT65" i="19"/>
  <c r="AU65" i="19" s="1"/>
  <c r="AS65" i="19"/>
  <c r="AT67" i="19"/>
  <c r="AU67" i="19" s="1"/>
  <c r="AS67" i="19"/>
  <c r="AQ67" i="19"/>
  <c r="AR67" i="19"/>
  <c r="AS86" i="19"/>
  <c r="AT86" i="19"/>
  <c r="AU86" i="19" s="1"/>
  <c r="AQ86" i="19"/>
  <c r="AR86" i="19"/>
  <c r="AS29" i="19"/>
  <c r="AT29" i="19"/>
  <c r="AU29" i="19" s="1"/>
  <c r="AQ29" i="19"/>
  <c r="AR29" i="19"/>
  <c r="AQ77" i="19"/>
  <c r="AS77" i="19"/>
  <c r="AT77" i="19"/>
  <c r="AU77" i="19" s="1"/>
  <c r="AR77" i="19"/>
  <c r="AR62" i="19"/>
  <c r="AT62" i="19"/>
  <c r="AU62" i="19" s="1"/>
  <c r="AS62" i="19"/>
  <c r="AQ62" i="19"/>
  <c r="AR78" i="19"/>
  <c r="AS78" i="19"/>
  <c r="AQ78" i="19"/>
  <c r="AT78" i="19"/>
  <c r="AU78" i="19" s="1"/>
  <c r="AR18" i="19"/>
  <c r="AT18" i="19"/>
  <c r="AU18" i="19" s="1"/>
  <c r="AS18" i="19"/>
  <c r="AQ18" i="19"/>
  <c r="AR74" i="19"/>
  <c r="AQ74" i="19"/>
  <c r="AT74" i="19"/>
  <c r="AU74" i="19" s="1"/>
  <c r="AS74" i="19"/>
  <c r="AR26" i="19"/>
  <c r="AS26" i="19"/>
  <c r="AT26" i="19"/>
  <c r="AU26" i="19" s="1"/>
  <c r="AQ26" i="19"/>
  <c r="AT14" i="19"/>
  <c r="AU14" i="19" s="1"/>
  <c r="AS14" i="19"/>
  <c r="AQ14" i="19"/>
  <c r="AR14" i="19"/>
  <c r="AR15" i="19"/>
  <c r="AQ15" i="19"/>
  <c r="AT15" i="19"/>
  <c r="AU15" i="19" s="1"/>
  <c r="AS15" i="19"/>
  <c r="AR85" i="19"/>
  <c r="AS85" i="19"/>
  <c r="AQ85" i="19"/>
  <c r="AT85" i="19"/>
  <c r="AU85" i="19" s="1"/>
  <c r="AS16" i="19"/>
  <c r="AT16" i="19"/>
  <c r="AU16" i="19" s="1"/>
  <c r="AQ16" i="19"/>
  <c r="AR16" i="19"/>
  <c r="AR75" i="19"/>
  <c r="AS75" i="19"/>
  <c r="AT75" i="19"/>
  <c r="AU75" i="19" s="1"/>
  <c r="AQ75" i="19"/>
  <c r="AR63" i="19"/>
  <c r="AS63" i="19"/>
  <c r="AQ63" i="19"/>
  <c r="AT63" i="19"/>
  <c r="AU63" i="19" s="1"/>
  <c r="AR42" i="19"/>
  <c r="AQ42" i="19"/>
  <c r="AT42" i="19"/>
  <c r="AU42" i="19" s="1"/>
  <c r="AS42" i="19"/>
  <c r="AQ11" i="19"/>
  <c r="AT11" i="19"/>
  <c r="AU11" i="19" s="1"/>
  <c r="AS11" i="19"/>
  <c r="AR11" i="19"/>
  <c r="AR52" i="19"/>
  <c r="AS52" i="19"/>
  <c r="AT52" i="19"/>
  <c r="AU52" i="19" s="1"/>
  <c r="AQ52" i="19"/>
  <c r="AS71" i="19"/>
  <c r="AT71" i="19"/>
  <c r="AU71" i="19" s="1"/>
  <c r="AQ71" i="19"/>
  <c r="AR71" i="19"/>
  <c r="AT59" i="19"/>
  <c r="AU59" i="19" s="1"/>
  <c r="AQ59" i="19"/>
  <c r="AS59" i="19"/>
  <c r="AR59" i="19"/>
  <c r="AT17" i="19"/>
  <c r="AU17" i="19" s="1"/>
  <c r="AS17" i="19"/>
  <c r="AQ17" i="19"/>
  <c r="AR17" i="19"/>
  <c r="AR57" i="19"/>
  <c r="AT57" i="19"/>
  <c r="AU57" i="19" s="1"/>
  <c r="AS57" i="19"/>
  <c r="AQ57" i="19"/>
  <c r="AS12" i="19"/>
  <c r="AT12" i="19"/>
  <c r="AU12" i="19" s="1"/>
  <c r="AQ12" i="19"/>
  <c r="AR12" i="19"/>
  <c r="AS70" i="19"/>
  <c r="AQ70" i="19"/>
  <c r="AT70" i="19"/>
  <c r="AU70" i="19" s="1"/>
  <c r="AR70" i="19"/>
  <c r="AR80" i="19"/>
  <c r="AT80" i="19"/>
  <c r="AU80" i="19" s="1"/>
  <c r="AS80" i="19"/>
  <c r="AQ80" i="19"/>
  <c r="AT91" i="19"/>
  <c r="AU91" i="19" s="1"/>
  <c r="AQ91" i="19"/>
  <c r="AS91" i="19"/>
  <c r="AR91" i="19"/>
  <c r="AQ88" i="19"/>
  <c r="AT88" i="19"/>
  <c r="AU88" i="19" s="1"/>
  <c r="AS88" i="19"/>
  <c r="AR88" i="19"/>
  <c r="AR76" i="19"/>
  <c r="AS76" i="19"/>
  <c r="AT76" i="19"/>
  <c r="AU76" i="19" s="1"/>
  <c r="AQ76" i="19"/>
  <c r="AR22" i="19"/>
  <c r="AS22" i="19"/>
  <c r="AT22" i="19"/>
  <c r="AU22" i="19" s="1"/>
  <c r="AQ22" i="19"/>
  <c r="AQ19" i="19"/>
  <c r="AS19" i="19"/>
  <c r="AT19" i="19"/>
  <c r="AU19" i="19" s="1"/>
  <c r="AR19" i="19"/>
  <c r="AS60" i="19"/>
  <c r="AT60" i="19"/>
  <c r="AU60" i="19" s="1"/>
  <c r="AQ60" i="19"/>
  <c r="AR60" i="19"/>
  <c r="AR73" i="19"/>
  <c r="AQ73" i="19"/>
  <c r="AT73" i="19"/>
  <c r="AU73" i="19" s="1"/>
  <c r="AS73" i="19"/>
  <c r="AR35" i="19"/>
  <c r="AS35" i="19"/>
  <c r="AT35" i="19"/>
  <c r="AU35" i="19" s="1"/>
  <c r="AQ35" i="19"/>
  <c r="AQ24" i="19"/>
  <c r="AT24" i="19"/>
  <c r="AU24" i="19" s="1"/>
  <c r="AS24" i="19"/>
  <c r="AR24" i="19"/>
  <c r="AR37" i="19"/>
  <c r="AQ37" i="19"/>
  <c r="AS37" i="19"/>
  <c r="AT37" i="19"/>
  <c r="AU37" i="19" s="1"/>
  <c r="AT43" i="19"/>
  <c r="AU43" i="19" s="1"/>
  <c r="AS43" i="19"/>
  <c r="AQ43" i="19"/>
  <c r="AR43" i="19"/>
  <c r="AR90" i="19"/>
  <c r="AT90" i="19"/>
  <c r="AU90" i="19" s="1"/>
  <c r="AS90" i="19"/>
  <c r="AQ90" i="19"/>
  <c r="AR93" i="19" l="1"/>
  <c r="AQ93" i="19"/>
  <c r="AU93" i="19"/>
  <c r="AV59" i="19" s="1"/>
  <c r="AS93" i="19"/>
  <c r="AV63" i="19" l="1"/>
  <c r="AX90" i="19"/>
  <c r="AY90" i="19" s="1"/>
  <c r="AV50" i="19"/>
  <c r="AV41" i="19"/>
  <c r="AX41" i="19"/>
  <c r="AY41" i="19" s="1"/>
  <c r="AX46" i="19"/>
  <c r="AY46" i="19" s="1"/>
  <c r="AV30" i="19"/>
  <c r="AW27" i="19"/>
  <c r="AV21" i="19"/>
  <c r="AX50" i="19"/>
  <c r="AY50" i="19" s="1"/>
  <c r="AV46" i="19"/>
  <c r="AW23" i="19"/>
  <c r="AW36" i="19"/>
  <c r="AV55" i="19"/>
  <c r="AV13" i="19"/>
  <c r="AX12" i="19"/>
  <c r="AY12" i="19" s="1"/>
  <c r="AV10" i="19"/>
  <c r="AW78" i="19"/>
  <c r="AV56" i="19"/>
  <c r="AX27" i="19"/>
  <c r="AY27" i="19" s="1"/>
  <c r="AX36" i="19"/>
  <c r="AY36" i="19" s="1"/>
  <c r="AW91" i="19"/>
  <c r="AW54" i="19"/>
  <c r="AW18" i="19"/>
  <c r="AX10" i="19"/>
  <c r="AY10" i="19" s="1"/>
  <c r="AV86" i="19"/>
  <c r="AX66" i="19"/>
  <c r="AY66" i="19" s="1"/>
  <c r="AX21" i="19"/>
  <c r="AY21" i="19" s="1"/>
  <c r="AW21" i="19"/>
  <c r="AV69" i="19"/>
  <c r="AW71" i="19"/>
  <c r="AV78" i="19"/>
  <c r="AX55" i="19"/>
  <c r="AY55" i="19" s="1"/>
  <c r="AX64" i="19"/>
  <c r="AY64" i="19" s="1"/>
  <c r="AW12" i="19"/>
  <c r="AX78" i="19"/>
  <c r="AX61" i="19"/>
  <c r="AX26" i="19"/>
  <c r="AY26" i="19" s="1"/>
  <c r="AW64" i="19"/>
  <c r="AV12" i="19"/>
  <c r="AX68" i="19"/>
  <c r="AY68" i="19" s="1"/>
  <c r="AW74" i="19"/>
  <c r="AW14" i="19"/>
  <c r="AV36" i="19"/>
  <c r="AX54" i="19"/>
  <c r="AY54" i="19" s="1"/>
  <c r="AV82" i="19"/>
  <c r="AV15" i="19"/>
  <c r="AV27" i="19"/>
  <c r="AX88" i="19"/>
  <c r="AW31" i="19"/>
  <c r="AX23" i="19"/>
  <c r="AW79" i="19"/>
  <c r="AW90" i="19"/>
  <c r="AV79" i="19"/>
  <c r="AX22" i="19"/>
  <c r="AY22" i="19" s="1"/>
  <c r="AV11" i="19"/>
  <c r="AX37" i="19"/>
  <c r="AW88" i="19"/>
  <c r="AX44" i="19"/>
  <c r="AY44" i="19" s="1"/>
  <c r="AW52" i="19"/>
  <c r="AX87" i="19"/>
  <c r="AY87" i="19" s="1"/>
  <c r="AW53" i="19"/>
  <c r="AV35" i="19"/>
  <c r="AV57" i="19"/>
  <c r="AV87" i="19"/>
  <c r="AV53" i="19"/>
  <c r="AV49" i="19"/>
  <c r="AW92" i="19"/>
  <c r="AX30" i="19"/>
  <c r="AY30" i="19" s="1"/>
  <c r="AX45" i="19"/>
  <c r="AY45" i="19" s="1"/>
  <c r="AW61" i="19"/>
  <c r="AV23" i="19"/>
  <c r="AX25" i="19"/>
  <c r="AY25" i="19" s="1"/>
  <c r="AX81" i="19"/>
  <c r="AY81" i="19" s="1"/>
  <c r="AW38" i="19"/>
  <c r="AW81" i="19"/>
  <c r="AX17" i="19"/>
  <c r="AW86" i="19"/>
  <c r="AX51" i="19"/>
  <c r="AY51" i="19" s="1"/>
  <c r="AV20" i="19"/>
  <c r="AW51" i="19"/>
  <c r="AW20" i="19"/>
  <c r="AW77" i="19"/>
  <c r="AW33" i="19"/>
  <c r="AW28" i="19"/>
  <c r="AW48" i="19"/>
  <c r="AX57" i="19"/>
  <c r="AY57" i="19" s="1"/>
  <c r="AV40" i="19"/>
  <c r="AX15" i="19"/>
  <c r="AY15" i="19" s="1"/>
  <c r="AX73" i="19"/>
  <c r="AY73" i="19" s="1"/>
  <c r="AW15" i="19"/>
  <c r="AV39" i="19"/>
  <c r="AV73" i="19"/>
  <c r="AX85" i="19"/>
  <c r="AV45" i="19"/>
  <c r="AW34" i="19"/>
  <c r="AV52" i="19"/>
  <c r="AX42" i="19"/>
  <c r="AY42" i="19" s="1"/>
  <c r="AW89" i="19"/>
  <c r="AX80" i="19"/>
  <c r="AY80" i="19" s="1"/>
  <c r="AX48" i="19"/>
  <c r="AY48" i="19" s="1"/>
  <c r="AV80" i="19"/>
  <c r="AX16" i="19"/>
  <c r="AY16" i="19" s="1"/>
  <c r="AV22" i="19"/>
  <c r="AX18" i="19"/>
  <c r="AY18" i="19" s="1"/>
  <c r="AW58" i="19"/>
  <c r="AV34" i="19"/>
  <c r="AW26" i="19"/>
  <c r="AW72" i="19"/>
  <c r="AW37" i="19"/>
  <c r="AV17" i="19"/>
  <c r="AV72" i="19"/>
  <c r="AX82" i="19"/>
  <c r="AY82" i="19" s="1"/>
  <c r="AX49" i="19"/>
  <c r="AV38" i="19"/>
  <c r="AW13" i="19"/>
  <c r="AV43" i="19"/>
  <c r="AW82" i="19"/>
  <c r="AX38" i="19"/>
  <c r="AW69" i="19"/>
  <c r="AV90" i="19"/>
  <c r="AX74" i="19"/>
  <c r="AY74" i="19" s="1"/>
  <c r="AV74" i="19"/>
  <c r="AW46" i="19"/>
  <c r="AV29" i="19"/>
  <c r="AX47" i="19"/>
  <c r="AY47" i="19" s="1"/>
  <c r="AV37" i="19"/>
  <c r="AW44" i="19"/>
  <c r="AV89" i="19"/>
  <c r="AV60" i="19"/>
  <c r="AV83" i="19"/>
  <c r="AW60" i="19"/>
  <c r="AX34" i="19"/>
  <c r="AY34" i="19" s="1"/>
  <c r="AV88" i="19"/>
  <c r="AV51" i="19"/>
  <c r="AX52" i="19"/>
  <c r="AY52" i="19" s="1"/>
  <c r="AV54" i="19"/>
  <c r="AW84" i="19"/>
  <c r="AX53" i="19"/>
  <c r="AY53" i="19" s="1"/>
  <c r="AW35" i="19"/>
  <c r="AW17" i="19"/>
  <c r="AX14" i="19"/>
  <c r="AY14" i="19" s="1"/>
  <c r="AW75" i="19"/>
  <c r="AW41" i="19"/>
  <c r="AX69" i="19"/>
  <c r="AY69" i="19" s="1"/>
  <c r="AV14" i="19"/>
  <c r="AV75" i="19"/>
  <c r="AW39" i="19"/>
  <c r="AX79" i="19"/>
  <c r="AY79" i="19" s="1"/>
  <c r="AV70" i="19"/>
  <c r="AV64" i="19"/>
  <c r="AX20" i="19"/>
  <c r="AY20" i="19" s="1"/>
  <c r="AW45" i="19"/>
  <c r="AX58" i="19"/>
  <c r="AY58" i="19" s="1"/>
  <c r="AX86" i="19"/>
  <c r="AY86" i="19" s="1"/>
  <c r="AX31" i="19"/>
  <c r="AY31" i="19" s="1"/>
  <c r="AV31" i="19"/>
  <c r="AV66" i="19"/>
  <c r="AX67" i="19"/>
  <c r="AY67" i="19" s="1"/>
  <c r="AW76" i="19"/>
  <c r="AX84" i="19"/>
  <c r="AY84" i="19" s="1"/>
  <c r="AV67" i="19"/>
  <c r="AV76" i="19"/>
  <c r="AX28" i="19"/>
  <c r="AY28" i="19" s="1"/>
  <c r="AV48" i="19"/>
  <c r="AW80" i="19"/>
  <c r="AV26" i="19"/>
  <c r="AW40" i="19"/>
  <c r="AV47" i="19"/>
  <c r="AW70" i="19"/>
  <c r="AV16" i="19"/>
  <c r="AW50" i="19"/>
  <c r="AX29" i="19"/>
  <c r="AY29" i="19" s="1"/>
  <c r="AV32" i="19"/>
  <c r="AV61" i="19"/>
  <c r="AV19" i="19"/>
  <c r="AX72" i="19"/>
  <c r="AY72" i="19" s="1"/>
  <c r="AW55" i="19"/>
  <c r="AX91" i="19"/>
  <c r="AY91" i="19" s="1"/>
  <c r="AX11" i="19"/>
  <c r="AY11" i="19" s="1"/>
  <c r="AV85" i="19"/>
  <c r="AW11" i="19"/>
  <c r="AW85" i="19"/>
  <c r="AV84" i="19"/>
  <c r="AW67" i="19"/>
  <c r="AX35" i="19"/>
  <c r="AY35" i="19" s="1"/>
  <c r="AV9" i="19"/>
  <c r="AV77" i="19"/>
  <c r="AX75" i="19"/>
  <c r="AY75" i="19" s="1"/>
  <c r="AV28" i="19"/>
  <c r="AX59" i="19"/>
  <c r="AV25" i="19"/>
  <c r="AX63" i="19"/>
  <c r="AY63" i="19" s="1"/>
  <c r="AX56" i="19"/>
  <c r="AY56" i="19" s="1"/>
  <c r="AW59" i="19"/>
  <c r="AW25" i="19"/>
  <c r="AX39" i="19"/>
  <c r="AW32" i="19"/>
  <c r="AW63" i="19"/>
  <c r="AW56" i="19"/>
  <c r="AX60" i="19"/>
  <c r="AY60" i="19" s="1"/>
  <c r="AW83" i="19"/>
  <c r="AV44" i="19"/>
  <c r="AX92" i="19"/>
  <c r="AW43" i="19"/>
  <c r="AX33" i="19"/>
  <c r="AY33" i="19" s="1"/>
  <c r="AX77" i="19"/>
  <c r="AY77" i="19" s="1"/>
  <c r="AV33" i="19"/>
  <c r="AX40" i="19"/>
  <c r="AY40" i="19" s="1"/>
  <c r="AW47" i="19"/>
  <c r="AX70" i="19"/>
  <c r="AY70" i="19" s="1"/>
  <c r="AW16" i="19"/>
  <c r="AW22" i="19"/>
  <c r="AW24" i="19"/>
  <c r="AV58" i="19"/>
  <c r="AX62" i="19"/>
  <c r="AY62" i="19" s="1"/>
  <c r="AV18" i="19"/>
  <c r="AV24" i="19"/>
  <c r="AX71" i="19"/>
  <c r="AW62" i="19"/>
  <c r="AX32" i="19"/>
  <c r="AV92" i="19"/>
  <c r="AW65" i="19"/>
  <c r="AW66" i="19"/>
  <c r="AV71" i="19"/>
  <c r="AX76" i="19"/>
  <c r="AW49" i="19"/>
  <c r="AV42" i="19"/>
  <c r="AW87" i="19"/>
  <c r="AV91" i="19"/>
  <c r="AY78" i="19"/>
  <c r="AV62" i="19"/>
  <c r="AX89" i="19"/>
  <c r="AY89" i="19" s="1"/>
  <c r="AV81" i="19"/>
  <c r="AX19" i="19"/>
  <c r="AY19" i="19" s="1"/>
  <c r="AW10" i="19"/>
  <c r="AX83" i="19"/>
  <c r="AY83" i="19" s="1"/>
  <c r="AW42" i="19"/>
  <c r="AX9" i="19"/>
  <c r="AW19" i="19"/>
  <c r="AY61" i="19"/>
  <c r="AW68" i="19"/>
  <c r="AX65" i="19"/>
  <c r="AW57" i="19"/>
  <c r="AW9" i="19"/>
  <c r="AX43" i="19"/>
  <c r="AX13" i="19"/>
  <c r="AY13" i="19" s="1"/>
  <c r="AW29" i="19"/>
  <c r="AW30" i="19"/>
  <c r="AV68" i="19"/>
  <c r="AV65" i="19"/>
  <c r="AW73" i="19"/>
  <c r="AX24" i="19"/>
  <c r="AY24" i="19" s="1"/>
  <c r="AY88" i="19" l="1"/>
  <c r="AY76" i="19"/>
  <c r="BA49" i="19"/>
  <c r="AY49" i="19"/>
  <c r="AY37" i="19"/>
  <c r="AY59" i="19"/>
  <c r="AY38" i="19"/>
  <c r="BA38" i="19"/>
  <c r="AY85" i="19"/>
  <c r="AY65" i="19"/>
  <c r="AY32" i="19"/>
  <c r="BA32" i="19"/>
  <c r="AY39" i="19"/>
  <c r="BA39" i="19"/>
  <c r="AW93" i="19"/>
  <c r="BA17" i="19"/>
  <c r="AY17" i="19"/>
  <c r="AY9" i="19"/>
  <c r="AX93" i="19"/>
  <c r="AY92" i="19"/>
  <c r="BA92" i="19"/>
  <c r="AY43" i="19"/>
  <c r="AY71" i="19"/>
  <c r="BA71" i="19"/>
  <c r="AV93" i="19"/>
  <c r="AY23" i="19"/>
  <c r="BA6" i="19" l="1"/>
  <c r="BA9" i="19" s="1"/>
  <c r="AY93" i="19"/>
  <c r="AY94" i="19" s="1"/>
  <c r="BC38" i="19"/>
  <c r="BD38" i="19"/>
  <c r="BB38" i="19"/>
  <c r="BE38" i="19"/>
  <c r="BF38" i="19" s="1"/>
  <c r="BC49" i="19"/>
  <c r="BD49" i="19"/>
  <c r="BB49" i="19"/>
  <c r="BE49" i="19"/>
  <c r="BF49" i="19" s="1"/>
  <c r="BB39" i="19"/>
  <c r="BD39" i="19"/>
  <c r="BE39" i="19"/>
  <c r="BF39" i="19" s="1"/>
  <c r="BC39" i="19"/>
  <c r="BC32" i="19"/>
  <c r="BE32" i="19"/>
  <c r="BF32" i="19" s="1"/>
  <c r="BD32" i="19"/>
  <c r="BB32" i="19"/>
  <c r="BC71" i="19"/>
  <c r="BB71" i="19"/>
  <c r="BE71" i="19"/>
  <c r="BF71" i="19" s="1"/>
  <c r="BD71" i="19"/>
  <c r="BE17" i="19"/>
  <c r="BF17" i="19" s="1"/>
  <c r="BB17" i="19"/>
  <c r="BD17" i="19"/>
  <c r="BC17" i="19"/>
  <c r="BC92" i="19"/>
  <c r="BB92" i="19"/>
  <c r="BD92" i="19"/>
  <c r="BE92" i="19"/>
  <c r="BF92" i="19" s="1"/>
  <c r="BA61" i="19" l="1"/>
  <c r="BA85" i="19"/>
  <c r="BA78" i="19"/>
  <c r="BA88" i="19"/>
  <c r="BA59" i="19"/>
  <c r="BA43" i="19"/>
  <c r="BA66" i="19"/>
  <c r="BA76" i="19"/>
  <c r="BA37" i="19"/>
  <c r="BA65" i="19"/>
  <c r="BA64" i="19"/>
  <c r="BA12" i="19"/>
  <c r="BA55" i="19"/>
  <c r="BE55" i="19" s="1"/>
  <c r="BF55" i="19" s="1"/>
  <c r="BA23" i="19"/>
  <c r="BA79" i="19"/>
  <c r="BC79" i="19" s="1"/>
  <c r="BA91" i="19"/>
  <c r="BD91" i="19" s="1"/>
  <c r="BA15" i="19"/>
  <c r="BB15" i="19" s="1"/>
  <c r="BA56" i="19"/>
  <c r="BE56" i="19" s="1"/>
  <c r="BF56" i="19" s="1"/>
  <c r="BA47" i="19"/>
  <c r="BE47" i="19" s="1"/>
  <c r="BF47" i="19" s="1"/>
  <c r="BA75" i="19"/>
  <c r="BC75" i="19" s="1"/>
  <c r="BA46" i="19"/>
  <c r="BE46" i="19" s="1"/>
  <c r="BF46" i="19" s="1"/>
  <c r="BA87" i="19"/>
  <c r="BC87" i="19" s="1"/>
  <c r="BA90" i="19"/>
  <c r="BE90" i="19" s="1"/>
  <c r="BF90" i="19" s="1"/>
  <c r="BA25" i="19"/>
  <c r="BB25" i="19" s="1"/>
  <c r="BA54" i="19"/>
  <c r="BB54" i="19" s="1"/>
  <c r="BA14" i="19"/>
  <c r="BC14" i="19" s="1"/>
  <c r="BA16" i="19"/>
  <c r="BE16" i="19" s="1"/>
  <c r="BF16" i="19" s="1"/>
  <c r="BA35" i="19"/>
  <c r="BB35" i="19" s="1"/>
  <c r="BA81" i="19"/>
  <c r="BD81" i="19" s="1"/>
  <c r="BA33" i="19"/>
  <c r="BC33" i="19" s="1"/>
  <c r="BA27" i="19"/>
  <c r="BD27" i="19" s="1"/>
  <c r="BA13" i="19"/>
  <c r="BB13" i="19" s="1"/>
  <c r="BA60" i="19"/>
  <c r="BD60" i="19" s="1"/>
  <c r="BA74" i="19"/>
  <c r="BD74" i="19" s="1"/>
  <c r="BA24" i="19"/>
  <c r="BD24" i="19" s="1"/>
  <c r="BA82" i="19"/>
  <c r="BC82" i="19" s="1"/>
  <c r="BA77" i="19"/>
  <c r="BC77" i="19" s="1"/>
  <c r="BA40" i="19"/>
  <c r="BD40" i="19" s="1"/>
  <c r="BA34" i="19"/>
  <c r="BC34" i="19" s="1"/>
  <c r="BA80" i="19"/>
  <c r="BD80" i="19" s="1"/>
  <c r="BA89" i="19"/>
  <c r="BC89" i="19" s="1"/>
  <c r="BA48" i="19"/>
  <c r="BD48" i="19" s="1"/>
  <c r="BA10" i="19"/>
  <c r="BB10" i="19" s="1"/>
  <c r="BA58" i="19"/>
  <c r="BC58" i="19" s="1"/>
  <c r="BA51" i="19"/>
  <c r="BB51" i="19" s="1"/>
  <c r="BA73" i="19"/>
  <c r="BB73" i="19" s="1"/>
  <c r="BA30" i="19"/>
  <c r="BD30" i="19" s="1"/>
  <c r="BA70" i="19"/>
  <c r="BB70" i="19" s="1"/>
  <c r="BA31" i="19"/>
  <c r="BD31" i="19" s="1"/>
  <c r="BA21" i="19"/>
  <c r="BB21" i="19" s="1"/>
  <c r="BA68" i="19"/>
  <c r="BB68" i="19" s="1"/>
  <c r="BA11" i="19"/>
  <c r="BE11" i="19" s="1"/>
  <c r="BF11" i="19" s="1"/>
  <c r="BA45" i="19"/>
  <c r="BC45" i="19" s="1"/>
  <c r="BA63" i="19"/>
  <c r="BB63" i="19" s="1"/>
  <c r="BA84" i="19"/>
  <c r="BC84" i="19" s="1"/>
  <c r="BA18" i="19"/>
  <c r="BD18" i="19" s="1"/>
  <c r="BA26" i="19"/>
  <c r="BC26" i="19" s="1"/>
  <c r="BA41" i="19"/>
  <c r="BD41" i="19" s="1"/>
  <c r="BA69" i="19"/>
  <c r="BB69" i="19" s="1"/>
  <c r="BA72" i="19"/>
  <c r="BB72" i="19" s="1"/>
  <c r="BA57" i="19"/>
  <c r="BB57" i="19" s="1"/>
  <c r="BA44" i="19"/>
  <c r="BD44" i="19" s="1"/>
  <c r="BA86" i="19"/>
  <c r="BC86" i="19" s="1"/>
  <c r="BA53" i="19"/>
  <c r="BC53" i="19" s="1"/>
  <c r="BA36" i="19"/>
  <c r="BC36" i="19" s="1"/>
  <c r="BA83" i="19"/>
  <c r="BB83" i="19" s="1"/>
  <c r="BA22" i="19"/>
  <c r="BC22" i="19" s="1"/>
  <c r="BA42" i="19"/>
  <c r="BC42" i="19" s="1"/>
  <c r="BA29" i="19"/>
  <c r="BD29" i="19" s="1"/>
  <c r="BA28" i="19"/>
  <c r="BD28" i="19" s="1"/>
  <c r="BA19" i="19"/>
  <c r="BD19" i="19" s="1"/>
  <c r="BA67" i="19"/>
  <c r="BC67" i="19" s="1"/>
  <c r="BA50" i="19"/>
  <c r="BE50" i="19" s="1"/>
  <c r="BF50" i="19" s="1"/>
  <c r="BA20" i="19"/>
  <c r="BA52" i="19"/>
  <c r="BA62" i="19"/>
  <c r="BB9" i="19"/>
  <c r="BD9" i="19"/>
  <c r="BE9" i="19"/>
  <c r="BF9" i="19" s="1"/>
  <c r="BC9" i="19"/>
  <c r="BC55" i="19" l="1"/>
  <c r="BD55" i="19"/>
  <c r="BB55" i="19"/>
  <c r="BE54" i="19"/>
  <c r="BF54" i="19" s="1"/>
  <c r="BC15" i="19"/>
  <c r="BD90" i="19"/>
  <c r="BB79" i="19"/>
  <c r="BE91" i="19"/>
  <c r="BF91" i="19" s="1"/>
  <c r="BC25" i="19"/>
  <c r="BB85" i="19"/>
  <c r="BE85" i="19"/>
  <c r="BF85" i="19" s="1"/>
  <c r="BC85" i="19"/>
  <c r="BD85" i="19"/>
  <c r="BC91" i="19"/>
  <c r="BB61" i="19"/>
  <c r="BD61" i="19"/>
  <c r="BE61" i="19"/>
  <c r="BF61" i="19" s="1"/>
  <c r="BC61" i="19"/>
  <c r="BE21" i="19"/>
  <c r="BF21" i="19" s="1"/>
  <c r="BB56" i="19"/>
  <c r="BD56" i="19"/>
  <c r="BC74" i="19"/>
  <c r="BC56" i="19"/>
  <c r="BB65" i="19"/>
  <c r="BD65" i="19"/>
  <c r="BE65" i="19"/>
  <c r="BF65" i="19" s="1"/>
  <c r="BC65" i="19"/>
  <c r="BE37" i="19"/>
  <c r="BF37" i="19" s="1"/>
  <c r="BC37" i="19"/>
  <c r="BD37" i="19"/>
  <c r="BB37" i="19"/>
  <c r="BE76" i="19"/>
  <c r="BF76" i="19" s="1"/>
  <c r="BB76" i="19"/>
  <c r="BD76" i="19"/>
  <c r="BC76" i="19"/>
  <c r="BB66" i="19"/>
  <c r="BE66" i="19"/>
  <c r="BF66" i="19" s="1"/>
  <c r="BC66" i="19"/>
  <c r="BD66" i="19"/>
  <c r="BD43" i="19"/>
  <c r="BB43" i="19"/>
  <c r="BE43" i="19"/>
  <c r="BF43" i="19" s="1"/>
  <c r="BC43" i="19"/>
  <c r="BD59" i="19"/>
  <c r="BE59" i="19"/>
  <c r="BF59" i="19" s="1"/>
  <c r="BC59" i="19"/>
  <c r="BB59" i="19"/>
  <c r="BC12" i="19"/>
  <c r="BE12" i="19"/>
  <c r="BF12" i="19" s="1"/>
  <c r="BD12" i="19"/>
  <c r="BB12" i="19"/>
  <c r="BB88" i="19"/>
  <c r="BD88" i="19"/>
  <c r="BE88" i="19"/>
  <c r="BF88" i="19" s="1"/>
  <c r="BC88" i="19"/>
  <c r="BD64" i="19"/>
  <c r="BE64" i="19"/>
  <c r="BF64" i="19" s="1"/>
  <c r="BC64" i="19"/>
  <c r="BB64" i="19"/>
  <c r="BB78" i="19"/>
  <c r="BD78" i="19"/>
  <c r="BC78" i="19"/>
  <c r="BE78" i="19"/>
  <c r="BF78" i="19" s="1"/>
  <c r="BB47" i="19"/>
  <c r="BE23" i="19"/>
  <c r="BF23" i="19" s="1"/>
  <c r="BC23" i="19"/>
  <c r="BD23" i="19"/>
  <c r="BB23" i="19"/>
  <c r="BE89" i="19"/>
  <c r="BF89" i="19" s="1"/>
  <c r="BC47" i="19"/>
  <c r="BD89" i="19"/>
  <c r="BB60" i="19"/>
  <c r="BC60" i="19"/>
  <c r="BB91" i="19"/>
  <c r="BE15" i="19"/>
  <c r="BF15" i="19" s="1"/>
  <c r="BD26" i="19"/>
  <c r="BD54" i="19"/>
  <c r="BD25" i="19"/>
  <c r="BC54" i="19"/>
  <c r="BD15" i="19"/>
  <c r="BB26" i="19"/>
  <c r="BE25" i="19"/>
  <c r="BF25" i="19" s="1"/>
  <c r="BB31" i="19"/>
  <c r="BE60" i="19"/>
  <c r="BF60" i="19" s="1"/>
  <c r="BD16" i="19"/>
  <c r="BD10" i="19"/>
  <c r="BD79" i="19"/>
  <c r="BE79" i="19"/>
  <c r="BF79" i="19" s="1"/>
  <c r="BB90" i="19"/>
  <c r="BC90" i="19"/>
  <c r="BD69" i="19"/>
  <c r="BE75" i="19"/>
  <c r="BF75" i="19" s="1"/>
  <c r="BD75" i="19"/>
  <c r="BB75" i="19"/>
  <c r="BD47" i="19"/>
  <c r="BC46" i="19"/>
  <c r="BD33" i="19"/>
  <c r="BE33" i="19"/>
  <c r="BF33" i="19" s="1"/>
  <c r="BB40" i="19"/>
  <c r="BE87" i="19"/>
  <c r="BF87" i="19" s="1"/>
  <c r="BB33" i="19"/>
  <c r="BD46" i="19"/>
  <c r="BB46" i="19"/>
  <c r="BB87" i="19"/>
  <c r="BD87" i="19"/>
  <c r="BE27" i="19"/>
  <c r="BF27" i="19" s="1"/>
  <c r="BE31" i="19"/>
  <c r="BF31" i="19" s="1"/>
  <c r="BB89" i="19"/>
  <c r="BE34" i="19"/>
  <c r="BF34" i="19" s="1"/>
  <c r="BB74" i="19"/>
  <c r="BC21" i="19"/>
  <c r="BE74" i="19"/>
  <c r="BF74" i="19" s="1"/>
  <c r="BB48" i="19"/>
  <c r="BE14" i="19"/>
  <c r="BF14" i="19" s="1"/>
  <c r="BC41" i="19"/>
  <c r="BE41" i="19"/>
  <c r="BF41" i="19" s="1"/>
  <c r="BC48" i="19"/>
  <c r="BB14" i="19"/>
  <c r="BD21" i="19"/>
  <c r="BD14" i="19"/>
  <c r="BB41" i="19"/>
  <c r="BE48" i="19"/>
  <c r="BF48" i="19" s="1"/>
  <c r="BB34" i="19"/>
  <c r="BE26" i="19"/>
  <c r="BF26" i="19" s="1"/>
  <c r="BC10" i="19"/>
  <c r="BC68" i="19"/>
  <c r="BB16" i="19"/>
  <c r="BD68" i="19"/>
  <c r="BE22" i="19"/>
  <c r="BF22" i="19" s="1"/>
  <c r="BE68" i="19"/>
  <c r="BF68" i="19" s="1"/>
  <c r="BB24" i="19"/>
  <c r="BD22" i="19"/>
  <c r="BC69" i="19"/>
  <c r="BB22" i="19"/>
  <c r="BE24" i="19"/>
  <c r="BF24" i="19" s="1"/>
  <c r="BC24" i="19"/>
  <c r="BE10" i="19"/>
  <c r="BF10" i="19" s="1"/>
  <c r="BE69" i="19"/>
  <c r="BF69" i="19" s="1"/>
  <c r="BC16" i="19"/>
  <c r="BC50" i="19"/>
  <c r="BD35" i="19"/>
  <c r="BE35" i="19"/>
  <c r="BF35" i="19" s="1"/>
  <c r="BC35" i="19"/>
  <c r="BB81" i="19"/>
  <c r="BC81" i="19"/>
  <c r="BE81" i="19"/>
  <c r="BF81" i="19" s="1"/>
  <c r="BD34" i="19"/>
  <c r="BC27" i="19"/>
  <c r="BD13" i="19"/>
  <c r="BC13" i="19"/>
  <c r="BE13" i="19"/>
  <c r="BF13" i="19" s="1"/>
  <c r="BB27" i="19"/>
  <c r="BC31" i="19"/>
  <c r="BD82" i="19"/>
  <c r="BB82" i="19"/>
  <c r="BB77" i="19"/>
  <c r="BE82" i="19"/>
  <c r="BF82" i="19" s="1"/>
  <c r="BE77" i="19"/>
  <c r="BF77" i="19" s="1"/>
  <c r="BD73" i="19"/>
  <c r="BC40" i="19"/>
  <c r="BC73" i="19"/>
  <c r="BE40" i="19"/>
  <c r="BF40" i="19" s="1"/>
  <c r="BE73" i="19"/>
  <c r="BF73" i="19" s="1"/>
  <c r="BE53" i="19"/>
  <c r="BF53" i="19" s="1"/>
  <c r="BD70" i="19"/>
  <c r="BD77" i="19"/>
  <c r="BC80" i="19"/>
  <c r="BD58" i="19"/>
  <c r="BE80" i="19"/>
  <c r="BF80" i="19" s="1"/>
  <c r="BB80" i="19"/>
  <c r="BD51" i="19"/>
  <c r="BB45" i="19"/>
  <c r="BC51" i="19"/>
  <c r="BB58" i="19"/>
  <c r="BB84" i="19"/>
  <c r="BE51" i="19"/>
  <c r="BF51" i="19" s="1"/>
  <c r="BE84" i="19"/>
  <c r="BF84" i="19" s="1"/>
  <c r="BD53" i="19"/>
  <c r="BC70" i="19"/>
  <c r="BD84" i="19"/>
  <c r="BC18" i="19"/>
  <c r="BB18" i="19"/>
  <c r="BC30" i="19"/>
  <c r="BE18" i="19"/>
  <c r="BF18" i="19" s="1"/>
  <c r="BB30" i="19"/>
  <c r="BE70" i="19"/>
  <c r="BF70" i="19" s="1"/>
  <c r="BE67" i="19"/>
  <c r="BF67" i="19" s="1"/>
  <c r="BE30" i="19"/>
  <c r="BF30" i="19" s="1"/>
  <c r="BE58" i="19"/>
  <c r="BF58" i="19" s="1"/>
  <c r="BB53" i="19"/>
  <c r="BD86" i="19"/>
  <c r="BE86" i="19"/>
  <c r="BF86" i="19" s="1"/>
  <c r="BB86" i="19"/>
  <c r="BD57" i="19"/>
  <c r="BD45" i="19"/>
  <c r="BE45" i="19"/>
  <c r="BF45" i="19" s="1"/>
  <c r="BD63" i="19"/>
  <c r="BE63" i="19"/>
  <c r="BF63" i="19" s="1"/>
  <c r="BB11" i="19"/>
  <c r="BC63" i="19"/>
  <c r="BD11" i="19"/>
  <c r="BC19" i="19"/>
  <c r="BE57" i="19"/>
  <c r="BF57" i="19" s="1"/>
  <c r="BC11" i="19"/>
  <c r="BE19" i="19"/>
  <c r="BF19" i="19" s="1"/>
  <c r="BB19" i="19"/>
  <c r="BC72" i="19"/>
  <c r="BD72" i="19"/>
  <c r="BE42" i="19"/>
  <c r="BF42" i="19" s="1"/>
  <c r="BC57" i="19"/>
  <c r="BE72" i="19"/>
  <c r="BF72" i="19" s="1"/>
  <c r="BE44" i="19"/>
  <c r="BF44" i="19" s="1"/>
  <c r="BB42" i="19"/>
  <c r="BE36" i="19"/>
  <c r="BF36" i="19" s="1"/>
  <c r="BB36" i="19"/>
  <c r="BD36" i="19"/>
  <c r="BB44" i="19"/>
  <c r="BC44" i="19"/>
  <c r="BE83" i="19"/>
  <c r="BF83" i="19" s="1"/>
  <c r="BD83" i="19"/>
  <c r="BC83" i="19"/>
  <c r="BC28" i="19"/>
  <c r="BB28" i="19"/>
  <c r="BE28" i="19"/>
  <c r="BF28" i="19" s="1"/>
  <c r="BC29" i="19"/>
  <c r="BB29" i="19"/>
  <c r="BD42" i="19"/>
  <c r="BE29" i="19"/>
  <c r="BF29" i="19" s="1"/>
  <c r="BB50" i="19"/>
  <c r="BB67" i="19"/>
  <c r="BD50" i="19"/>
  <c r="BD67" i="19"/>
  <c r="BC62" i="19"/>
  <c r="BE62" i="19"/>
  <c r="BF62" i="19" s="1"/>
  <c r="BD62" i="19"/>
  <c r="BB62" i="19"/>
  <c r="BB52" i="19"/>
  <c r="BE52" i="19"/>
  <c r="BF52" i="19" s="1"/>
  <c r="BC52" i="19"/>
  <c r="BD52" i="19"/>
  <c r="BC20" i="19"/>
  <c r="BD20" i="19"/>
  <c r="BB20" i="19"/>
  <c r="BE20" i="19"/>
  <c r="BF20" i="19" s="1"/>
  <c r="BB93" i="19" l="1"/>
  <c r="BD93" i="19"/>
  <c r="BF93" i="19"/>
  <c r="BH91" i="19" s="1"/>
  <c r="BC93" i="19"/>
  <c r="BG68" i="19" l="1"/>
  <c r="BG53" i="19"/>
  <c r="BI82" i="19"/>
  <c r="BH72" i="19"/>
  <c r="BI67" i="19"/>
  <c r="BJ67" i="19" s="1"/>
  <c r="BG29" i="19"/>
  <c r="BI22" i="19"/>
  <c r="BJ22" i="19" s="1"/>
  <c r="BH83" i="19"/>
  <c r="BG91" i="19"/>
  <c r="BH16" i="19"/>
  <c r="BH25" i="19"/>
  <c r="BI32" i="19"/>
  <c r="BL32" i="19" s="1"/>
  <c r="BH74" i="19"/>
  <c r="BH79" i="19"/>
  <c r="BG69" i="19"/>
  <c r="BH19" i="19"/>
  <c r="BG35" i="19"/>
  <c r="BG18" i="19"/>
  <c r="BG51" i="19"/>
  <c r="BG16" i="19"/>
  <c r="BH51" i="19"/>
  <c r="BI34" i="19"/>
  <c r="BJ34" i="19" s="1"/>
  <c r="BI89" i="19"/>
  <c r="BJ89" i="19" s="1"/>
  <c r="BG47" i="19"/>
  <c r="BH18" i="19"/>
  <c r="BH10" i="19"/>
  <c r="BI55" i="19"/>
  <c r="BI45" i="19"/>
  <c r="BJ45" i="19" s="1"/>
  <c r="BH86" i="19"/>
  <c r="BG50" i="19"/>
  <c r="BG73" i="19"/>
  <c r="BH45" i="19"/>
  <c r="BG42" i="19"/>
  <c r="BH17" i="19"/>
  <c r="BG86" i="19"/>
  <c r="BG10" i="19"/>
  <c r="BH9" i="19"/>
  <c r="BI51" i="19"/>
  <c r="BJ51" i="19" s="1"/>
  <c r="BI41" i="19"/>
  <c r="BJ41" i="19" s="1"/>
  <c r="BH75" i="19"/>
  <c r="BH21" i="19"/>
  <c r="BH50" i="19"/>
  <c r="BG28" i="19"/>
  <c r="BI9" i="19"/>
  <c r="BJ9" i="19" s="1"/>
  <c r="BH73" i="19"/>
  <c r="BH42" i="19"/>
  <c r="BG48" i="19"/>
  <c r="BI72" i="19"/>
  <c r="BJ72" i="19" s="1"/>
  <c r="BI91" i="19"/>
  <c r="BJ91" i="19" s="1"/>
  <c r="BI50" i="19"/>
  <c r="BG80" i="19"/>
  <c r="BI10" i="19"/>
  <c r="BJ10" i="19" s="1"/>
  <c r="BI73" i="19"/>
  <c r="BJ73" i="19" s="1"/>
  <c r="BG82" i="19"/>
  <c r="BI25" i="19"/>
  <c r="BJ25" i="19" s="1"/>
  <c r="BH64" i="19"/>
  <c r="BG41" i="19"/>
  <c r="BG25" i="19"/>
  <c r="BH28" i="19"/>
  <c r="BI74" i="19"/>
  <c r="BJ74" i="19" s="1"/>
  <c r="BG45" i="19"/>
  <c r="BI28" i="19"/>
  <c r="BJ28" i="19" s="1"/>
  <c r="BI48" i="19"/>
  <c r="BI47" i="19"/>
  <c r="BJ47" i="19" s="1"/>
  <c r="BI21" i="19"/>
  <c r="BH27" i="19"/>
  <c r="BI29" i="19"/>
  <c r="BJ29" i="19" s="1"/>
  <c r="BG63" i="19"/>
  <c r="BH61" i="19"/>
  <c r="BH80" i="19"/>
  <c r="BH68" i="19"/>
  <c r="BI18" i="19"/>
  <c r="BJ18" i="19" s="1"/>
  <c r="BI78" i="19"/>
  <c r="BJ78" i="19" s="1"/>
  <c r="BI62" i="19"/>
  <c r="BH88" i="19"/>
  <c r="BH81" i="19"/>
  <c r="BI68" i="19"/>
  <c r="BJ68" i="19" s="1"/>
  <c r="BH38" i="19"/>
  <c r="BH49" i="19"/>
  <c r="BH48" i="19"/>
  <c r="BG30" i="19"/>
  <c r="BH12" i="19"/>
  <c r="BH36" i="19"/>
  <c r="BG15" i="19"/>
  <c r="BI42" i="19"/>
  <c r="BJ42" i="19" s="1"/>
  <c r="BH59" i="19"/>
  <c r="BI33" i="19"/>
  <c r="BJ33" i="19" s="1"/>
  <c r="BI70" i="19"/>
  <c r="BJ70" i="19" s="1"/>
  <c r="BI27" i="19"/>
  <c r="BJ27" i="19" s="1"/>
  <c r="BH33" i="19"/>
  <c r="BI12" i="19"/>
  <c r="BJ12" i="19" s="1"/>
  <c r="BG92" i="19"/>
  <c r="BG74" i="19"/>
  <c r="BI19" i="19"/>
  <c r="BJ19" i="19" s="1"/>
  <c r="BI77" i="19"/>
  <c r="BJ77" i="19" s="1"/>
  <c r="BH92" i="19"/>
  <c r="BG44" i="19"/>
  <c r="BG39" i="19"/>
  <c r="BI88" i="19"/>
  <c r="BG32" i="19"/>
  <c r="BI65" i="19"/>
  <c r="BJ65" i="19" s="1"/>
  <c r="BG13" i="19"/>
  <c r="BI36" i="19"/>
  <c r="BJ36" i="19" s="1"/>
  <c r="BI71" i="19"/>
  <c r="BJ71" i="19" s="1"/>
  <c r="BH71" i="19"/>
  <c r="BH76" i="19"/>
  <c r="BH26" i="19"/>
  <c r="BI53" i="19"/>
  <c r="BJ53" i="19" s="1"/>
  <c r="BI39" i="19"/>
  <c r="BL39" i="19" s="1"/>
  <c r="BI17" i="19"/>
  <c r="BL17" i="19" s="1"/>
  <c r="BG49" i="19"/>
  <c r="BG78" i="19"/>
  <c r="BG64" i="19"/>
  <c r="BG81" i="19"/>
  <c r="BG59" i="19"/>
  <c r="BG66" i="19"/>
  <c r="BG43" i="19"/>
  <c r="BI56" i="19"/>
  <c r="BJ56" i="19" s="1"/>
  <c r="BG40" i="19"/>
  <c r="BI92" i="19"/>
  <c r="BL92" i="19" s="1"/>
  <c r="BI49" i="19"/>
  <c r="BJ49" i="19" s="1"/>
  <c r="BH78" i="19"/>
  <c r="BG38" i="19"/>
  <c r="BI37" i="19"/>
  <c r="BG71" i="19"/>
  <c r="BG17" i="19"/>
  <c r="BI20" i="19"/>
  <c r="BJ20" i="19" s="1"/>
  <c r="BG83" i="19"/>
  <c r="BH23" i="19"/>
  <c r="BI66" i="19"/>
  <c r="BG36" i="19"/>
  <c r="BG88" i="19"/>
  <c r="BG20" i="19"/>
  <c r="BH66" i="19"/>
  <c r="BI23" i="19"/>
  <c r="BJ23" i="19" s="1"/>
  <c r="BH39" i="19"/>
  <c r="BH43" i="19"/>
  <c r="BH37" i="19"/>
  <c r="BH90" i="19"/>
  <c r="BG23" i="19"/>
  <c r="BH52" i="19"/>
  <c r="BG33" i="19"/>
  <c r="BI59" i="19"/>
  <c r="BJ59" i="19" s="1"/>
  <c r="BH87" i="19"/>
  <c r="BI76" i="19"/>
  <c r="BJ76" i="19" s="1"/>
  <c r="BH29" i="19"/>
  <c r="BH85" i="19"/>
  <c r="BI31" i="19"/>
  <c r="BJ31" i="19" s="1"/>
  <c r="BG37" i="19"/>
  <c r="BH32" i="19"/>
  <c r="BG55" i="19"/>
  <c r="BH34" i="19"/>
  <c r="BI61" i="19"/>
  <c r="BJ61" i="19" s="1"/>
  <c r="BI52" i="19"/>
  <c r="BG77" i="19"/>
  <c r="BH11" i="19"/>
  <c r="BI85" i="19"/>
  <c r="BJ85" i="19" s="1"/>
  <c r="BI54" i="19"/>
  <c r="BJ54" i="19" s="1"/>
  <c r="BI57" i="19"/>
  <c r="BJ57" i="19" s="1"/>
  <c r="BG12" i="19"/>
  <c r="BI44" i="19"/>
  <c r="BJ44" i="19" s="1"/>
  <c r="BG65" i="19"/>
  <c r="BH84" i="19"/>
  <c r="BH13" i="19"/>
  <c r="BH54" i="19"/>
  <c r="BH47" i="19"/>
  <c r="BH35" i="19"/>
  <c r="BI38" i="19"/>
  <c r="BJ38" i="19" s="1"/>
  <c r="BI64" i="19"/>
  <c r="BH20" i="19"/>
  <c r="BI63" i="19"/>
  <c r="BJ63" i="19" s="1"/>
  <c r="BI11" i="19"/>
  <c r="BJ11" i="19" s="1"/>
  <c r="BG61" i="19"/>
  <c r="BG76" i="19"/>
  <c r="BG72" i="19"/>
  <c r="BG85" i="19"/>
  <c r="BI43" i="19"/>
  <c r="BG52" i="19"/>
  <c r="BH77" i="19"/>
  <c r="BI46" i="19"/>
  <c r="BJ46" i="19" s="1"/>
  <c r="BH67" i="19"/>
  <c r="BG46" i="19"/>
  <c r="BG26" i="19"/>
  <c r="BI60" i="19"/>
  <c r="BJ60" i="19" s="1"/>
  <c r="BG58" i="19"/>
  <c r="BH69" i="19"/>
  <c r="BG89" i="19"/>
  <c r="BI87" i="19"/>
  <c r="BJ87" i="19" s="1"/>
  <c r="BH57" i="19"/>
  <c r="BG31" i="19"/>
  <c r="BH65" i="19"/>
  <c r="BG62" i="19"/>
  <c r="BI14" i="19"/>
  <c r="BJ14" i="19" s="1"/>
  <c r="BI80" i="19"/>
  <c r="BJ80" i="19" s="1"/>
  <c r="BI26" i="19"/>
  <c r="BJ26" i="19" s="1"/>
  <c r="BG14" i="19"/>
  <c r="BG70" i="19"/>
  <c r="BI30" i="19"/>
  <c r="BJ30" i="19" s="1"/>
  <c r="BG67" i="19"/>
  <c r="BG24" i="19"/>
  <c r="BG87" i="19"/>
  <c r="BH60" i="19"/>
  <c r="BI75" i="19"/>
  <c r="BJ75" i="19" s="1"/>
  <c r="BI40" i="19"/>
  <c r="BJ40" i="19" s="1"/>
  <c r="BG54" i="19"/>
  <c r="BG21" i="19"/>
  <c r="BI35" i="19"/>
  <c r="BJ35" i="19" s="1"/>
  <c r="BG90" i="19"/>
  <c r="BH62" i="19"/>
  <c r="BH89" i="19"/>
  <c r="BI16" i="19"/>
  <c r="BJ16" i="19" s="1"/>
  <c r="BH63" i="19"/>
  <c r="BH31" i="19"/>
  <c r="BH41" i="19"/>
  <c r="BH56" i="19"/>
  <c r="BG11" i="19"/>
  <c r="BH53" i="19"/>
  <c r="BH46" i="19"/>
  <c r="BI81" i="19"/>
  <c r="BJ81" i="19" s="1"/>
  <c r="BG19" i="19"/>
  <c r="BG22" i="19"/>
  <c r="BI86" i="19"/>
  <c r="BJ86" i="19" s="1"/>
  <c r="BG34" i="19"/>
  <c r="BH82" i="19"/>
  <c r="BI83" i="19"/>
  <c r="BJ83" i="19" s="1"/>
  <c r="BI84" i="19"/>
  <c r="BJ84" i="19" s="1"/>
  <c r="BG60" i="19"/>
  <c r="BH40" i="19"/>
  <c r="BH14" i="19"/>
  <c r="BI24" i="19"/>
  <c r="BJ24" i="19" s="1"/>
  <c r="BH70" i="19"/>
  <c r="BG56" i="19"/>
  <c r="BI79" i="19"/>
  <c r="BJ79" i="19" s="1"/>
  <c r="BH24" i="19"/>
  <c r="BI69" i="19"/>
  <c r="BJ69" i="19" s="1"/>
  <c r="BG84" i="19"/>
  <c r="BH30" i="19"/>
  <c r="BI58" i="19"/>
  <c r="BJ58" i="19" s="1"/>
  <c r="BH44" i="19"/>
  <c r="BH58" i="19"/>
  <c r="BG9" i="19"/>
  <c r="BI13" i="19"/>
  <c r="BJ13" i="19" s="1"/>
  <c r="BG27" i="19"/>
  <c r="BI15" i="19"/>
  <c r="BJ15" i="19" s="1"/>
  <c r="BG75" i="19"/>
  <c r="BG79" i="19"/>
  <c r="BH22" i="19"/>
  <c r="BH15" i="19"/>
  <c r="BI90" i="19"/>
  <c r="BJ90" i="19" s="1"/>
  <c r="BH55" i="19"/>
  <c r="BG57" i="19"/>
  <c r="BJ50" i="19"/>
  <c r="BJ82" i="19"/>
  <c r="BJ66" i="19"/>
  <c r="BJ21" i="19"/>
  <c r="BJ52" i="19"/>
  <c r="BJ55" i="19"/>
  <c r="BJ37" i="19"/>
  <c r="BJ62" i="19"/>
  <c r="BJ32" i="19" l="1"/>
  <c r="BJ88" i="19"/>
  <c r="BJ48" i="19"/>
  <c r="BJ17" i="19"/>
  <c r="BJ39" i="19"/>
  <c r="BL38" i="19"/>
  <c r="BO38" i="19" s="1"/>
  <c r="BL71" i="19"/>
  <c r="BP71" i="19" s="1"/>
  <c r="BQ71" i="19" s="1"/>
  <c r="BJ92" i="19"/>
  <c r="BL49" i="19"/>
  <c r="BP49" i="19" s="1"/>
  <c r="BQ49" i="19" s="1"/>
  <c r="BJ64" i="19"/>
  <c r="BJ43" i="19"/>
  <c r="BH93" i="19"/>
  <c r="BI93" i="19"/>
  <c r="BG93" i="19"/>
  <c r="BM92" i="19"/>
  <c r="BP92" i="19"/>
  <c r="BQ92" i="19" s="1"/>
  <c r="BO92" i="19"/>
  <c r="BN92" i="19"/>
  <c r="BP17" i="19"/>
  <c r="BQ17" i="19" s="1"/>
  <c r="BO17" i="19"/>
  <c r="BM17" i="19"/>
  <c r="BN17" i="19"/>
  <c r="BP39" i="19"/>
  <c r="BQ39" i="19" s="1"/>
  <c r="BO39" i="19"/>
  <c r="BM39" i="19"/>
  <c r="BN39" i="19"/>
  <c r="BO32" i="19"/>
  <c r="BP32" i="19"/>
  <c r="BQ32" i="19" s="1"/>
  <c r="BM32" i="19"/>
  <c r="BN32" i="19"/>
  <c r="BN38" i="19" l="1"/>
  <c r="BM38" i="19"/>
  <c r="BP38" i="19"/>
  <c r="BQ38" i="19" s="1"/>
  <c r="BN71" i="19"/>
  <c r="BM71" i="19"/>
  <c r="BO71" i="19"/>
  <c r="BJ93" i="19"/>
  <c r="BJ94" i="19" s="1"/>
  <c r="BN49" i="19"/>
  <c r="BO49" i="19"/>
  <c r="BM49" i="19"/>
  <c r="BL6" i="19"/>
  <c r="BL61" i="19" l="1"/>
  <c r="BL85" i="19"/>
  <c r="BL76" i="19"/>
  <c r="BL66" i="19"/>
  <c r="BL78" i="19"/>
  <c r="BL48" i="19"/>
  <c r="BL59" i="19"/>
  <c r="BL37" i="19"/>
  <c r="BL88" i="19"/>
  <c r="BL43" i="19"/>
  <c r="BL64" i="19"/>
  <c r="BL65" i="19"/>
  <c r="BL12" i="19"/>
  <c r="BL35" i="19"/>
  <c r="BM35" i="19" s="1"/>
  <c r="BL23" i="19"/>
  <c r="BL34" i="19"/>
  <c r="BM34" i="19" s="1"/>
  <c r="BL82" i="19"/>
  <c r="BO82" i="19" s="1"/>
  <c r="BL42" i="19"/>
  <c r="BP42" i="19" s="1"/>
  <c r="BQ42" i="19" s="1"/>
  <c r="BL26" i="19"/>
  <c r="BN26" i="19" s="1"/>
  <c r="BL20" i="19"/>
  <c r="BM20" i="19" s="1"/>
  <c r="BL33" i="19"/>
  <c r="BO33" i="19" s="1"/>
  <c r="BL41" i="19"/>
  <c r="BO41" i="19" s="1"/>
  <c r="BL36" i="19"/>
  <c r="BM36" i="19" s="1"/>
  <c r="BL79" i="19"/>
  <c r="BO79" i="19" s="1"/>
  <c r="BL74" i="19"/>
  <c r="BO74" i="19" s="1"/>
  <c r="BL22" i="19"/>
  <c r="BP22" i="19" s="1"/>
  <c r="BQ22" i="19" s="1"/>
  <c r="BL28" i="19"/>
  <c r="BM28" i="19" s="1"/>
  <c r="BL45" i="19"/>
  <c r="BM45" i="19" s="1"/>
  <c r="BL53" i="19"/>
  <c r="BP53" i="19" s="1"/>
  <c r="BQ53" i="19" s="1"/>
  <c r="BL47" i="19"/>
  <c r="BP47" i="19" s="1"/>
  <c r="BQ47" i="19" s="1"/>
  <c r="BL68" i="19"/>
  <c r="BO68" i="19" s="1"/>
  <c r="BL67" i="19"/>
  <c r="BM67" i="19" s="1"/>
  <c r="BL73" i="19"/>
  <c r="BN73" i="19" s="1"/>
  <c r="BL72" i="19"/>
  <c r="BN72" i="19" s="1"/>
  <c r="BL11" i="19"/>
  <c r="BM11" i="19" s="1"/>
  <c r="BL13" i="19"/>
  <c r="BN13" i="19" s="1"/>
  <c r="BL50" i="19"/>
  <c r="BN50" i="19" s="1"/>
  <c r="BL14" i="19"/>
  <c r="BN14" i="19" s="1"/>
  <c r="BL27" i="19"/>
  <c r="BP27" i="19" s="1"/>
  <c r="BQ27" i="19" s="1"/>
  <c r="BL63" i="19"/>
  <c r="BO63" i="19" s="1"/>
  <c r="BL90" i="19"/>
  <c r="BN90" i="19" s="1"/>
  <c r="BL52" i="19"/>
  <c r="BO52" i="19" s="1"/>
  <c r="BL21" i="19"/>
  <c r="BO21" i="19" s="1"/>
  <c r="BL62" i="19"/>
  <c r="BP62" i="19" s="1"/>
  <c r="BQ62" i="19" s="1"/>
  <c r="BL89" i="19"/>
  <c r="BP89" i="19" s="1"/>
  <c r="BQ89" i="19" s="1"/>
  <c r="BL24" i="19"/>
  <c r="BN24" i="19" s="1"/>
  <c r="BL25" i="19"/>
  <c r="BO25" i="19" s="1"/>
  <c r="BL51" i="19"/>
  <c r="BM51" i="19" s="1"/>
  <c r="BL9" i="19"/>
  <c r="BO9" i="19" s="1"/>
  <c r="BL19" i="19"/>
  <c r="BN19" i="19" s="1"/>
  <c r="BL30" i="19"/>
  <c r="BP30" i="19" s="1"/>
  <c r="BQ30" i="19" s="1"/>
  <c r="BL56" i="19"/>
  <c r="BO56" i="19" s="1"/>
  <c r="BL86" i="19"/>
  <c r="BO86" i="19" s="1"/>
  <c r="BL77" i="19"/>
  <c r="BM77" i="19" s="1"/>
  <c r="BL46" i="19"/>
  <c r="BN46" i="19" s="1"/>
  <c r="BL44" i="19"/>
  <c r="BN44" i="19" s="1"/>
  <c r="BL54" i="19"/>
  <c r="BO54" i="19" s="1"/>
  <c r="BL91" i="19"/>
  <c r="BP91" i="19" s="1"/>
  <c r="BQ91" i="19" s="1"/>
  <c r="BL81" i="19"/>
  <c r="BM81" i="19" s="1"/>
  <c r="BL18" i="19"/>
  <c r="BN18" i="19" s="1"/>
  <c r="BL29" i="19"/>
  <c r="BP29" i="19" s="1"/>
  <c r="BQ29" i="19" s="1"/>
  <c r="BL16" i="19"/>
  <c r="BO16" i="19" s="1"/>
  <c r="BL40" i="19"/>
  <c r="BL57" i="19"/>
  <c r="BL55" i="19"/>
  <c r="BN55" i="19" s="1"/>
  <c r="BL75" i="19"/>
  <c r="BO75" i="19" s="1"/>
  <c r="BL87" i="19"/>
  <c r="BL60" i="19"/>
  <c r="BL83" i="19"/>
  <c r="BL10" i="19"/>
  <c r="BN10" i="19" s="1"/>
  <c r="BL80" i="19"/>
  <c r="BL70" i="19"/>
  <c r="BL69" i="19"/>
  <c r="BL15" i="19"/>
  <c r="BP15" i="19" s="1"/>
  <c r="BQ15" i="19" s="1"/>
  <c r="BL31" i="19"/>
  <c r="BP31" i="19" s="1"/>
  <c r="BQ31" i="19" s="1"/>
  <c r="BL58" i="19"/>
  <c r="BN58" i="19" s="1"/>
  <c r="BL84" i="19"/>
  <c r="BN84" i="19" s="1"/>
  <c r="BO45" i="19"/>
  <c r="BO20" i="19"/>
  <c r="BN20" i="19"/>
  <c r="BP20" i="19"/>
  <c r="BQ20" i="19" s="1"/>
  <c r="BO72" i="19"/>
  <c r="BO35" i="19" l="1"/>
  <c r="BN35" i="19"/>
  <c r="BP35" i="19"/>
  <c r="BQ35" i="19" s="1"/>
  <c r="BP45" i="19"/>
  <c r="BQ45" i="19" s="1"/>
  <c r="BM82" i="19"/>
  <c r="BP86" i="19"/>
  <c r="BQ86" i="19" s="1"/>
  <c r="BO14" i="19"/>
  <c r="BN34" i="19"/>
  <c r="BP34" i="19"/>
  <c r="BQ34" i="19" s="1"/>
  <c r="BM14" i="19"/>
  <c r="BN79" i="19"/>
  <c r="BP24" i="19"/>
  <c r="BQ24" i="19" s="1"/>
  <c r="BP85" i="19"/>
  <c r="BQ85" i="19" s="1"/>
  <c r="BM85" i="19"/>
  <c r="BN85" i="19"/>
  <c r="BO85" i="19"/>
  <c r="BO61" i="19"/>
  <c r="BN61" i="19"/>
  <c r="BM61" i="19"/>
  <c r="BP61" i="19"/>
  <c r="BQ61" i="19" s="1"/>
  <c r="BN82" i="19"/>
  <c r="BP82" i="19"/>
  <c r="BQ82" i="19" s="1"/>
  <c r="BM74" i="19"/>
  <c r="BN67" i="19"/>
  <c r="BN74" i="19"/>
  <c r="BM27" i="19"/>
  <c r="BP74" i="19"/>
  <c r="BQ74" i="19" s="1"/>
  <c r="BO43" i="19"/>
  <c r="BP43" i="19"/>
  <c r="BQ43" i="19" s="1"/>
  <c r="BM43" i="19"/>
  <c r="BN43" i="19"/>
  <c r="BN88" i="19"/>
  <c r="BP88" i="19"/>
  <c r="BQ88" i="19" s="1"/>
  <c r="BO88" i="19"/>
  <c r="BM88" i="19"/>
  <c r="BP37" i="19"/>
  <c r="BQ37" i="19" s="1"/>
  <c r="BO37" i="19"/>
  <c r="BN37" i="19"/>
  <c r="BM37" i="19"/>
  <c r="BO59" i="19"/>
  <c r="BP59" i="19"/>
  <c r="BQ59" i="19" s="1"/>
  <c r="BN59" i="19"/>
  <c r="BM59" i="19"/>
  <c r="BM48" i="19"/>
  <c r="BO48" i="19"/>
  <c r="BN48" i="19"/>
  <c r="BP48" i="19"/>
  <c r="BQ48" i="19" s="1"/>
  <c r="BO12" i="19"/>
  <c r="BN12" i="19"/>
  <c r="BM12" i="19"/>
  <c r="BP12" i="19"/>
  <c r="BQ12" i="19" s="1"/>
  <c r="BO78" i="19"/>
  <c r="BM78" i="19"/>
  <c r="BN78" i="19"/>
  <c r="BP78" i="19"/>
  <c r="BQ78" i="19" s="1"/>
  <c r="BP67" i="19"/>
  <c r="BQ67" i="19" s="1"/>
  <c r="BP14" i="19"/>
  <c r="BQ14" i="19" s="1"/>
  <c r="BO34" i="19"/>
  <c r="BM65" i="19"/>
  <c r="BP65" i="19"/>
  <c r="BQ65" i="19" s="1"/>
  <c r="BO65" i="19"/>
  <c r="BN65" i="19"/>
  <c r="BP66" i="19"/>
  <c r="BQ66" i="19" s="1"/>
  <c r="BN66" i="19"/>
  <c r="BO66" i="19"/>
  <c r="BM66" i="19"/>
  <c r="BP25" i="19"/>
  <c r="BQ25" i="19" s="1"/>
  <c r="BO27" i="19"/>
  <c r="BN27" i="19"/>
  <c r="BO67" i="19"/>
  <c r="BP79" i="19"/>
  <c r="BQ79" i="19" s="1"/>
  <c r="BM64" i="19"/>
  <c r="BP64" i="19"/>
  <c r="BQ64" i="19" s="1"/>
  <c r="BO64" i="19"/>
  <c r="BN64" i="19"/>
  <c r="BO76" i="19"/>
  <c r="BP76" i="19"/>
  <c r="BQ76" i="19" s="1"/>
  <c r="BN76" i="19"/>
  <c r="BM76" i="19"/>
  <c r="BM25" i="19"/>
  <c r="BO23" i="19"/>
  <c r="BM23" i="19"/>
  <c r="BN23" i="19"/>
  <c r="BP23" i="19"/>
  <c r="BQ23" i="19" s="1"/>
  <c r="BM42" i="19"/>
  <c r="BN25" i="19"/>
  <c r="BN52" i="19"/>
  <c r="BP52" i="19"/>
  <c r="BQ52" i="19" s="1"/>
  <c r="BN11" i="19"/>
  <c r="BN45" i="19"/>
  <c r="BO11" i="19"/>
  <c r="BM79" i="19"/>
  <c r="BO22" i="19"/>
  <c r="BM26" i="19"/>
  <c r="BM22" i="19"/>
  <c r="BN86" i="19"/>
  <c r="BN53" i="19"/>
  <c r="BM56" i="19"/>
  <c r="BP56" i="19"/>
  <c r="BQ56" i="19" s="1"/>
  <c r="BM52" i="19"/>
  <c r="BN42" i="19"/>
  <c r="BN22" i="19"/>
  <c r="BO28" i="19"/>
  <c r="BP28" i="19"/>
  <c r="BQ28" i="19" s="1"/>
  <c r="BP72" i="19"/>
  <c r="BQ72" i="19" s="1"/>
  <c r="BP11" i="19"/>
  <c r="BQ11" i="19" s="1"/>
  <c r="BO29" i="19"/>
  <c r="BN21" i="19"/>
  <c r="BM54" i="19"/>
  <c r="BP44" i="19"/>
  <c r="BQ44" i="19" s="1"/>
  <c r="BM44" i="19"/>
  <c r="BM53" i="19"/>
  <c r="BM21" i="19"/>
  <c r="BO53" i="19"/>
  <c r="BP21" i="19"/>
  <c r="BQ21" i="19" s="1"/>
  <c r="BP33" i="19"/>
  <c r="BQ33" i="19" s="1"/>
  <c r="BN54" i="19"/>
  <c r="BP54" i="19"/>
  <c r="BQ54" i="19" s="1"/>
  <c r="BN9" i="19"/>
  <c r="BN47" i="19"/>
  <c r="BP9" i="19"/>
  <c r="BQ9" i="19" s="1"/>
  <c r="BO46" i="19"/>
  <c r="BN28" i="19"/>
  <c r="BP46" i="19"/>
  <c r="BQ46" i="19" s="1"/>
  <c r="BM90" i="19"/>
  <c r="BP26" i="19"/>
  <c r="BQ26" i="19" s="1"/>
  <c r="BM72" i="19"/>
  <c r="BO42" i="19"/>
  <c r="BM62" i="19"/>
  <c r="BO44" i="19"/>
  <c r="BN33" i="19"/>
  <c r="BM33" i="19"/>
  <c r="BP50" i="19"/>
  <c r="BQ50" i="19" s="1"/>
  <c r="BN68" i="19"/>
  <c r="BN62" i="19"/>
  <c r="BO47" i="19"/>
  <c r="BM41" i="19"/>
  <c r="BM68" i="19"/>
  <c r="BO62" i="19"/>
  <c r="BM47" i="19"/>
  <c r="BN41" i="19"/>
  <c r="BP68" i="19"/>
  <c r="BQ68" i="19" s="1"/>
  <c r="BP41" i="19"/>
  <c r="BQ41" i="19" s="1"/>
  <c r="BN36" i="19"/>
  <c r="BO50" i="19"/>
  <c r="BO36" i="19"/>
  <c r="BM50" i="19"/>
  <c r="BP36" i="19"/>
  <c r="BQ36" i="19" s="1"/>
  <c r="BM10" i="19"/>
  <c r="BM29" i="19"/>
  <c r="BN29" i="19"/>
  <c r="BM9" i="19"/>
  <c r="BM89" i="19"/>
  <c r="BO90" i="19"/>
  <c r="BP13" i="19"/>
  <c r="BQ13" i="19" s="1"/>
  <c r="BO26" i="19"/>
  <c r="BO55" i="19"/>
  <c r="BP90" i="19"/>
  <c r="BQ90" i="19" s="1"/>
  <c r="BM13" i="19"/>
  <c r="BM19" i="19"/>
  <c r="BN30" i="19"/>
  <c r="BO19" i="19"/>
  <c r="BO30" i="19"/>
  <c r="BP19" i="19"/>
  <c r="BQ19" i="19" s="1"/>
  <c r="BO91" i="19"/>
  <c r="BM46" i="19"/>
  <c r="BO81" i="19"/>
  <c r="BN56" i="19"/>
  <c r="BP10" i="19"/>
  <c r="BQ10" i="19" s="1"/>
  <c r="BN89" i="19"/>
  <c r="BP18" i="19"/>
  <c r="BQ18" i="19" s="1"/>
  <c r="BO13" i="19"/>
  <c r="BM30" i="19"/>
  <c r="BN91" i="19"/>
  <c r="BM24" i="19"/>
  <c r="BP51" i="19"/>
  <c r="BQ51" i="19" s="1"/>
  <c r="BO73" i="19"/>
  <c r="BO77" i="19"/>
  <c r="BO51" i="19"/>
  <c r="BP73" i="19"/>
  <c r="BQ73" i="19" s="1"/>
  <c r="BM63" i="19"/>
  <c r="BM73" i="19"/>
  <c r="BN63" i="19"/>
  <c r="BN51" i="19"/>
  <c r="BO24" i="19"/>
  <c r="BM18" i="19"/>
  <c r="BN81" i="19"/>
  <c r="BM75" i="19"/>
  <c r="BN15" i="19"/>
  <c r="BP63" i="19"/>
  <c r="BQ63" i="19" s="1"/>
  <c r="BO18" i="19"/>
  <c r="BM91" i="19"/>
  <c r="BO10" i="19"/>
  <c r="BP81" i="19"/>
  <c r="BQ81" i="19" s="1"/>
  <c r="BO89" i="19"/>
  <c r="BM15" i="19"/>
  <c r="BM55" i="19"/>
  <c r="BN77" i="19"/>
  <c r="BM86" i="19"/>
  <c r="BP77" i="19"/>
  <c r="BQ77" i="19" s="1"/>
  <c r="BO15" i="19"/>
  <c r="BO40" i="19"/>
  <c r="BM40" i="19"/>
  <c r="BP16" i="19"/>
  <c r="BQ16" i="19" s="1"/>
  <c r="BM16" i="19"/>
  <c r="BN16" i="19"/>
  <c r="BN40" i="19"/>
  <c r="BP55" i="19"/>
  <c r="BQ55" i="19" s="1"/>
  <c r="BP40" i="19"/>
  <c r="BQ40" i="19" s="1"/>
  <c r="BN87" i="19"/>
  <c r="BP87" i="19"/>
  <c r="BQ87" i="19" s="1"/>
  <c r="BM87" i="19"/>
  <c r="BO87" i="19"/>
  <c r="BP75" i="19"/>
  <c r="BQ75" i="19" s="1"/>
  <c r="BN75" i="19"/>
  <c r="BO58" i="19"/>
  <c r="BO31" i="19"/>
  <c r="BN57" i="19"/>
  <c r="BP57" i="19"/>
  <c r="BQ57" i="19" s="1"/>
  <c r="BM57" i="19"/>
  <c r="BO57" i="19"/>
  <c r="BM84" i="19"/>
  <c r="BO70" i="19"/>
  <c r="BN70" i="19"/>
  <c r="BP70" i="19"/>
  <c r="BQ70" i="19" s="1"/>
  <c r="BM70" i="19"/>
  <c r="BP80" i="19"/>
  <c r="BQ80" i="19" s="1"/>
  <c r="BM80" i="19"/>
  <c r="BO80" i="19"/>
  <c r="BN80" i="19"/>
  <c r="BP58" i="19"/>
  <c r="BQ58" i="19" s="1"/>
  <c r="BP84" i="19"/>
  <c r="BQ84" i="19" s="1"/>
  <c r="BM58" i="19"/>
  <c r="BM83" i="19"/>
  <c r="BN83" i="19"/>
  <c r="BP83" i="19"/>
  <c r="BQ83" i="19" s="1"/>
  <c r="BO83" i="19"/>
  <c r="BP60" i="19"/>
  <c r="BQ60" i="19" s="1"/>
  <c r="BN60" i="19"/>
  <c r="BM60" i="19"/>
  <c r="BO60" i="19"/>
  <c r="BM31" i="19"/>
  <c r="BN69" i="19"/>
  <c r="BO69" i="19"/>
  <c r="BM69" i="19"/>
  <c r="BP69" i="19"/>
  <c r="BQ69" i="19" s="1"/>
  <c r="BN31" i="19"/>
  <c r="BO84" i="19"/>
  <c r="BM93" i="19" l="1"/>
  <c r="BN93" i="19"/>
  <c r="BQ93" i="19"/>
  <c r="BS83" i="19" s="1"/>
  <c r="BO93" i="19"/>
  <c r="BR18" i="19" l="1"/>
  <c r="BT14" i="19"/>
  <c r="BU14" i="19" s="1"/>
  <c r="BS10" i="19"/>
  <c r="BT48" i="19"/>
  <c r="BR75" i="19"/>
  <c r="BT26" i="19"/>
  <c r="BU26" i="19" s="1"/>
  <c r="BT58" i="19"/>
  <c r="BU58" i="19" s="1"/>
  <c r="BR79" i="19"/>
  <c r="BS82" i="19"/>
  <c r="BR23" i="19"/>
  <c r="BR10" i="19"/>
  <c r="BT89" i="19"/>
  <c r="BU89" i="19" s="1"/>
  <c r="BT75" i="19"/>
  <c r="BU75" i="19" s="1"/>
  <c r="BS45" i="19"/>
  <c r="BS31" i="19"/>
  <c r="BR40" i="19"/>
  <c r="BR16" i="19"/>
  <c r="BR44" i="19"/>
  <c r="BT39" i="19"/>
  <c r="BR36" i="19"/>
  <c r="BS65" i="19"/>
  <c r="BR57" i="19"/>
  <c r="BS60" i="19"/>
  <c r="BR20" i="19"/>
  <c r="BS56" i="19"/>
  <c r="BT24" i="19"/>
  <c r="BU24" i="19" s="1"/>
  <c r="BR49" i="19"/>
  <c r="BR43" i="19"/>
  <c r="BT65" i="19"/>
  <c r="BS89" i="19"/>
  <c r="BT23" i="19"/>
  <c r="BU23" i="19" s="1"/>
  <c r="BR61" i="19"/>
  <c r="BR48" i="19"/>
  <c r="BS80" i="19"/>
  <c r="BS62" i="19"/>
  <c r="BT25" i="19"/>
  <c r="BU25" i="19" s="1"/>
  <c r="BT80" i="19"/>
  <c r="BU80" i="19" s="1"/>
  <c r="BT29" i="19"/>
  <c r="BU29" i="19" s="1"/>
  <c r="BS42" i="19"/>
  <c r="BS44" i="19"/>
  <c r="BT21" i="19"/>
  <c r="BU21" i="19" s="1"/>
  <c r="BS43" i="19"/>
  <c r="BR62" i="19"/>
  <c r="BS29" i="19"/>
  <c r="BT22" i="19"/>
  <c r="BU22" i="19" s="1"/>
  <c r="BR77" i="19"/>
  <c r="BT61" i="19"/>
  <c r="BS58" i="19"/>
  <c r="BT31" i="19"/>
  <c r="BU31" i="19" s="1"/>
  <c r="BT86" i="19"/>
  <c r="BU86" i="19" s="1"/>
  <c r="BS11" i="19"/>
  <c r="BR15" i="19"/>
  <c r="BR24" i="19"/>
  <c r="BS46" i="19"/>
  <c r="BT57" i="19"/>
  <c r="BU57" i="19" s="1"/>
  <c r="BS15" i="19"/>
  <c r="BS14" i="19"/>
  <c r="BR80" i="19"/>
  <c r="BS50" i="19"/>
  <c r="BS39" i="19"/>
  <c r="BT16" i="19"/>
  <c r="BU16" i="19" s="1"/>
  <c r="BR12" i="19"/>
  <c r="BT82" i="19"/>
  <c r="BU82" i="19" s="1"/>
  <c r="BS40" i="19"/>
  <c r="BR66" i="19"/>
  <c r="BR11" i="19"/>
  <c r="BS69" i="19"/>
  <c r="BR41" i="19"/>
  <c r="BS47" i="19"/>
  <c r="BS79" i="19"/>
  <c r="BT63" i="19"/>
  <c r="BU63" i="19" s="1"/>
  <c r="BT41" i="19"/>
  <c r="BU41" i="19" s="1"/>
  <c r="BR34" i="19"/>
  <c r="BT18" i="19"/>
  <c r="BU18" i="19" s="1"/>
  <c r="BS61" i="19"/>
  <c r="BT28" i="19"/>
  <c r="BU28" i="19" s="1"/>
  <c r="BS36" i="19"/>
  <c r="BT34" i="19"/>
  <c r="BU34" i="19" s="1"/>
  <c r="BS87" i="19"/>
  <c r="BS28" i="19"/>
  <c r="BT90" i="19"/>
  <c r="BU90" i="19" s="1"/>
  <c r="BT92" i="19"/>
  <c r="BW92" i="19" s="1"/>
  <c r="BT33" i="19"/>
  <c r="BU33" i="19" s="1"/>
  <c r="BS21" i="19"/>
  <c r="BR31" i="19"/>
  <c r="BT10" i="19"/>
  <c r="BU10" i="19" s="1"/>
  <c r="BR39" i="19"/>
  <c r="BR68" i="19"/>
  <c r="BT85" i="19"/>
  <c r="BU85" i="19" s="1"/>
  <c r="BT69" i="19"/>
  <c r="BU69" i="19" s="1"/>
  <c r="BT56" i="19"/>
  <c r="BU56" i="19" s="1"/>
  <c r="BT84" i="19"/>
  <c r="BU84" i="19" s="1"/>
  <c r="BT70" i="19"/>
  <c r="BU70" i="19" s="1"/>
  <c r="BS24" i="19"/>
  <c r="BR84" i="19"/>
  <c r="BR86" i="19"/>
  <c r="BR69" i="19"/>
  <c r="BR45" i="19"/>
  <c r="BR70" i="19"/>
  <c r="BT35" i="19"/>
  <c r="BU35" i="19" s="1"/>
  <c r="BS37" i="19"/>
  <c r="BT88" i="19"/>
  <c r="BT83" i="19"/>
  <c r="BU83" i="19" s="1"/>
  <c r="BT79" i="19"/>
  <c r="BU79" i="19" s="1"/>
  <c r="BS27" i="19"/>
  <c r="BT43" i="19"/>
  <c r="BR90" i="19"/>
  <c r="BR59" i="19"/>
  <c r="BT13" i="19"/>
  <c r="BU13" i="19" s="1"/>
  <c r="BS71" i="19"/>
  <c r="BR65" i="19"/>
  <c r="BR46" i="19"/>
  <c r="BT68" i="19"/>
  <c r="BU68" i="19" s="1"/>
  <c r="BT87" i="19"/>
  <c r="BU87" i="19" s="1"/>
  <c r="BR87" i="19"/>
  <c r="BT45" i="19"/>
  <c r="BU45" i="19" s="1"/>
  <c r="BS26" i="19"/>
  <c r="BS34" i="19"/>
  <c r="BR32" i="19"/>
  <c r="BT72" i="19"/>
  <c r="BU72" i="19" s="1"/>
  <c r="BR78" i="19"/>
  <c r="BR81" i="19"/>
  <c r="BT77" i="19"/>
  <c r="BU77" i="19" s="1"/>
  <c r="BR54" i="19"/>
  <c r="BS20" i="19"/>
  <c r="BS67" i="19"/>
  <c r="BT62" i="19"/>
  <c r="BU62" i="19" s="1"/>
  <c r="BS41" i="19"/>
  <c r="BR52" i="19"/>
  <c r="BS57" i="19"/>
  <c r="BS19" i="19"/>
  <c r="BR74" i="19"/>
  <c r="BR55" i="19"/>
  <c r="BS12" i="19"/>
  <c r="BS22" i="19"/>
  <c r="BT55" i="19"/>
  <c r="BU55" i="19" s="1"/>
  <c r="BR22" i="19"/>
  <c r="BS64" i="19"/>
  <c r="BS90" i="19"/>
  <c r="BR71" i="19"/>
  <c r="BS38" i="19"/>
  <c r="BR35" i="19"/>
  <c r="BT50" i="19"/>
  <c r="BU50" i="19" s="1"/>
  <c r="BR30" i="19"/>
  <c r="BT54" i="19"/>
  <c r="BU54" i="19" s="1"/>
  <c r="BT32" i="19"/>
  <c r="BS35" i="19"/>
  <c r="BS74" i="19"/>
  <c r="BS84" i="19"/>
  <c r="BR17" i="19"/>
  <c r="BT64" i="19"/>
  <c r="BU64" i="19" s="1"/>
  <c r="BR13" i="19"/>
  <c r="BT40" i="19"/>
  <c r="BU40" i="19" s="1"/>
  <c r="BT37" i="19"/>
  <c r="BU37" i="19" s="1"/>
  <c r="BR89" i="19"/>
  <c r="BR85" i="19"/>
  <c r="BS77" i="19"/>
  <c r="BS51" i="19"/>
  <c r="BR92" i="19"/>
  <c r="BS88" i="19"/>
  <c r="BT53" i="19"/>
  <c r="BU53" i="19" s="1"/>
  <c r="BS68" i="19"/>
  <c r="BS81" i="19"/>
  <c r="BR82" i="19"/>
  <c r="BR88" i="19"/>
  <c r="BS72" i="19"/>
  <c r="BT67" i="19"/>
  <c r="BU67" i="19" s="1"/>
  <c r="BR91" i="19"/>
  <c r="BR28" i="19"/>
  <c r="BT51" i="19"/>
  <c r="BU51" i="19" s="1"/>
  <c r="BT66" i="19"/>
  <c r="BR29" i="19"/>
  <c r="BT81" i="19"/>
  <c r="BU81" i="19" s="1"/>
  <c r="BS33" i="19"/>
  <c r="BT30" i="19"/>
  <c r="BU30" i="19" s="1"/>
  <c r="BS55" i="19"/>
  <c r="BT46" i="19"/>
  <c r="BU46" i="19" s="1"/>
  <c r="BR19" i="19"/>
  <c r="BS25" i="19"/>
  <c r="BR60" i="19"/>
  <c r="BS78" i="19"/>
  <c r="BT15" i="19"/>
  <c r="BU15" i="19" s="1"/>
  <c r="BS63" i="19"/>
  <c r="BS49" i="19"/>
  <c r="BS13" i="19"/>
  <c r="BT11" i="19"/>
  <c r="BU11" i="19" s="1"/>
  <c r="BT44" i="19"/>
  <c r="BU44" i="19" s="1"/>
  <c r="BR14" i="19"/>
  <c r="BS75" i="19"/>
  <c r="BS17" i="19"/>
  <c r="BR37" i="19"/>
  <c r="BS73" i="19"/>
  <c r="BT12" i="19"/>
  <c r="BT78" i="19"/>
  <c r="BR53" i="19"/>
  <c r="BR76" i="19"/>
  <c r="BR83" i="19"/>
  <c r="BS70" i="19"/>
  <c r="BT60" i="19"/>
  <c r="BU60" i="19" s="1"/>
  <c r="BS18" i="19"/>
  <c r="BR21" i="19"/>
  <c r="BR33" i="19"/>
  <c r="BS16" i="19"/>
  <c r="BR25" i="19"/>
  <c r="BS59" i="19"/>
  <c r="BS48" i="19"/>
  <c r="BR26" i="19"/>
  <c r="BS30" i="19"/>
  <c r="BT19" i="19"/>
  <c r="BU19" i="19" s="1"/>
  <c r="BT49" i="19"/>
  <c r="BS54" i="19"/>
  <c r="BT17" i="19"/>
  <c r="BW17" i="19" s="1"/>
  <c r="BZ17" i="19" s="1"/>
  <c r="BS32" i="19"/>
  <c r="BS9" i="19"/>
  <c r="BR58" i="19"/>
  <c r="BR56" i="19"/>
  <c r="BS52" i="19"/>
  <c r="BT20" i="19"/>
  <c r="BU20" i="19" s="1"/>
  <c r="BR42" i="19"/>
  <c r="BT38" i="19"/>
  <c r="BT74" i="19"/>
  <c r="BU74" i="19" s="1"/>
  <c r="BR72" i="19"/>
  <c r="BR73" i="19"/>
  <c r="BR27" i="19"/>
  <c r="BT91" i="19"/>
  <c r="BU91" i="19" s="1"/>
  <c r="BT59" i="19"/>
  <c r="BR67" i="19"/>
  <c r="BR47" i="19"/>
  <c r="BT42" i="19"/>
  <c r="BU42" i="19" s="1"/>
  <c r="BT73" i="19"/>
  <c r="BU73" i="19" s="1"/>
  <c r="BT47" i="19"/>
  <c r="BU47" i="19" s="1"/>
  <c r="BS76" i="19"/>
  <c r="BS23" i="19"/>
  <c r="BS86" i="19"/>
  <c r="BS92" i="19"/>
  <c r="BT9" i="19"/>
  <c r="BU9" i="19" s="1"/>
  <c r="BR64" i="19"/>
  <c r="BS53" i="19"/>
  <c r="BT71" i="19"/>
  <c r="BS91" i="19"/>
  <c r="BT27" i="19"/>
  <c r="BU27" i="19" s="1"/>
  <c r="BR38" i="19"/>
  <c r="BS85" i="19"/>
  <c r="BT36" i="19"/>
  <c r="BU36" i="19" s="1"/>
  <c r="BT52" i="19"/>
  <c r="BU52" i="19" s="1"/>
  <c r="BR50" i="19"/>
  <c r="BR9" i="19"/>
  <c r="BT76" i="19"/>
  <c r="BR63" i="19"/>
  <c r="BR51" i="19"/>
  <c r="BS66" i="19"/>
  <c r="BW39" i="19"/>
  <c r="BU39" i="19"/>
  <c r="BU92" i="19"/>
  <c r="BU65" i="19"/>
  <c r="BU48" i="19" l="1"/>
  <c r="BU88" i="19"/>
  <c r="BU61" i="19"/>
  <c r="BU66" i="19"/>
  <c r="BU43" i="19"/>
  <c r="BU32" i="19"/>
  <c r="BW32" i="19"/>
  <c r="BU12" i="19"/>
  <c r="BU17" i="19"/>
  <c r="BU78" i="19"/>
  <c r="BU59" i="19"/>
  <c r="BY17" i="19"/>
  <c r="CA17" i="19"/>
  <c r="CB17" i="19" s="1"/>
  <c r="BX17" i="19"/>
  <c r="BW49" i="19"/>
  <c r="BU49" i="19"/>
  <c r="BS93" i="19"/>
  <c r="BU38" i="19"/>
  <c r="BW38" i="19"/>
  <c r="BR93" i="19"/>
  <c r="BT93" i="19"/>
  <c r="BU71" i="19"/>
  <c r="BW71" i="19"/>
  <c r="BU76" i="19"/>
  <c r="BY39" i="19"/>
  <c r="BZ39" i="19"/>
  <c r="BX39" i="19"/>
  <c r="CA39" i="19"/>
  <c r="CB39" i="19" s="1"/>
  <c r="CA92" i="19"/>
  <c r="CB92" i="19" s="1"/>
  <c r="BX92" i="19"/>
  <c r="BY92" i="19"/>
  <c r="BZ92" i="19"/>
  <c r="BZ32" i="19" l="1"/>
  <c r="CA32" i="19"/>
  <c r="CB32" i="19" s="1"/>
  <c r="BX32" i="19"/>
  <c r="BY32" i="19"/>
  <c r="BW6" i="19"/>
  <c r="BX49" i="19"/>
  <c r="CA49" i="19"/>
  <c r="CB49" i="19" s="1"/>
  <c r="BY49" i="19"/>
  <c r="BZ49" i="19"/>
  <c r="BZ38" i="19"/>
  <c r="CA38" i="19"/>
  <c r="CB38" i="19" s="1"/>
  <c r="BY38" i="19"/>
  <c r="BX38" i="19"/>
  <c r="BU93" i="19"/>
  <c r="BU94" i="19" s="1"/>
  <c r="BZ71" i="19"/>
  <c r="BX71" i="19"/>
  <c r="CA71" i="19"/>
  <c r="CB71" i="19" s="1"/>
  <c r="BY71" i="19"/>
  <c r="BW85" i="19" l="1"/>
  <c r="BW61" i="19"/>
  <c r="BW59" i="19"/>
  <c r="BW65" i="19"/>
  <c r="BW76" i="19"/>
  <c r="BW88" i="19"/>
  <c r="BW48" i="19"/>
  <c r="BW64" i="19"/>
  <c r="BW78" i="19"/>
  <c r="BW66" i="19"/>
  <c r="BW37" i="19"/>
  <c r="BW43" i="19"/>
  <c r="BW12" i="19"/>
  <c r="BW41" i="19"/>
  <c r="BY41" i="19" s="1"/>
  <c r="BW23" i="19"/>
  <c r="BW16" i="19"/>
  <c r="BX16" i="19" s="1"/>
  <c r="BW75" i="19"/>
  <c r="BZ75" i="19" s="1"/>
  <c r="BW44" i="19"/>
  <c r="BY44" i="19" s="1"/>
  <c r="BW40" i="19"/>
  <c r="BX40" i="19" s="1"/>
  <c r="BW77" i="19"/>
  <c r="CA77" i="19" s="1"/>
  <c r="CB77" i="19" s="1"/>
  <c r="BW15" i="19"/>
  <c r="CA15" i="19" s="1"/>
  <c r="CB15" i="19" s="1"/>
  <c r="BW52" i="19"/>
  <c r="BZ52" i="19" s="1"/>
  <c r="BW9" i="19"/>
  <c r="BZ9" i="19" s="1"/>
  <c r="BW11" i="19"/>
  <c r="CA11" i="19" s="1"/>
  <c r="CB11" i="19" s="1"/>
  <c r="BW63" i="19"/>
  <c r="BX63" i="19" s="1"/>
  <c r="BW72" i="19"/>
  <c r="CA72" i="19" s="1"/>
  <c r="CB72" i="19" s="1"/>
  <c r="BW24" i="19"/>
  <c r="BX24" i="19" s="1"/>
  <c r="BW90" i="19"/>
  <c r="CA90" i="19" s="1"/>
  <c r="CB90" i="19" s="1"/>
  <c r="BW45" i="19"/>
  <c r="BY45" i="19" s="1"/>
  <c r="BW28" i="19"/>
  <c r="BY28" i="19" s="1"/>
  <c r="BW54" i="19"/>
  <c r="CA54" i="19" s="1"/>
  <c r="CB54" i="19" s="1"/>
  <c r="BW10" i="19"/>
  <c r="BY10" i="19" s="1"/>
  <c r="BW22" i="19"/>
  <c r="BX22" i="19" s="1"/>
  <c r="BW69" i="19"/>
  <c r="BZ69" i="19" s="1"/>
  <c r="BW42" i="19"/>
  <c r="BX42" i="19" s="1"/>
  <c r="BW19" i="19"/>
  <c r="BZ19" i="19" s="1"/>
  <c r="BW73" i="19"/>
  <c r="BY73" i="19" s="1"/>
  <c r="BW20" i="19"/>
  <c r="CA20" i="19" s="1"/>
  <c r="CB20" i="19" s="1"/>
  <c r="BW86" i="19"/>
  <c r="CA86" i="19" s="1"/>
  <c r="CB86" i="19" s="1"/>
  <c r="BW87" i="19"/>
  <c r="BY87" i="19" s="1"/>
  <c r="BW14" i="19"/>
  <c r="BY14" i="19" s="1"/>
  <c r="BW35" i="19"/>
  <c r="BX35" i="19" s="1"/>
  <c r="BW25" i="19"/>
  <c r="BX25" i="19" s="1"/>
  <c r="BW79" i="19"/>
  <c r="BX79" i="19" s="1"/>
  <c r="BW29" i="19"/>
  <c r="BX29" i="19" s="1"/>
  <c r="BW50" i="19"/>
  <c r="BX50" i="19" s="1"/>
  <c r="BW74" i="19"/>
  <c r="CA74" i="19" s="1"/>
  <c r="CB74" i="19" s="1"/>
  <c r="BW47" i="19"/>
  <c r="CA47" i="19" s="1"/>
  <c r="CB47" i="19" s="1"/>
  <c r="BW84" i="19"/>
  <c r="CA84" i="19" s="1"/>
  <c r="CB84" i="19" s="1"/>
  <c r="BW67" i="19"/>
  <c r="BW21" i="19"/>
  <c r="BX21" i="19" s="1"/>
  <c r="BW27" i="19"/>
  <c r="BZ27" i="19" s="1"/>
  <c r="BW46" i="19"/>
  <c r="BY46" i="19" s="1"/>
  <c r="BW83" i="19"/>
  <c r="BW91" i="19"/>
  <c r="BY91" i="19" s="1"/>
  <c r="BW51" i="19"/>
  <c r="BX51" i="19" s="1"/>
  <c r="BW70" i="19"/>
  <c r="BY70" i="19" s="1"/>
  <c r="BW82" i="19"/>
  <c r="CA82" i="19" s="1"/>
  <c r="CB82" i="19" s="1"/>
  <c r="BW18" i="19"/>
  <c r="BY18" i="19" s="1"/>
  <c r="BW60" i="19"/>
  <c r="BX60" i="19" s="1"/>
  <c r="BW53" i="19"/>
  <c r="BX53" i="19" s="1"/>
  <c r="BW80" i="19"/>
  <c r="BZ80" i="19" s="1"/>
  <c r="BW33" i="19"/>
  <c r="BX33" i="19" s="1"/>
  <c r="BW34" i="19"/>
  <c r="CA34" i="19" s="1"/>
  <c r="CB34" i="19" s="1"/>
  <c r="BW26" i="19"/>
  <c r="BX26" i="19" s="1"/>
  <c r="BW31" i="19"/>
  <c r="BW57" i="19"/>
  <c r="CA57" i="19" s="1"/>
  <c r="CB57" i="19" s="1"/>
  <c r="BW89" i="19"/>
  <c r="BW62" i="19"/>
  <c r="BW13" i="19"/>
  <c r="BW30" i="19"/>
  <c r="BY30" i="19" s="1"/>
  <c r="BW81" i="19"/>
  <c r="CA81" i="19" s="1"/>
  <c r="CB81" i="19" s="1"/>
  <c r="BW36" i="19"/>
  <c r="BY36" i="19" s="1"/>
  <c r="BW68" i="19"/>
  <c r="BZ68" i="19" s="1"/>
  <c r="BW56" i="19"/>
  <c r="BZ56" i="19" s="1"/>
  <c r="BW55" i="19"/>
  <c r="BZ55" i="19" s="1"/>
  <c r="BW58" i="19"/>
  <c r="CA58" i="19" s="1"/>
  <c r="CB58" i="19" s="1"/>
  <c r="CH6" i="19"/>
  <c r="CH20" i="19" s="1"/>
  <c r="CJ20" i="19" s="1"/>
  <c r="CA75" i="19" l="1"/>
  <c r="CB75" i="19" s="1"/>
  <c r="BX75" i="19"/>
  <c r="BZ41" i="19"/>
  <c r="BY15" i="19"/>
  <c r="BX41" i="19"/>
  <c r="CA26" i="19"/>
  <c r="CB26" i="19" s="1"/>
  <c r="CA16" i="19"/>
  <c r="CB16" i="19" s="1"/>
  <c r="BY16" i="19"/>
  <c r="BZ16" i="19"/>
  <c r="BY59" i="19"/>
  <c r="BX59" i="19"/>
  <c r="CA59" i="19"/>
  <c r="CB59" i="19" s="1"/>
  <c r="BZ59" i="19"/>
  <c r="BX61" i="19"/>
  <c r="CA61" i="19"/>
  <c r="CB61" i="19" s="1"/>
  <c r="BZ61" i="19"/>
  <c r="BY61" i="19"/>
  <c r="BX10" i="19"/>
  <c r="BZ85" i="19"/>
  <c r="BY85" i="19"/>
  <c r="BX85" i="19"/>
  <c r="CA85" i="19"/>
  <c r="CB85" i="19" s="1"/>
  <c r="CA60" i="19"/>
  <c r="CB60" i="19" s="1"/>
  <c r="BY74" i="19"/>
  <c r="BY40" i="19"/>
  <c r="BZ10" i="19"/>
  <c r="CA10" i="19"/>
  <c r="CB10" i="19" s="1"/>
  <c r="BX37" i="19"/>
  <c r="CA37" i="19"/>
  <c r="CB37" i="19" s="1"/>
  <c r="BZ37" i="19"/>
  <c r="BY37" i="19"/>
  <c r="BZ66" i="19"/>
  <c r="CA66" i="19"/>
  <c r="CB66" i="19" s="1"/>
  <c r="BX66" i="19"/>
  <c r="BY66" i="19"/>
  <c r="BX78" i="19"/>
  <c r="BY78" i="19"/>
  <c r="CA78" i="19"/>
  <c r="CB78" i="19" s="1"/>
  <c r="BZ78" i="19"/>
  <c r="BY64" i="19"/>
  <c r="BZ64" i="19"/>
  <c r="BX64" i="19"/>
  <c r="CA64" i="19"/>
  <c r="CB64" i="19" s="1"/>
  <c r="BZ48" i="19"/>
  <c r="BX48" i="19"/>
  <c r="BY48" i="19"/>
  <c r="CA48" i="19"/>
  <c r="CB48" i="19" s="1"/>
  <c r="BX88" i="19"/>
  <c r="BY88" i="19"/>
  <c r="BZ88" i="19"/>
  <c r="CA88" i="19"/>
  <c r="CB88" i="19" s="1"/>
  <c r="CA12" i="19"/>
  <c r="CB12" i="19" s="1"/>
  <c r="BY12" i="19"/>
  <c r="BZ12" i="19"/>
  <c r="BX12" i="19"/>
  <c r="BX76" i="19"/>
  <c r="CA76" i="19"/>
  <c r="CB76" i="19" s="1"/>
  <c r="BZ76" i="19"/>
  <c r="BY76" i="19"/>
  <c r="BX27" i="19"/>
  <c r="CA41" i="19"/>
  <c r="CB41" i="19" s="1"/>
  <c r="BY43" i="19"/>
  <c r="CA43" i="19"/>
  <c r="CB43" i="19" s="1"/>
  <c r="BZ43" i="19"/>
  <c r="BX43" i="19"/>
  <c r="BY65" i="19"/>
  <c r="BX65" i="19"/>
  <c r="BZ65" i="19"/>
  <c r="CA65" i="19"/>
  <c r="CB65" i="19" s="1"/>
  <c r="BY69" i="19"/>
  <c r="BY23" i="19"/>
  <c r="BZ23" i="19"/>
  <c r="CA23" i="19"/>
  <c r="CB23" i="19" s="1"/>
  <c r="BX23" i="19"/>
  <c r="BX74" i="19"/>
  <c r="BX69" i="19"/>
  <c r="BX72" i="19"/>
  <c r="BZ72" i="19"/>
  <c r="BY72" i="19"/>
  <c r="BY86" i="19"/>
  <c r="BX44" i="19"/>
  <c r="BZ86" i="19"/>
  <c r="BZ44" i="19"/>
  <c r="BY63" i="19"/>
  <c r="CA63" i="19"/>
  <c r="CB63" i="19" s="1"/>
  <c r="BZ63" i="19"/>
  <c r="CA44" i="19"/>
  <c r="CB44" i="19" s="1"/>
  <c r="BY75" i="19"/>
  <c r="CA53" i="19"/>
  <c r="CB53" i="19" s="1"/>
  <c r="BX86" i="19"/>
  <c r="BZ90" i="19"/>
  <c r="BX14" i="19"/>
  <c r="BZ22" i="19"/>
  <c r="BY22" i="19"/>
  <c r="BZ77" i="19"/>
  <c r="BZ53" i="19"/>
  <c r="BZ14" i="19"/>
  <c r="BY26" i="19"/>
  <c r="CA40" i="19"/>
  <c r="CB40" i="19" s="1"/>
  <c r="BZ74" i="19"/>
  <c r="CA24" i="19"/>
  <c r="CB24" i="19" s="1"/>
  <c r="CA22" i="19"/>
  <c r="CB22" i="19" s="1"/>
  <c r="BZ40" i="19"/>
  <c r="BZ87" i="19"/>
  <c r="CA87" i="19"/>
  <c r="CB87" i="19" s="1"/>
  <c r="BY77" i="19"/>
  <c r="BY42" i="19"/>
  <c r="CA42" i="19"/>
  <c r="CB42" i="19" s="1"/>
  <c r="BY24" i="19"/>
  <c r="BX77" i="19"/>
  <c r="BZ15" i="19"/>
  <c r="BX36" i="19"/>
  <c r="BY53" i="19"/>
  <c r="BY68" i="19"/>
  <c r="CH64" i="19"/>
  <c r="CJ64" i="19" s="1"/>
  <c r="BZ20" i="19"/>
  <c r="CI20" i="19"/>
  <c r="CH35" i="19"/>
  <c r="CL35" i="19" s="1"/>
  <c r="CQ35" i="19" s="1"/>
  <c r="CK20" i="19"/>
  <c r="CL20" i="19"/>
  <c r="CH77" i="19"/>
  <c r="CJ77" i="19" s="1"/>
  <c r="BZ42" i="19"/>
  <c r="BY21" i="19"/>
  <c r="BX82" i="19"/>
  <c r="BY20" i="19"/>
  <c r="CA29" i="19"/>
  <c r="CB29" i="19" s="1"/>
  <c r="CA9" i="19"/>
  <c r="CB9" i="19" s="1"/>
  <c r="BZ29" i="19"/>
  <c r="BZ28" i="19"/>
  <c r="CA36" i="19"/>
  <c r="CB36" i="19" s="1"/>
  <c r="CA14" i="19"/>
  <c r="CB14" i="19" s="1"/>
  <c r="BY29" i="19"/>
  <c r="CA25" i="19"/>
  <c r="CB25" i="19" s="1"/>
  <c r="BZ24" i="19"/>
  <c r="BX20" i="19"/>
  <c r="CA91" i="19"/>
  <c r="CB91" i="19" s="1"/>
  <c r="BZ21" i="19"/>
  <c r="BZ82" i="19"/>
  <c r="BX34" i="19"/>
  <c r="BY82" i="19"/>
  <c r="BX90" i="19"/>
  <c r="BX52" i="19"/>
  <c r="BZ36" i="19"/>
  <c r="CA52" i="19"/>
  <c r="CB52" i="19" s="1"/>
  <c r="BX15" i="19"/>
  <c r="CH70" i="19"/>
  <c r="CI70" i="19" s="1"/>
  <c r="CH61" i="19"/>
  <c r="CL61" i="19" s="1"/>
  <c r="BX28" i="19"/>
  <c r="CH24" i="19"/>
  <c r="CI24" i="19" s="1"/>
  <c r="CH45" i="19"/>
  <c r="CA69" i="19"/>
  <c r="CB69" i="19" s="1"/>
  <c r="CH31" i="19"/>
  <c r="CK31" i="19" s="1"/>
  <c r="CH75" i="19"/>
  <c r="CJ75" i="19" s="1"/>
  <c r="CH14" i="19"/>
  <c r="CL14" i="19" s="1"/>
  <c r="CH21" i="19"/>
  <c r="CJ21" i="19" s="1"/>
  <c r="CH39" i="19"/>
  <c r="CJ39" i="19" s="1"/>
  <c r="BY52" i="19"/>
  <c r="CH53" i="19"/>
  <c r="CI53" i="19" s="1"/>
  <c r="CH10" i="19"/>
  <c r="CL10" i="19" s="1"/>
  <c r="CQ10" i="19" s="1"/>
  <c r="BZ26" i="19"/>
  <c r="CH49" i="19"/>
  <c r="CL49" i="19" s="1"/>
  <c r="CM49" i="19" s="1"/>
  <c r="CH12" i="19"/>
  <c r="CL12" i="19" s="1"/>
  <c r="BZ54" i="19"/>
  <c r="BX11" i="19"/>
  <c r="CA50" i="19"/>
  <c r="CB50" i="19" s="1"/>
  <c r="BZ18" i="19"/>
  <c r="BY54" i="19"/>
  <c r="CA18" i="19"/>
  <c r="CB18" i="19" s="1"/>
  <c r="BZ50" i="19"/>
  <c r="BX18" i="19"/>
  <c r="BY11" i="19"/>
  <c r="CH62" i="19"/>
  <c r="CH43" i="19"/>
  <c r="CI43" i="19" s="1"/>
  <c r="BY50" i="19"/>
  <c r="BX54" i="19"/>
  <c r="CH37" i="19"/>
  <c r="CL37" i="19" s="1"/>
  <c r="BZ11" i="19"/>
  <c r="CH72" i="19"/>
  <c r="CL72" i="19" s="1"/>
  <c r="CH54" i="19"/>
  <c r="CH46" i="19"/>
  <c r="CH11" i="19"/>
  <c r="CL11" i="19" s="1"/>
  <c r="CH82" i="19"/>
  <c r="BX58" i="19"/>
  <c r="BY34" i="19"/>
  <c r="CH68" i="19"/>
  <c r="CK68" i="19" s="1"/>
  <c r="CH60" i="19"/>
  <c r="CH15" i="19"/>
  <c r="CI15" i="19" s="1"/>
  <c r="BZ58" i="19"/>
  <c r="BY90" i="19"/>
  <c r="CH16" i="19"/>
  <c r="CH41" i="19"/>
  <c r="CL41" i="19" s="1"/>
  <c r="CM41" i="19" s="1"/>
  <c r="CH27" i="19"/>
  <c r="CI27" i="19" s="1"/>
  <c r="CH50" i="19"/>
  <c r="CL50" i="19" s="1"/>
  <c r="CA21" i="19"/>
  <c r="CB21" i="19" s="1"/>
  <c r="CH57" i="19"/>
  <c r="CJ57" i="19" s="1"/>
  <c r="CH76" i="19"/>
  <c r="CH52" i="19"/>
  <c r="CK52" i="19" s="1"/>
  <c r="CH85" i="19"/>
  <c r="CK85" i="19" s="1"/>
  <c r="CH79" i="19"/>
  <c r="CI79" i="19" s="1"/>
  <c r="CA28" i="19"/>
  <c r="CB28" i="19" s="1"/>
  <c r="BX87" i="19"/>
  <c r="CA56" i="19"/>
  <c r="CB56" i="19" s="1"/>
  <c r="CA51" i="19"/>
  <c r="CB51" i="19" s="1"/>
  <c r="BX84" i="19"/>
  <c r="BX56" i="19"/>
  <c r="BZ73" i="19"/>
  <c r="CA79" i="19"/>
  <c r="CB79" i="19" s="1"/>
  <c r="BY84" i="19"/>
  <c r="CL70" i="19"/>
  <c r="BZ33" i="19"/>
  <c r="BY33" i="19"/>
  <c r="BY56" i="19"/>
  <c r="BY51" i="19"/>
  <c r="CA33" i="19"/>
  <c r="CB33" i="19" s="1"/>
  <c r="BZ84" i="19"/>
  <c r="BZ79" i="19"/>
  <c r="BZ51" i="19"/>
  <c r="BX73" i="19"/>
  <c r="BY79" i="19"/>
  <c r="CH36" i="19"/>
  <c r="CL36" i="19" s="1"/>
  <c r="CN36" i="19" s="1"/>
  <c r="CH71" i="19"/>
  <c r="CA73" i="19"/>
  <c r="CB73" i="19" s="1"/>
  <c r="CH19" i="19"/>
  <c r="CK19" i="19" s="1"/>
  <c r="CH83" i="19"/>
  <c r="CJ83" i="19" s="1"/>
  <c r="CH44" i="19"/>
  <c r="CH26" i="19"/>
  <c r="CJ26" i="19" s="1"/>
  <c r="CH17" i="19"/>
  <c r="CJ17" i="19" s="1"/>
  <c r="CH40" i="19"/>
  <c r="BX9" i="19"/>
  <c r="BY9" i="19"/>
  <c r="BX91" i="19"/>
  <c r="BX19" i="19"/>
  <c r="BZ91" i="19"/>
  <c r="BY80" i="19"/>
  <c r="CA19" i="19"/>
  <c r="CB19" i="19" s="1"/>
  <c r="BX80" i="19"/>
  <c r="BX68" i="19"/>
  <c r="BY25" i="19"/>
  <c r="BZ25" i="19"/>
  <c r="BY19" i="19"/>
  <c r="CH56" i="19"/>
  <c r="BX47" i="19"/>
  <c r="CA68" i="19"/>
  <c r="CB68" i="19" s="1"/>
  <c r="BZ47" i="19"/>
  <c r="CA80" i="19"/>
  <c r="CB80" i="19" s="1"/>
  <c r="CH78" i="19"/>
  <c r="CH32" i="19"/>
  <c r="CM96" i="19"/>
  <c r="CH73" i="19"/>
  <c r="CI73" i="19" s="1"/>
  <c r="BY47" i="19"/>
  <c r="BZ45" i="19"/>
  <c r="CA45" i="19"/>
  <c r="CB45" i="19" s="1"/>
  <c r="BX45" i="19"/>
  <c r="BX46" i="19"/>
  <c r="BZ81" i="19"/>
  <c r="CA46" i="19"/>
  <c r="CB46" i="19" s="1"/>
  <c r="U94" i="19"/>
  <c r="CH86" i="19"/>
  <c r="BZ67" i="19"/>
  <c r="BY67" i="19"/>
  <c r="BX67" i="19"/>
  <c r="CA67" i="19"/>
  <c r="CB67" i="19" s="1"/>
  <c r="BZ60" i="19"/>
  <c r="BZ46" i="19"/>
  <c r="CJ14" i="19"/>
  <c r="BY60" i="19"/>
  <c r="CH48" i="19"/>
  <c r="CL48" i="19" s="1"/>
  <c r="CQ48" i="19" s="1"/>
  <c r="CH34" i="19"/>
  <c r="CK34" i="19" s="1"/>
  <c r="BX81" i="19"/>
  <c r="CH42" i="19"/>
  <c r="CH88" i="19"/>
  <c r="CI88" i="19" s="1"/>
  <c r="BY58" i="19"/>
  <c r="CH67" i="19"/>
  <c r="CH29" i="19"/>
  <c r="CH38" i="19"/>
  <c r="CH84" i="19"/>
  <c r="CJ84" i="19" s="1"/>
  <c r="BZ35" i="19"/>
  <c r="BY35" i="19"/>
  <c r="CA35" i="19"/>
  <c r="CB35" i="19" s="1"/>
  <c r="CA70" i="19"/>
  <c r="CB70" i="19" s="1"/>
  <c r="BZ70" i="19"/>
  <c r="BZ83" i="19"/>
  <c r="CA83" i="19"/>
  <c r="CB83" i="19" s="1"/>
  <c r="BY83" i="19"/>
  <c r="BX83" i="19"/>
  <c r="BX70" i="19"/>
  <c r="CA27" i="19"/>
  <c r="CB27" i="19" s="1"/>
  <c r="BY27" i="19"/>
  <c r="BZ34" i="19"/>
  <c r="BX55" i="19"/>
  <c r="BY55" i="19"/>
  <c r="CA55" i="19"/>
  <c r="CB55" i="19" s="1"/>
  <c r="CH23" i="19"/>
  <c r="CH63" i="19"/>
  <c r="CL63" i="19" s="1"/>
  <c r="CN63" i="19" s="1"/>
  <c r="CH80" i="19"/>
  <c r="CK80" i="19" s="1"/>
  <c r="CH55" i="19"/>
  <c r="CL55" i="19" s="1"/>
  <c r="CH33" i="19"/>
  <c r="CL33" i="19" s="1"/>
  <c r="CQ33" i="19" s="1"/>
  <c r="CH22" i="19"/>
  <c r="CJ22" i="19" s="1"/>
  <c r="CH87" i="19"/>
  <c r="CH18" i="19"/>
  <c r="CH58" i="19"/>
  <c r="CL58" i="19" s="1"/>
  <c r="CH91" i="19"/>
  <c r="CJ91" i="19" s="1"/>
  <c r="CH74" i="19"/>
  <c r="CH89" i="19"/>
  <c r="CH51" i="19"/>
  <c r="CH69" i="19"/>
  <c r="CK69" i="19" s="1"/>
  <c r="CH9" i="19"/>
  <c r="CH92" i="19"/>
  <c r="CI92" i="19" s="1"/>
  <c r="BY81" i="19"/>
  <c r="CH13" i="19"/>
  <c r="CH65" i="19"/>
  <c r="CH28" i="19"/>
  <c r="CH66" i="19"/>
  <c r="CH59" i="19"/>
  <c r="CH30" i="19"/>
  <c r="CH90" i="19"/>
  <c r="CH25" i="19"/>
  <c r="CH81" i="19"/>
  <c r="CH47" i="19"/>
  <c r="CA13" i="19"/>
  <c r="CB13" i="19" s="1"/>
  <c r="BY13" i="19"/>
  <c r="BX13" i="19"/>
  <c r="BZ13" i="19"/>
  <c r="BX62" i="19"/>
  <c r="CA62" i="19"/>
  <c r="CB62" i="19" s="1"/>
  <c r="BY62" i="19"/>
  <c r="BZ62" i="19"/>
  <c r="BX89" i="19"/>
  <c r="CA89" i="19"/>
  <c r="CB89" i="19" s="1"/>
  <c r="BZ89" i="19"/>
  <c r="BY89" i="19"/>
  <c r="BZ57" i="19"/>
  <c r="BY57" i="19"/>
  <c r="BX57" i="19"/>
  <c r="BZ31" i="19"/>
  <c r="BY31" i="19"/>
  <c r="CA31" i="19"/>
  <c r="CB31" i="19" s="1"/>
  <c r="BX31" i="19"/>
  <c r="BZ30" i="19"/>
  <c r="CA30" i="19"/>
  <c r="CB30" i="19" s="1"/>
  <c r="BX30" i="19"/>
  <c r="CU33" i="19" l="1"/>
  <c r="CU10" i="19"/>
  <c r="CU35" i="19"/>
  <c r="CV48" i="19"/>
  <c r="CQ14" i="19"/>
  <c r="CJ70" i="19"/>
  <c r="CI12" i="19"/>
  <c r="CJ72" i="19"/>
  <c r="CN14" i="19"/>
  <c r="CK70" i="19"/>
  <c r="CI64" i="19"/>
  <c r="CL64" i="19"/>
  <c r="CN64" i="19" s="1"/>
  <c r="CK14" i="19"/>
  <c r="CM14" i="19"/>
  <c r="CK64" i="19"/>
  <c r="CK72" i="19"/>
  <c r="CQ20" i="19"/>
  <c r="CN20" i="19"/>
  <c r="CM20" i="19"/>
  <c r="CK75" i="19"/>
  <c r="CI49" i="19"/>
  <c r="CI75" i="19"/>
  <c r="CL75" i="19"/>
  <c r="CN75" i="19" s="1"/>
  <c r="CK37" i="19"/>
  <c r="CM10" i="19"/>
  <c r="CJ10" i="19"/>
  <c r="CL27" i="19"/>
  <c r="CN27" i="19" s="1"/>
  <c r="CJ49" i="19"/>
  <c r="CK27" i="19"/>
  <c r="CI14" i="19"/>
  <c r="CJ52" i="19"/>
  <c r="CJ45" i="19"/>
  <c r="CL45" i="19"/>
  <c r="CQ45" i="19" s="1"/>
  <c r="CU45" i="19" s="1"/>
  <c r="CJ53" i="19"/>
  <c r="CI45" i="19"/>
  <c r="CK53" i="19"/>
  <c r="CL53" i="19"/>
  <c r="CM53" i="19" s="1"/>
  <c r="CK45" i="19"/>
  <c r="CQ41" i="19"/>
  <c r="CU41" i="19" s="1"/>
  <c r="CN10" i="19"/>
  <c r="CK10" i="19"/>
  <c r="CJ43" i="19"/>
  <c r="CI10" i="19"/>
  <c r="CN35" i="19"/>
  <c r="CK35" i="19"/>
  <c r="CK43" i="19"/>
  <c r="CI11" i="19"/>
  <c r="CL43" i="19"/>
  <c r="CM43" i="19" s="1"/>
  <c r="CM11" i="19"/>
  <c r="CJ11" i="19"/>
  <c r="CN11" i="19"/>
  <c r="CK11" i="19"/>
  <c r="CQ11" i="19"/>
  <c r="CU11" i="19" s="1"/>
  <c r="CM35" i="19"/>
  <c r="CI35" i="19"/>
  <c r="CI83" i="19"/>
  <c r="CI69" i="19"/>
  <c r="CJ88" i="19"/>
  <c r="CJ60" i="19"/>
  <c r="CK12" i="19"/>
  <c r="CI68" i="19"/>
  <c r="CK26" i="19"/>
  <c r="CI26" i="19"/>
  <c r="CL26" i="19"/>
  <c r="CQ55" i="19"/>
  <c r="CU55" i="19" s="1"/>
  <c r="CK55" i="19"/>
  <c r="CK57" i="19"/>
  <c r="CI57" i="19"/>
  <c r="CM55" i="19"/>
  <c r="CL57" i="19"/>
  <c r="CI39" i="19"/>
  <c r="CN55" i="19"/>
  <c r="CI55" i="19"/>
  <c r="CJ55" i="19"/>
  <c r="CM50" i="19"/>
  <c r="CQ50" i="19"/>
  <c r="CU50" i="19" s="1"/>
  <c r="CN50" i="19"/>
  <c r="CQ12" i="19"/>
  <c r="CV12" i="19" s="1"/>
  <c r="CN12" i="19"/>
  <c r="CM12" i="19"/>
  <c r="CI19" i="19"/>
  <c r="CL19" i="19"/>
  <c r="CL60" i="19"/>
  <c r="CJ50" i="19"/>
  <c r="CJ24" i="19"/>
  <c r="CJ19" i="19"/>
  <c r="CI21" i="19"/>
  <c r="CI60" i="19"/>
  <c r="CK60" i="19"/>
  <c r="CK73" i="19"/>
  <c r="CJ35" i="19"/>
  <c r="CK87" i="19"/>
  <c r="CL87" i="19"/>
  <c r="CN87" i="19" s="1"/>
  <c r="CL79" i="19"/>
  <c r="CJ79" i="19"/>
  <c r="CI77" i="19"/>
  <c r="CK77" i="19"/>
  <c r="CL77" i="19"/>
  <c r="CK79" i="19"/>
  <c r="CL73" i="19"/>
  <c r="CK63" i="19"/>
  <c r="CQ36" i="19"/>
  <c r="CV36" i="19" s="1"/>
  <c r="CK84" i="19"/>
  <c r="CL85" i="19"/>
  <c r="CI36" i="19"/>
  <c r="CM36" i="19"/>
  <c r="CN41" i="19"/>
  <c r="CN49" i="19"/>
  <c r="CI41" i="19"/>
  <c r="CK22" i="19"/>
  <c r="CI91" i="19"/>
  <c r="CL17" i="19"/>
  <c r="CN17" i="19" s="1"/>
  <c r="CL52" i="19"/>
  <c r="CM52" i="19" s="1"/>
  <c r="CK49" i="19"/>
  <c r="CQ63" i="19"/>
  <c r="CV63" i="19" s="1"/>
  <c r="CJ36" i="19"/>
  <c r="CL22" i="19"/>
  <c r="CL91" i="19"/>
  <c r="CI63" i="19"/>
  <c r="CL84" i="19"/>
  <c r="CK41" i="19"/>
  <c r="CM33" i="19"/>
  <c r="CM63" i="19"/>
  <c r="CQ49" i="19"/>
  <c r="CV49" i="19" s="1"/>
  <c r="CK36" i="19"/>
  <c r="CJ41" i="19"/>
  <c r="CK24" i="19"/>
  <c r="CJ63" i="19"/>
  <c r="CJ33" i="19"/>
  <c r="CI52" i="19"/>
  <c r="CN33" i="19"/>
  <c r="CK91" i="19"/>
  <c r="CL68" i="19"/>
  <c r="CQ61" i="19"/>
  <c r="CU61" i="19" s="1"/>
  <c r="CM61" i="19"/>
  <c r="CN61" i="19"/>
  <c r="CL24" i="19"/>
  <c r="CJ73" i="19"/>
  <c r="CK61" i="19"/>
  <c r="CJ61" i="19"/>
  <c r="CI61" i="19"/>
  <c r="CJ12" i="19"/>
  <c r="CL71" i="19"/>
  <c r="CK21" i="19"/>
  <c r="CL21" i="19"/>
  <c r="CL39" i="19"/>
  <c r="CK39" i="19"/>
  <c r="CI31" i="19"/>
  <c r="CL31" i="19"/>
  <c r="CJ31" i="19"/>
  <c r="CM48" i="19"/>
  <c r="CK48" i="19"/>
  <c r="CQ70" i="19"/>
  <c r="CV70" i="19" s="1"/>
  <c r="CN70" i="19"/>
  <c r="CN48" i="19"/>
  <c r="CI48" i="19"/>
  <c r="CL15" i="19"/>
  <c r="CJ71" i="19"/>
  <c r="CJ68" i="19"/>
  <c r="CI54" i="19"/>
  <c r="CK54" i="19"/>
  <c r="CL54" i="19"/>
  <c r="CJ54" i="19"/>
  <c r="CI72" i="19"/>
  <c r="CM70" i="19"/>
  <c r="CK15" i="19"/>
  <c r="CI71" i="19"/>
  <c r="CI62" i="19"/>
  <c r="CK62" i="19"/>
  <c r="CL62" i="19"/>
  <c r="CJ62" i="19"/>
  <c r="CL82" i="19"/>
  <c r="CI82" i="19"/>
  <c r="CJ82" i="19"/>
  <c r="CK82" i="19"/>
  <c r="CI37" i="19"/>
  <c r="CJ37" i="19"/>
  <c r="CJ15" i="19"/>
  <c r="CK71" i="19"/>
  <c r="CJ48" i="19"/>
  <c r="CK46" i="19"/>
  <c r="CJ46" i="19"/>
  <c r="CL46" i="19"/>
  <c r="CI46" i="19"/>
  <c r="CJ76" i="19"/>
  <c r="CK76" i="19"/>
  <c r="CL76" i="19"/>
  <c r="CI76" i="19"/>
  <c r="CK50" i="19"/>
  <c r="CI50" i="19"/>
  <c r="CJ27" i="19"/>
  <c r="CI85" i="19"/>
  <c r="CJ85" i="19"/>
  <c r="CI16" i="19"/>
  <c r="CJ16" i="19"/>
  <c r="CL16" i="19"/>
  <c r="CK16" i="19"/>
  <c r="CL83" i="19"/>
  <c r="CK83" i="19"/>
  <c r="CJ44" i="19"/>
  <c r="CK44" i="19"/>
  <c r="CI44" i="19"/>
  <c r="CL44" i="19"/>
  <c r="CI23" i="19"/>
  <c r="CJ42" i="19"/>
  <c r="CL23" i="19"/>
  <c r="CQ23" i="19" s="1"/>
  <c r="CU23" i="19" s="1"/>
  <c r="CJ23" i="19"/>
  <c r="CJ40" i="19"/>
  <c r="CL40" i="19"/>
  <c r="CK40" i="19"/>
  <c r="CI40" i="19"/>
  <c r="CI17" i="19"/>
  <c r="CK17" i="19"/>
  <c r="CM58" i="19"/>
  <c r="CQ58" i="19"/>
  <c r="CU58" i="19" s="1"/>
  <c r="CN58" i="19"/>
  <c r="CJ32" i="19"/>
  <c r="CL32" i="19"/>
  <c r="CI32" i="19"/>
  <c r="CK32" i="19"/>
  <c r="CI34" i="19"/>
  <c r="CL80" i="19"/>
  <c r="CM80" i="19" s="1"/>
  <c r="CI78" i="19"/>
  <c r="CL78" i="19"/>
  <c r="CK78" i="19"/>
  <c r="CJ78" i="19"/>
  <c r="CK56" i="19"/>
  <c r="CI56" i="19"/>
  <c r="CJ56" i="19"/>
  <c r="CL56" i="19"/>
  <c r="BY93" i="19"/>
  <c r="CI80" i="19"/>
  <c r="CK23" i="19"/>
  <c r="CL34" i="19"/>
  <c r="CQ34" i="19" s="1"/>
  <c r="CJ58" i="19"/>
  <c r="CJ34" i="19"/>
  <c r="CM37" i="19"/>
  <c r="CL88" i="19"/>
  <c r="CK88" i="19"/>
  <c r="CK42" i="19"/>
  <c r="CL42" i="19"/>
  <c r="CJ86" i="19"/>
  <c r="CI86" i="19"/>
  <c r="CK86" i="19"/>
  <c r="CL86" i="19"/>
  <c r="CN37" i="19"/>
  <c r="CQ37" i="19"/>
  <c r="CV37" i="19" s="1"/>
  <c r="CI84" i="19"/>
  <c r="CL67" i="19"/>
  <c r="CI67" i="19"/>
  <c r="CK67" i="19"/>
  <c r="CI42" i="19"/>
  <c r="CI38" i="19"/>
  <c r="CJ38" i="19"/>
  <c r="CK38" i="19"/>
  <c r="CL38" i="19"/>
  <c r="CJ67" i="19"/>
  <c r="CJ29" i="19"/>
  <c r="CK29" i="19"/>
  <c r="CL29" i="19"/>
  <c r="CI29" i="19"/>
  <c r="CB93" i="19"/>
  <c r="CE25" i="19" s="1"/>
  <c r="CF25" i="19" s="1"/>
  <c r="CQ72" i="19"/>
  <c r="CV72" i="19" s="1"/>
  <c r="CK92" i="19"/>
  <c r="BZ93" i="19"/>
  <c r="CN72" i="19"/>
  <c r="CM72" i="19"/>
  <c r="CL92" i="19"/>
  <c r="CJ92" i="19"/>
  <c r="BX93" i="19"/>
  <c r="CI33" i="19"/>
  <c r="CK33" i="19"/>
  <c r="CI22" i="19"/>
  <c r="CL69" i="19"/>
  <c r="CQ69" i="19" s="1"/>
  <c r="CJ69" i="19"/>
  <c r="CL18" i="19"/>
  <c r="CJ18" i="19"/>
  <c r="CK18" i="19"/>
  <c r="CI18" i="19"/>
  <c r="CK9" i="19"/>
  <c r="CJ9" i="19"/>
  <c r="CL9" i="19"/>
  <c r="CI9" i="19"/>
  <c r="CJ87" i="19"/>
  <c r="CI87" i="19"/>
  <c r="CL51" i="19"/>
  <c r="CK51" i="19"/>
  <c r="CJ51" i="19"/>
  <c r="CI51" i="19"/>
  <c r="CL89" i="19"/>
  <c r="CK89" i="19"/>
  <c r="CI89" i="19"/>
  <c r="CJ89" i="19"/>
  <c r="CI74" i="19"/>
  <c r="CJ74" i="19"/>
  <c r="CK74" i="19"/>
  <c r="CL74" i="19"/>
  <c r="CJ80" i="19"/>
  <c r="CI58" i="19"/>
  <c r="CK58" i="19"/>
  <c r="CK90" i="19"/>
  <c r="CJ90" i="19"/>
  <c r="CL90" i="19"/>
  <c r="CI90" i="19"/>
  <c r="CJ30" i="19"/>
  <c r="CK30" i="19"/>
  <c r="CI30" i="19"/>
  <c r="CL30" i="19"/>
  <c r="CL59" i="19"/>
  <c r="CJ59" i="19"/>
  <c r="CK59" i="19"/>
  <c r="CI59" i="19"/>
  <c r="CL66" i="19"/>
  <c r="CI66" i="19"/>
  <c r="CJ66" i="19"/>
  <c r="CK66" i="19"/>
  <c r="CJ28" i="19"/>
  <c r="CK28" i="19"/>
  <c r="CL28" i="19"/>
  <c r="CI28" i="19"/>
  <c r="CJ47" i="19"/>
  <c r="CL47" i="19"/>
  <c r="CK47" i="19"/>
  <c r="CI47" i="19"/>
  <c r="CL65" i="19"/>
  <c r="CI65" i="19"/>
  <c r="CK65" i="19"/>
  <c r="CJ65" i="19"/>
  <c r="CL81" i="19"/>
  <c r="CI81" i="19"/>
  <c r="CK81" i="19"/>
  <c r="CJ81" i="19"/>
  <c r="CJ13" i="19"/>
  <c r="CI13" i="19"/>
  <c r="CK13" i="19"/>
  <c r="CL13" i="19"/>
  <c r="CL25" i="19"/>
  <c r="CK25" i="19"/>
  <c r="CI25" i="19"/>
  <c r="CJ25" i="19"/>
  <c r="CU34" i="19" l="1"/>
  <c r="CV69" i="19"/>
  <c r="CU20" i="19"/>
  <c r="CU14" i="19"/>
  <c r="CQ75" i="19"/>
  <c r="CV75" i="19" s="1"/>
  <c r="CM75" i="19"/>
  <c r="CM64" i="19"/>
  <c r="CQ64" i="19"/>
  <c r="CV64" i="19" s="1"/>
  <c r="CN45" i="19"/>
  <c r="CQ53" i="19"/>
  <c r="CU53" i="19" s="1"/>
  <c r="CM27" i="19"/>
  <c r="CQ27" i="19"/>
  <c r="CU27" i="19" s="1"/>
  <c r="CM45" i="19"/>
  <c r="CN53" i="19"/>
  <c r="CQ60" i="19"/>
  <c r="CV60" i="19" s="1"/>
  <c r="CM19" i="19"/>
  <c r="CN43" i="19"/>
  <c r="CQ43" i="19"/>
  <c r="CU43" i="19" s="1"/>
  <c r="CN22" i="19"/>
  <c r="CN19" i="19"/>
  <c r="CN52" i="19"/>
  <c r="CM79" i="19"/>
  <c r="CM60" i="19"/>
  <c r="CQ19" i="19"/>
  <c r="CU19" i="19" s="1"/>
  <c r="CN60" i="19"/>
  <c r="CN79" i="19"/>
  <c r="CQ52" i="19"/>
  <c r="CU52" i="19" s="1"/>
  <c r="CQ57" i="19"/>
  <c r="CU57" i="19" s="1"/>
  <c r="CM87" i="19"/>
  <c r="CE43" i="19"/>
  <c r="CF43" i="19" s="1"/>
  <c r="CM26" i="19"/>
  <c r="CQ26" i="19"/>
  <c r="CN26" i="19"/>
  <c r="CM22" i="19"/>
  <c r="CQ87" i="19"/>
  <c r="CV87" i="19" s="1"/>
  <c r="CN23" i="19"/>
  <c r="CD21" i="19"/>
  <c r="CM57" i="19"/>
  <c r="CN57" i="19"/>
  <c r="CD13" i="19"/>
  <c r="CD50" i="19"/>
  <c r="CE22" i="19"/>
  <c r="CF22" i="19" s="1"/>
  <c r="CE17" i="19"/>
  <c r="CF17" i="19" s="1"/>
  <c r="CE33" i="19"/>
  <c r="CF33" i="19" s="1"/>
  <c r="CE85" i="19"/>
  <c r="CF85" i="19" s="1"/>
  <c r="CD42" i="19"/>
  <c r="CC73" i="19"/>
  <c r="CC68" i="19"/>
  <c r="CD33" i="19"/>
  <c r="CC80" i="19"/>
  <c r="CE92" i="19"/>
  <c r="CF92" i="19" s="1"/>
  <c r="CD47" i="19"/>
  <c r="CC87" i="19"/>
  <c r="CC70" i="19"/>
  <c r="CC22" i="19"/>
  <c r="CD69" i="19"/>
  <c r="CC24" i="19"/>
  <c r="CD75" i="19"/>
  <c r="CC52" i="19"/>
  <c r="CD83" i="19"/>
  <c r="CC37" i="19"/>
  <c r="CD87" i="19"/>
  <c r="CD91" i="19"/>
  <c r="CE60" i="19"/>
  <c r="CF60" i="19" s="1"/>
  <c r="CD72" i="19"/>
  <c r="CD56" i="19"/>
  <c r="CD31" i="19"/>
  <c r="CC25" i="19"/>
  <c r="CC78" i="19"/>
  <c r="CC49" i="19"/>
  <c r="CE76" i="19"/>
  <c r="CF76" i="19" s="1"/>
  <c r="CC61" i="19"/>
  <c r="CD58" i="19"/>
  <c r="CD77" i="19"/>
  <c r="CD66" i="19"/>
  <c r="CC77" i="19"/>
  <c r="CD23" i="19"/>
  <c r="CE77" i="19"/>
  <c r="CF77" i="19" s="1"/>
  <c r="CE61" i="19"/>
  <c r="CF61" i="19" s="1"/>
  <c r="CE55" i="19"/>
  <c r="CF55" i="19" s="1"/>
  <c r="CE10" i="19"/>
  <c r="CF10" i="19" s="1"/>
  <c r="CD15" i="19"/>
  <c r="CC62" i="19"/>
  <c r="CQ15" i="19"/>
  <c r="CU15" i="19" s="1"/>
  <c r="CD36" i="19"/>
  <c r="CD61" i="19"/>
  <c r="CE24" i="19"/>
  <c r="CF24" i="19" s="1"/>
  <c r="CD45" i="19"/>
  <c r="CC45" i="19"/>
  <c r="CC90" i="19"/>
  <c r="CC54" i="19"/>
  <c r="CC43" i="19"/>
  <c r="CE34" i="19"/>
  <c r="CF34" i="19" s="1"/>
  <c r="CE12" i="19"/>
  <c r="CF12" i="19" s="1"/>
  <c r="CE63" i="19"/>
  <c r="CF63" i="19" s="1"/>
  <c r="CD30" i="19"/>
  <c r="CE37" i="19"/>
  <c r="CF37" i="19" s="1"/>
  <c r="CD89" i="19"/>
  <c r="CC28" i="19"/>
  <c r="CC51" i="19"/>
  <c r="CE84" i="19"/>
  <c r="CF84" i="19" s="1"/>
  <c r="CE64" i="19"/>
  <c r="CF64" i="19" s="1"/>
  <c r="CD68" i="19"/>
  <c r="CC81" i="19"/>
  <c r="CC82" i="19"/>
  <c r="CC86" i="19"/>
  <c r="CE49" i="19"/>
  <c r="CF49" i="19" s="1"/>
  <c r="CD39" i="19"/>
  <c r="CE67" i="19"/>
  <c r="CF67" i="19" s="1"/>
  <c r="CC88" i="19"/>
  <c r="CD19" i="19"/>
  <c r="CD64" i="19"/>
  <c r="CC19" i="19"/>
  <c r="CE36" i="19"/>
  <c r="CF36" i="19" s="1"/>
  <c r="CC36" i="19"/>
  <c r="CE81" i="19"/>
  <c r="CF81" i="19" s="1"/>
  <c r="CE18" i="19"/>
  <c r="CF18" i="19" s="1"/>
  <c r="CE40" i="19"/>
  <c r="CF40" i="19" s="1"/>
  <c r="CE9" i="19"/>
  <c r="CF9" i="19" s="1"/>
  <c r="CC75" i="19"/>
  <c r="CD51" i="19"/>
  <c r="CE51" i="19"/>
  <c r="CF51" i="19" s="1"/>
  <c r="CC60" i="19"/>
  <c r="CD32" i="19"/>
  <c r="CD17" i="19"/>
  <c r="CD41" i="19"/>
  <c r="CE31" i="19"/>
  <c r="CF31" i="19" s="1"/>
  <c r="CC11" i="19"/>
  <c r="CD84" i="19"/>
  <c r="CC92" i="19"/>
  <c r="CD79" i="19"/>
  <c r="CC27" i="19"/>
  <c r="CC38" i="19"/>
  <c r="CM15" i="19"/>
  <c r="CQ79" i="19"/>
  <c r="CC20" i="19"/>
  <c r="CD44" i="19"/>
  <c r="CC84" i="19"/>
  <c r="CE59" i="19"/>
  <c r="CF59" i="19" s="1"/>
  <c r="CD86" i="19"/>
  <c r="CE46" i="19"/>
  <c r="CF46" i="19" s="1"/>
  <c r="CE26" i="19"/>
  <c r="CF26" i="19" s="1"/>
  <c r="CE56" i="19"/>
  <c r="CF56" i="19" s="1"/>
  <c r="CE19" i="19"/>
  <c r="CF19" i="19" s="1"/>
  <c r="CC40" i="19"/>
  <c r="CE89" i="19"/>
  <c r="CF89" i="19" s="1"/>
  <c r="CC67" i="19"/>
  <c r="CD52" i="19"/>
  <c r="CE28" i="19"/>
  <c r="CF28" i="19" s="1"/>
  <c r="CD92" i="19"/>
  <c r="CE38" i="19"/>
  <c r="CF38" i="19" s="1"/>
  <c r="CD65" i="19"/>
  <c r="CC56" i="19"/>
  <c r="CE75" i="19"/>
  <c r="CF75" i="19" s="1"/>
  <c r="CC15" i="19"/>
  <c r="CE57" i="19"/>
  <c r="CF57" i="19" s="1"/>
  <c r="CN15" i="19"/>
  <c r="CE72" i="19"/>
  <c r="CF72" i="19" s="1"/>
  <c r="CD28" i="19"/>
  <c r="CC57" i="19"/>
  <c r="CC23" i="19"/>
  <c r="CD49" i="19"/>
  <c r="CE69" i="19"/>
  <c r="CF69" i="19" s="1"/>
  <c r="CC14" i="19"/>
  <c r="CC63" i="19"/>
  <c r="CC89" i="19"/>
  <c r="CC33" i="19"/>
  <c r="CC41" i="19"/>
  <c r="CD85" i="19"/>
  <c r="CC58" i="19"/>
  <c r="CC79" i="19"/>
  <c r="CC26" i="19"/>
  <c r="CE88" i="19"/>
  <c r="CF88" i="19" s="1"/>
  <c r="CE91" i="19"/>
  <c r="CF91" i="19" s="1"/>
  <c r="CE15" i="19"/>
  <c r="CF15" i="19" s="1"/>
  <c r="CE82" i="19"/>
  <c r="CF82" i="19" s="1"/>
  <c r="CE45" i="19"/>
  <c r="CF45" i="19" s="1"/>
  <c r="CC69" i="19"/>
  <c r="CM73" i="19"/>
  <c r="CN73" i="19"/>
  <c r="CQ73" i="19"/>
  <c r="CE86" i="19"/>
  <c r="CF86" i="19" s="1"/>
  <c r="CD27" i="19"/>
  <c r="CE52" i="19"/>
  <c r="CF52" i="19" s="1"/>
  <c r="CE66" i="19"/>
  <c r="CF66" i="19" s="1"/>
  <c r="CE41" i="19"/>
  <c r="CF41" i="19" s="1"/>
  <c r="CC65" i="19"/>
  <c r="CC53" i="19"/>
  <c r="CD29" i="19"/>
  <c r="CD55" i="19"/>
  <c r="CD26" i="19"/>
  <c r="CC46" i="19"/>
  <c r="CE14" i="19"/>
  <c r="CF14" i="19" s="1"/>
  <c r="CC42" i="19"/>
  <c r="CD20" i="19"/>
  <c r="CD67" i="19"/>
  <c r="CD63" i="19"/>
  <c r="CD37" i="19"/>
  <c r="CC17" i="19"/>
  <c r="CE16" i="19"/>
  <c r="CF16" i="19" s="1"/>
  <c r="CE27" i="19"/>
  <c r="CF27" i="19" s="1"/>
  <c r="CD25" i="19"/>
  <c r="CE39" i="19"/>
  <c r="CF39" i="19" s="1"/>
  <c r="CE29" i="19"/>
  <c r="CF29" i="19" s="1"/>
  <c r="CE54" i="19"/>
  <c r="CF54" i="19" s="1"/>
  <c r="CC16" i="19"/>
  <c r="CD34" i="19"/>
  <c r="CE73" i="19"/>
  <c r="CF73" i="19" s="1"/>
  <c r="CD38" i="19"/>
  <c r="CD70" i="19"/>
  <c r="CD54" i="19"/>
  <c r="CC18" i="19"/>
  <c r="CC9" i="19"/>
  <c r="CD46" i="19"/>
  <c r="CD62" i="19"/>
  <c r="CD24" i="19"/>
  <c r="CC12" i="19"/>
  <c r="CC47" i="19"/>
  <c r="CC48" i="19"/>
  <c r="CC10" i="19"/>
  <c r="CC91" i="19"/>
  <c r="CD12" i="19"/>
  <c r="CE13" i="19"/>
  <c r="CF13" i="19" s="1"/>
  <c r="CC35" i="19"/>
  <c r="CD35" i="19"/>
  <c r="CE20" i="19"/>
  <c r="CF20" i="19" s="1"/>
  <c r="CC21" i="19"/>
  <c r="CE74" i="19"/>
  <c r="CF74" i="19" s="1"/>
  <c r="CE48" i="19"/>
  <c r="CF48" i="19" s="1"/>
  <c r="CC39" i="19"/>
  <c r="CD22" i="19"/>
  <c r="CE70" i="19"/>
  <c r="CF70" i="19" s="1"/>
  <c r="CN77" i="19"/>
  <c r="CM77" i="19"/>
  <c r="CQ77" i="19"/>
  <c r="CN84" i="19"/>
  <c r="CQ84" i="19"/>
  <c r="CM84" i="19"/>
  <c r="CQ85" i="19"/>
  <c r="CU85" i="19" s="1"/>
  <c r="CM85" i="19"/>
  <c r="CN85" i="19"/>
  <c r="CM69" i="19"/>
  <c r="CM17" i="19"/>
  <c r="CN91" i="19"/>
  <c r="CM91" i="19"/>
  <c r="CQ91" i="19"/>
  <c r="CM71" i="19"/>
  <c r="CQ22" i="19"/>
  <c r="CQ17" i="19"/>
  <c r="CU17" i="19" s="1"/>
  <c r="CM68" i="19"/>
  <c r="CQ68" i="19"/>
  <c r="CN68" i="19"/>
  <c r="CC50" i="19"/>
  <c r="CD82" i="19"/>
  <c r="CD88" i="19"/>
  <c r="CC44" i="19"/>
  <c r="CE80" i="19"/>
  <c r="CF80" i="19" s="1"/>
  <c r="CQ71" i="19"/>
  <c r="CE11" i="19"/>
  <c r="CF11" i="19" s="1"/>
  <c r="CE35" i="19"/>
  <c r="CF35" i="19" s="1"/>
  <c r="CD40" i="19"/>
  <c r="CC64" i="19"/>
  <c r="CE79" i="19"/>
  <c r="CF79" i="19" s="1"/>
  <c r="CM24" i="19"/>
  <c r="CN24" i="19"/>
  <c r="CQ24" i="19"/>
  <c r="CM39" i="19"/>
  <c r="CN39" i="19"/>
  <c r="CQ39" i="19"/>
  <c r="CD71" i="19"/>
  <c r="CC76" i="19"/>
  <c r="CD81" i="19"/>
  <c r="CD78" i="19"/>
  <c r="CC59" i="19"/>
  <c r="CE87" i="19"/>
  <c r="CF87" i="19" s="1"/>
  <c r="CC72" i="19"/>
  <c r="CC74" i="19"/>
  <c r="CE68" i="19"/>
  <c r="CF68" i="19" s="1"/>
  <c r="CE44" i="19"/>
  <c r="CF44" i="19" s="1"/>
  <c r="CC31" i="19"/>
  <c r="CN21" i="19"/>
  <c r="CM21" i="19"/>
  <c r="CQ21" i="19"/>
  <c r="CN71" i="19"/>
  <c r="CN31" i="19"/>
  <c r="CM31" i="19"/>
  <c r="CQ31" i="19"/>
  <c r="CC83" i="19"/>
  <c r="CC66" i="19"/>
  <c r="CD11" i="19"/>
  <c r="CD73" i="19"/>
  <c r="CE58" i="19"/>
  <c r="CF58" i="19" s="1"/>
  <c r="CE83" i="19"/>
  <c r="CF83" i="19" s="1"/>
  <c r="CC13" i="19"/>
  <c r="CE90" i="19"/>
  <c r="CF90" i="19" s="1"/>
  <c r="CD76" i="19"/>
  <c r="CD53" i="19"/>
  <c r="CE65" i="19"/>
  <c r="CF65" i="19" s="1"/>
  <c r="CC30" i="19"/>
  <c r="CD80" i="19"/>
  <c r="CD9" i="19"/>
  <c r="CD48" i="19"/>
  <c r="CE53" i="19"/>
  <c r="CF53" i="19" s="1"/>
  <c r="CE23" i="19"/>
  <c r="CF23" i="19" s="1"/>
  <c r="CD43" i="19"/>
  <c r="CE47" i="19"/>
  <c r="CF47" i="19" s="1"/>
  <c r="CC29" i="19"/>
  <c r="CC71" i="19"/>
  <c r="CD90" i="19"/>
  <c r="CQ46" i="19"/>
  <c r="CN46" i="19"/>
  <c r="CM46" i="19"/>
  <c r="CN82" i="19"/>
  <c r="CM82" i="19"/>
  <c r="CQ82" i="19"/>
  <c r="CN54" i="19"/>
  <c r="CM54" i="19"/>
  <c r="CQ54" i="19"/>
  <c r="CE21" i="19"/>
  <c r="CF21" i="19" s="1"/>
  <c r="CE71" i="19"/>
  <c r="CF71" i="19" s="1"/>
  <c r="CD59" i="19"/>
  <c r="CD14" i="19"/>
  <c r="CM62" i="19"/>
  <c r="CQ62" i="19"/>
  <c r="CN62" i="19"/>
  <c r="CE32" i="19"/>
  <c r="CF32" i="19" s="1"/>
  <c r="CD16" i="19"/>
  <c r="CC85" i="19"/>
  <c r="CE30" i="19"/>
  <c r="CF30" i="19" s="1"/>
  <c r="CM76" i="19"/>
  <c r="CN76" i="19"/>
  <c r="CQ76" i="19"/>
  <c r="CQ16" i="19"/>
  <c r="CM16" i="19"/>
  <c r="CN16" i="19"/>
  <c r="CI93" i="19"/>
  <c r="CQ40" i="19"/>
  <c r="CM40" i="19"/>
  <c r="CN40" i="19"/>
  <c r="CN83" i="19"/>
  <c r="CM83" i="19"/>
  <c r="CQ83" i="19"/>
  <c r="CC55" i="19"/>
  <c r="CD74" i="19"/>
  <c r="CD57" i="19"/>
  <c r="CD60" i="19"/>
  <c r="CE42" i="19"/>
  <c r="CF42" i="19" s="1"/>
  <c r="CC34" i="19"/>
  <c r="CE78" i="19"/>
  <c r="CF78" i="19" s="1"/>
  <c r="CD18" i="19"/>
  <c r="CM44" i="19"/>
  <c r="CQ44" i="19"/>
  <c r="CN44" i="19"/>
  <c r="CM23" i="19"/>
  <c r="CM78" i="19"/>
  <c r="CN78" i="19"/>
  <c r="CQ78" i="19"/>
  <c r="CM56" i="19"/>
  <c r="CQ56" i="19"/>
  <c r="CN56" i="19"/>
  <c r="CM32" i="19"/>
  <c r="CN32" i="19"/>
  <c r="CQ32" i="19"/>
  <c r="CN34" i="19"/>
  <c r="CM34" i="19"/>
  <c r="CN80" i="19"/>
  <c r="CQ80" i="19"/>
  <c r="CE50" i="19"/>
  <c r="CF50" i="19" s="1"/>
  <c r="CC32" i="19"/>
  <c r="CQ86" i="19"/>
  <c r="CN86" i="19"/>
  <c r="CM86" i="19"/>
  <c r="CD10" i="19"/>
  <c r="CE62" i="19"/>
  <c r="CF62" i="19" s="1"/>
  <c r="CM38" i="19"/>
  <c r="CN38" i="19"/>
  <c r="CQ38" i="19"/>
  <c r="CM88" i="19"/>
  <c r="CN88" i="19"/>
  <c r="CQ88" i="19"/>
  <c r="CN67" i="19"/>
  <c r="CQ67" i="19"/>
  <c r="CM67" i="19"/>
  <c r="CN29" i="19"/>
  <c r="CQ29" i="19"/>
  <c r="CM29" i="19"/>
  <c r="CN42" i="19"/>
  <c r="CQ42" i="19"/>
  <c r="CM42" i="19"/>
  <c r="CQ92" i="19"/>
  <c r="CN92" i="19"/>
  <c r="CM92" i="19"/>
  <c r="CJ93" i="19"/>
  <c r="CN69" i="19"/>
  <c r="CM51" i="19"/>
  <c r="CN51" i="19"/>
  <c r="CQ51" i="19"/>
  <c r="CK93" i="19"/>
  <c r="CQ74" i="19"/>
  <c r="CM74" i="19"/>
  <c r="CN74" i="19"/>
  <c r="CN89" i="19"/>
  <c r="CM89" i="19"/>
  <c r="CQ89" i="19"/>
  <c r="CN9" i="19"/>
  <c r="CQ9" i="19"/>
  <c r="CM9" i="19"/>
  <c r="CM18" i="19"/>
  <c r="CQ18" i="19"/>
  <c r="CN18" i="19"/>
  <c r="CM65" i="19"/>
  <c r="CQ65" i="19"/>
  <c r="CN65" i="19"/>
  <c r="CN66" i="19"/>
  <c r="CQ66" i="19"/>
  <c r="CM66" i="19"/>
  <c r="CN28" i="19"/>
  <c r="CM28" i="19"/>
  <c r="CQ28" i="19"/>
  <c r="CM25" i="19"/>
  <c r="CQ25" i="19"/>
  <c r="CN25" i="19"/>
  <c r="CM13" i="19"/>
  <c r="CN13" i="19"/>
  <c r="CQ13" i="19"/>
  <c r="CN81" i="19"/>
  <c r="CM81" i="19"/>
  <c r="CQ81" i="19"/>
  <c r="CN90" i="19"/>
  <c r="CM90" i="19"/>
  <c r="CQ90" i="19"/>
  <c r="CN47" i="19"/>
  <c r="CM47" i="19"/>
  <c r="CQ47" i="19"/>
  <c r="CN59" i="19"/>
  <c r="CM59" i="19"/>
  <c r="CQ59" i="19"/>
  <c r="CQ30" i="19"/>
  <c r="CN30" i="19"/>
  <c r="CM30" i="19"/>
  <c r="CU21" i="19" l="1"/>
  <c r="CV89" i="19"/>
  <c r="CV38" i="19"/>
  <c r="CU40" i="19"/>
  <c r="CV76" i="19"/>
  <c r="CU22" i="19"/>
  <c r="CU44" i="19"/>
  <c r="CU30" i="19"/>
  <c r="CV81" i="19"/>
  <c r="CV18" i="19"/>
  <c r="CV74" i="19"/>
  <c r="CU29" i="19"/>
  <c r="CV78" i="19"/>
  <c r="CU24" i="19"/>
  <c r="CV77" i="19"/>
  <c r="CV59" i="19"/>
  <c r="CV88" i="19"/>
  <c r="CV80" i="19"/>
  <c r="CU71" i="19"/>
  <c r="CV68" i="19"/>
  <c r="CV73" i="19"/>
  <c r="CU26" i="19"/>
  <c r="CV65" i="19"/>
  <c r="CU25" i="19"/>
  <c r="CV86" i="19"/>
  <c r="CU46" i="19"/>
  <c r="CV79" i="19"/>
  <c r="CV39" i="19"/>
  <c r="CU9" i="19"/>
  <c r="CV90" i="19"/>
  <c r="CV84" i="19"/>
  <c r="CV13" i="19"/>
  <c r="CV66" i="19"/>
  <c r="CU42" i="19"/>
  <c r="CU47" i="19"/>
  <c r="CV67" i="19"/>
  <c r="CU51" i="19"/>
  <c r="CV82" i="19"/>
  <c r="CV31" i="19"/>
  <c r="CU28" i="19"/>
  <c r="CV32" i="19"/>
  <c r="CU56" i="19"/>
  <c r="CV83" i="19"/>
  <c r="CU16" i="19"/>
  <c r="CV62" i="19"/>
  <c r="CU54" i="19"/>
  <c r="CD93" i="19"/>
  <c r="CC93" i="19"/>
  <c r="CF93" i="19"/>
  <c r="CF94" i="19" s="1"/>
  <c r="CE93" i="19"/>
  <c r="CM93" i="19"/>
  <c r="CM95" i="19" s="1"/>
  <c r="CU93" i="19" l="1"/>
  <c r="CV93" i="19"/>
  <c r="CX93" i="19" l="1"/>
  <c r="CW9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Lambe, Diana</author>
  </authors>
  <commentList>
    <comment ref="V11" authorId="0" shapeId="0" xr:uid="{2822D57C-DDE6-41D3-BCB3-6AD302B3D648}">
      <text>
        <r>
          <rPr>
            <sz val="9"/>
            <color indexed="81"/>
            <rFont val="Tahoma"/>
            <family val="2"/>
          </rPr>
          <t>Letter from Intermediary fixing data point</t>
        </r>
      </text>
    </comment>
    <comment ref="U12" authorId="0" shapeId="0" xr:uid="{C0583483-BCB5-4007-8C1B-CB34A164BF89}">
      <text>
        <r>
          <rPr>
            <b/>
            <sz val="9"/>
            <color indexed="81"/>
            <rFont val="Tahoma"/>
            <family val="2"/>
          </rPr>
          <t xml:space="preserve">State Teaching Hospital is paid by legislature
</t>
        </r>
      </text>
    </comment>
    <comment ref="V16" authorId="0" shapeId="0" xr:uid="{EF1CA1A2-4810-41ED-B15C-A68AB656F1CC}">
      <text>
        <r>
          <rPr>
            <sz val="9"/>
            <color indexed="81"/>
            <rFont val="Tahoma"/>
            <family val="2"/>
          </rPr>
          <t>Letter from intermediary fixing IME</t>
        </r>
      </text>
    </comment>
    <comment ref="W16" authorId="0" shapeId="0" xr:uid="{8099BAB2-1D7F-404C-97C0-D1AACCD31767}">
      <text>
        <r>
          <rPr>
            <sz val="9"/>
            <color indexed="81"/>
            <rFont val="Tahoma"/>
            <family val="2"/>
          </rPr>
          <t xml:space="preserve">Letter from intermediary fixing IME
</t>
        </r>
      </text>
    </comment>
    <comment ref="V18" authorId="0" shapeId="0" xr:uid="{B76CAEBC-DACC-473D-B100-B51CB9A69753}">
      <text>
        <r>
          <rPr>
            <sz val="9"/>
            <color indexed="81"/>
            <rFont val="Tahoma"/>
            <family val="2"/>
          </rPr>
          <t>Letter from Intermediary fixing data point</t>
        </r>
      </text>
    </comment>
    <comment ref="W18" authorId="0" shapeId="0" xr:uid="{50851559-A2F7-46C7-AE57-063FC1DBF50F}">
      <text>
        <r>
          <rPr>
            <sz val="9"/>
            <color indexed="81"/>
            <rFont val="Tahoma"/>
            <family val="2"/>
          </rPr>
          <t>Letter from Intermediary fixing data point</t>
        </r>
      </text>
    </comment>
    <comment ref="U20" authorId="0" shapeId="0" xr:uid="{987E3E9F-357B-47E5-92DE-3C12B8CFD48C}">
      <text>
        <r>
          <rPr>
            <b/>
            <sz val="9"/>
            <color indexed="81"/>
            <rFont val="Tahoma"/>
            <family val="2"/>
          </rPr>
          <t>State Teaching Hospital paid through legislature</t>
        </r>
      </text>
    </comment>
    <comment ref="V20" authorId="0" shapeId="0" xr:uid="{37D71DD7-1CE8-4F37-BF3C-711511925B42}">
      <text>
        <r>
          <rPr>
            <sz val="9"/>
            <color indexed="81"/>
            <rFont val="Tahoma"/>
            <family val="2"/>
          </rPr>
          <t>Letter from Intermediary fixing data point</t>
        </r>
      </text>
    </comment>
    <comment ref="W20" authorId="0" shapeId="0" xr:uid="{5DFD3DE4-E08E-4C12-BC91-8A9EBC27E904}">
      <text>
        <r>
          <rPr>
            <sz val="9"/>
            <color indexed="81"/>
            <rFont val="Tahoma"/>
            <family val="2"/>
          </rPr>
          <t xml:space="preserve">Letter from Intermediary fixing data point
</t>
        </r>
      </text>
    </comment>
    <comment ref="M21" authorId="0" shapeId="0" xr:uid="{6753F68B-4347-4862-B2C3-F5D8F912CA04}">
      <text>
        <r>
          <rPr>
            <b/>
            <sz val="9"/>
            <color indexed="81"/>
            <rFont val="Tahoma"/>
            <family val="2"/>
          </rPr>
          <t>Not meaningful E H R user according to CMS</t>
        </r>
        <r>
          <rPr>
            <sz val="9"/>
            <color indexed="81"/>
            <rFont val="Tahoma"/>
            <family val="2"/>
          </rPr>
          <t xml:space="preserve">
</t>
        </r>
      </text>
    </comment>
    <comment ref="O21" authorId="0" shapeId="0" xr:uid="{05A73EBB-3178-4FBD-A711-82176BC161CF}">
      <text>
        <r>
          <rPr>
            <b/>
            <sz val="9"/>
            <color indexed="81"/>
            <rFont val="Tahoma"/>
            <family val="2"/>
          </rPr>
          <t>Not meaningful E H R user according to CMS</t>
        </r>
        <r>
          <rPr>
            <sz val="9"/>
            <color indexed="81"/>
            <rFont val="Tahoma"/>
            <family val="2"/>
          </rPr>
          <t xml:space="preserve">
</t>
        </r>
      </text>
    </comment>
    <comment ref="F32" authorId="0" shapeId="0" xr:uid="{25D8B528-8E08-44D5-B572-889507E63798}">
      <text>
        <r>
          <rPr>
            <sz val="9"/>
            <color indexed="81"/>
            <rFont val="Tahoma"/>
            <family val="2"/>
          </rPr>
          <t xml:space="preserve">Switched to SCH from MDH this year
</t>
        </r>
      </text>
    </comment>
    <comment ref="V38" authorId="0" shapeId="0" xr:uid="{D0C82099-4B5C-48C4-924F-797E70CA53D1}">
      <text>
        <r>
          <rPr>
            <sz val="9"/>
            <color indexed="81"/>
            <rFont val="Tahoma"/>
            <family val="2"/>
          </rPr>
          <t>Letter from intermediary fixing IME</t>
        </r>
      </text>
    </comment>
    <comment ref="W38" authorId="0" shapeId="0" xr:uid="{87F6C323-10E6-4B4E-84FF-ECFBA5C1F7F8}">
      <text>
        <r>
          <rPr>
            <sz val="9"/>
            <color indexed="81"/>
            <rFont val="Tahoma"/>
            <family val="2"/>
          </rPr>
          <t xml:space="preserve">Letter from intermediary fixing IME
</t>
        </r>
      </text>
    </comment>
    <comment ref="V40" authorId="0" shapeId="0" xr:uid="{9DCEBE74-A65C-4E54-B426-987F28E8D8DD}">
      <text>
        <r>
          <rPr>
            <sz val="9"/>
            <color indexed="81"/>
            <rFont val="Tahoma"/>
            <family val="2"/>
          </rPr>
          <t>Letter from intermediary fixing IME</t>
        </r>
      </text>
    </comment>
    <comment ref="W40" authorId="0" shapeId="0" xr:uid="{8E4653EA-203D-413D-8EBE-C07F2A5B92EA}">
      <text>
        <r>
          <rPr>
            <sz val="9"/>
            <color indexed="81"/>
            <rFont val="Tahoma"/>
            <family val="2"/>
          </rPr>
          <t>Letter from intermediary fixing IME</t>
        </r>
      </text>
    </comment>
    <comment ref="Z64" authorId="0" shapeId="0" xr:uid="{951880A0-1077-4B86-95E6-83278377803E}">
      <text>
        <r>
          <rPr>
            <sz val="9"/>
            <color indexed="81"/>
            <rFont val="Tahoma"/>
            <family val="2"/>
          </rPr>
          <t xml:space="preserve">Non-PPS hospital IME calculated by the State
</t>
        </r>
      </text>
    </comment>
    <comment ref="Z87" authorId="0" shapeId="0" xr:uid="{77F04FC9-7B74-497C-B40E-AF81D43731A9}">
      <text>
        <r>
          <rPr>
            <sz val="9"/>
            <color indexed="81"/>
            <rFont val="Tahoma"/>
            <family val="2"/>
          </rPr>
          <t>Non-PPS hospital IME calculated by the State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Lambe, Diana</author>
  </authors>
  <commentList>
    <comment ref="D68" authorId="0" shapeId="0" xr:uid="{DAFA062C-4F78-401C-93EB-EFDE951392AE}">
      <text>
        <r>
          <rPr>
            <sz val="9"/>
            <color indexed="81"/>
            <rFont val="Tahoma"/>
            <family val="2"/>
          </rPr>
          <t>Non-PPS IME calculated by State</t>
        </r>
      </text>
    </comment>
    <comment ref="D91" authorId="0" shapeId="0" xr:uid="{9496723E-035A-47D6-BFD6-D47A5433E766}">
      <text>
        <r>
          <rPr>
            <sz val="9"/>
            <color indexed="81"/>
            <rFont val="Tahoma"/>
            <family val="2"/>
          </rPr>
          <t xml:space="preserve">Non-PPS IME calculated by State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Lambe, Diana</author>
  </authors>
  <commentList>
    <comment ref="M29" authorId="0" shapeId="0" xr:uid="{DFE089C4-E04A-4F41-97C0-D4D3C141C6CC}">
      <text>
        <r>
          <rPr>
            <sz val="9"/>
            <color indexed="81"/>
            <rFont val="Tahoma"/>
            <family val="2"/>
          </rPr>
          <t>Switched to SCH from MDH this year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Lambe, Diana</author>
  </authors>
  <commentList>
    <comment ref="AI30" authorId="0" shapeId="0" xr:uid="{2AF9F822-2F36-4E84-A25F-F53DBD5CD539}">
      <text>
        <r>
          <rPr>
            <sz val="9"/>
            <color indexed="81"/>
            <rFont val="Tahoma"/>
            <family val="2"/>
          </rPr>
          <t>Switched from MDH prior year</t>
        </r>
      </text>
    </comment>
  </commentList>
</comments>
</file>

<file path=xl/sharedStrings.xml><?xml version="1.0" encoding="utf-8"?>
<sst xmlns="http://schemas.openxmlformats.org/spreadsheetml/2006/main" count="5291" uniqueCount="3793">
  <si>
    <t>General</t>
  </si>
  <si>
    <t>CAH</t>
  </si>
  <si>
    <t>Readmission adjustment</t>
  </si>
  <si>
    <t>HAC adjustment</t>
  </si>
  <si>
    <t xml:space="preserve"> </t>
  </si>
  <si>
    <t>FY 2022 CMS Impact File CN</t>
  </si>
  <si>
    <t>Most Recently Audited Cost Report &amp; Internal MMIS clm cts</t>
  </si>
  <si>
    <t>Medicare ID (Numeric w/out leading 0)</t>
  </si>
  <si>
    <t>Medicare ID (Text)</t>
  </si>
  <si>
    <t>Medicaid ID</t>
  </si>
  <si>
    <t>NPI</t>
  </si>
  <si>
    <t>Medicare Federal Base Rate w/Wage Index/GAF Adj for PPS Hospitals / No Adj for Non-PPS Hospitals</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</si>
  <si>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</si>
  <si>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</si>
  <si>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</si>
  <si>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</si>
  <si>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</si>
  <si>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</si>
  <si>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</si>
  <si>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</si>
  <si>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</si>
  <si>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</si>
  <si>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</si>
  <si>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</si>
  <si>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</si>
  <si>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</si>
  <si>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</si>
  <si>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</si>
  <si>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</si>
  <si>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</si>
  <si>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</si>
  <si>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</si>
  <si>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</si>
  <si>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</si>
  <si>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</si>
  <si>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</si>
  <si>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</si>
  <si>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</si>
  <si>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</si>
  <si>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2</t>
  </si>
  <si>
    <t>060001</t>
  </si>
  <si>
    <t>05001003</t>
  </si>
  <si>
    <t>060003</t>
  </si>
  <si>
    <t>05003009</t>
  </si>
  <si>
    <t>060004</t>
  </si>
  <si>
    <t>05004007</t>
  </si>
  <si>
    <t>060006</t>
  </si>
  <si>
    <t>05006002</t>
  </si>
  <si>
    <t>060008</t>
  </si>
  <si>
    <t>05008008</t>
  </si>
  <si>
    <t>1235181744</t>
  </si>
  <si>
    <t>060009</t>
  </si>
  <si>
    <t>05009006</t>
  </si>
  <si>
    <t>060010</t>
  </si>
  <si>
    <t>05010004</t>
  </si>
  <si>
    <t>060011</t>
  </si>
  <si>
    <t>92927246</t>
  </si>
  <si>
    <t>060012</t>
  </si>
  <si>
    <t>05012000</t>
  </si>
  <si>
    <t>060013</t>
  </si>
  <si>
    <t>36173371</t>
  </si>
  <si>
    <t>060014</t>
  </si>
  <si>
    <t>05014006</t>
  </si>
  <si>
    <t>060015</t>
  </si>
  <si>
    <t>05015003</t>
  </si>
  <si>
    <t>060020</t>
  </si>
  <si>
    <t>05020003</t>
  </si>
  <si>
    <t>060022</t>
  </si>
  <si>
    <t>09257829</t>
  </si>
  <si>
    <t>060023</t>
  </si>
  <si>
    <t>05023007</t>
  </si>
  <si>
    <t>060024</t>
  </si>
  <si>
    <t>05024005</t>
  </si>
  <si>
    <t>060027</t>
  </si>
  <si>
    <t>05027008</t>
  </si>
  <si>
    <t>060028</t>
  </si>
  <si>
    <t>05028006</t>
  </si>
  <si>
    <t>060030</t>
  </si>
  <si>
    <t>05030002</t>
  </si>
  <si>
    <t>060031</t>
  </si>
  <si>
    <t>9000153822</t>
  </si>
  <si>
    <t>060032</t>
  </si>
  <si>
    <t>38977320</t>
  </si>
  <si>
    <t>060034</t>
  </si>
  <si>
    <t>28650051</t>
  </si>
  <si>
    <t>060044</t>
  </si>
  <si>
    <t>64953238</t>
  </si>
  <si>
    <t>060049</t>
  </si>
  <si>
    <t>9000134472</t>
  </si>
  <si>
    <t>060054</t>
  </si>
  <si>
    <t>05054002</t>
  </si>
  <si>
    <t>060064</t>
  </si>
  <si>
    <t>05064001</t>
  </si>
  <si>
    <t>060065</t>
  </si>
  <si>
    <t>05065008</t>
  </si>
  <si>
    <t>060071</t>
  </si>
  <si>
    <t>05071006</t>
  </si>
  <si>
    <t>060075</t>
  </si>
  <si>
    <t>05075007</t>
  </si>
  <si>
    <t>060076</t>
  </si>
  <si>
    <t>05076005</t>
  </si>
  <si>
    <t>060096</t>
  </si>
  <si>
    <t>05161005</t>
  </si>
  <si>
    <t>060100</t>
  </si>
  <si>
    <t>05000104</t>
  </si>
  <si>
    <t>060103</t>
  </si>
  <si>
    <t>05010301</t>
  </si>
  <si>
    <t>060104</t>
  </si>
  <si>
    <t>05000070</t>
  </si>
  <si>
    <t>060107</t>
  </si>
  <si>
    <t>05000112</t>
  </si>
  <si>
    <t>060112</t>
  </si>
  <si>
    <t>56557230</t>
  </si>
  <si>
    <t>060113</t>
  </si>
  <si>
    <t>31474381</t>
  </si>
  <si>
    <t>060114</t>
  </si>
  <si>
    <t>56572271</t>
  </si>
  <si>
    <t>060116</t>
  </si>
  <si>
    <t>06035728</t>
  </si>
  <si>
    <t>060117</t>
  </si>
  <si>
    <t>34172271</t>
  </si>
  <si>
    <t>060118</t>
  </si>
  <si>
    <t>89080785</t>
  </si>
  <si>
    <t>060119</t>
  </si>
  <si>
    <t>33835039</t>
  </si>
  <si>
    <t>060124</t>
  </si>
  <si>
    <t>9000193887</t>
  </si>
  <si>
    <t>1306176839</t>
  </si>
  <si>
    <t>060125</t>
  </si>
  <si>
    <t>00675776</t>
  </si>
  <si>
    <t>060126</t>
  </si>
  <si>
    <t>27804275</t>
  </si>
  <si>
    <t>060128</t>
  </si>
  <si>
    <t>9000158522</t>
  </si>
  <si>
    <t>060129</t>
  </si>
  <si>
    <t>9000162098</t>
  </si>
  <si>
    <t>060130</t>
  </si>
  <si>
    <t>9000162079</t>
  </si>
  <si>
    <t>060131</t>
  </si>
  <si>
    <t> 9000176027</t>
  </si>
  <si>
    <t>060132</t>
  </si>
  <si>
    <t>9000176028</t>
  </si>
  <si>
    <t>061300</t>
  </si>
  <si>
    <t>05047006</t>
  </si>
  <si>
    <t>NA</t>
  </si>
  <si>
    <t>061301</t>
  </si>
  <si>
    <t>05000203</t>
  </si>
  <si>
    <t>061302</t>
  </si>
  <si>
    <t>05063003</t>
  </si>
  <si>
    <t>061303</t>
  </si>
  <si>
    <t>05069000</t>
  </si>
  <si>
    <t>061304</t>
  </si>
  <si>
    <t>05659868</t>
  </si>
  <si>
    <t>061305</t>
  </si>
  <si>
    <t>05038005</t>
  </si>
  <si>
    <t>061306</t>
  </si>
  <si>
    <t>05062005</t>
  </si>
  <si>
    <t>061307</t>
  </si>
  <si>
    <t>05073002</t>
  </si>
  <si>
    <t>061308</t>
  </si>
  <si>
    <t>42634377</t>
  </si>
  <si>
    <t>061309</t>
  </si>
  <si>
    <t>05053004</t>
  </si>
  <si>
    <t>061310</t>
  </si>
  <si>
    <t>05052006</t>
  </si>
  <si>
    <t>061311</t>
  </si>
  <si>
    <t>05085006</t>
  </si>
  <si>
    <t>061312</t>
  </si>
  <si>
    <t>05088000</t>
  </si>
  <si>
    <t>061313</t>
  </si>
  <si>
    <t>78774080</t>
  </si>
  <si>
    <t>061314</t>
  </si>
  <si>
    <t>05046008</t>
  </si>
  <si>
    <t>061315</t>
  </si>
  <si>
    <t>05056007</t>
  </si>
  <si>
    <t>061316</t>
  </si>
  <si>
    <t>05066006</t>
  </si>
  <si>
    <t>061317</t>
  </si>
  <si>
    <t>05042007</t>
  </si>
  <si>
    <t>061318</t>
  </si>
  <si>
    <t>05090006</t>
  </si>
  <si>
    <t>061319</t>
  </si>
  <si>
    <t>05029004</t>
  </si>
  <si>
    <t>061320</t>
  </si>
  <si>
    <t>05070008</t>
  </si>
  <si>
    <t>061321</t>
  </si>
  <si>
    <t>05033006</t>
  </si>
  <si>
    <t>061322</t>
  </si>
  <si>
    <t>05050000</t>
  </si>
  <si>
    <t>061323</t>
  </si>
  <si>
    <t>57972575</t>
  </si>
  <si>
    <t>061324</t>
  </si>
  <si>
    <t>05057005</t>
  </si>
  <si>
    <t>061325</t>
  </si>
  <si>
    <t>50972260</t>
  </si>
  <si>
    <t>061326</t>
  </si>
  <si>
    <t>22981551</t>
  </si>
  <si>
    <t>061327</t>
  </si>
  <si>
    <t>05002050</t>
  </si>
  <si>
    <t>061328</t>
  </si>
  <si>
    <t>16455576</t>
  </si>
  <si>
    <t>061336</t>
  </si>
  <si>
    <t>05021001</t>
  </si>
  <si>
    <t>061343</t>
  </si>
  <si>
    <t>33700052</t>
  </si>
  <si>
    <t>061344</t>
  </si>
  <si>
    <t>28183266</t>
  </si>
  <si>
    <t>063301</t>
  </si>
  <si>
    <t>9000168326</t>
  </si>
  <si>
    <t>063303</t>
  </si>
  <si>
    <t>9000174410</t>
  </si>
  <si>
    <t>hosp # count</t>
  </si>
  <si>
    <t>check agnst cdphe</t>
  </si>
  <si>
    <t>difference</t>
  </si>
  <si>
    <t>confirmed hosp ct</t>
  </si>
  <si>
    <t>Hospital Type</t>
  </si>
  <si>
    <t/>
  </si>
  <si>
    <t>Banner Health</t>
  </si>
  <si>
    <t>UCHealth</t>
  </si>
  <si>
    <t>SCH</t>
  </si>
  <si>
    <t>SCL Health</t>
  </si>
  <si>
    <t>HealthONE</t>
  </si>
  <si>
    <t>Centura Health Adventist</t>
  </si>
  <si>
    <t>Centura Health CHI</t>
  </si>
  <si>
    <t>PED</t>
  </si>
  <si>
    <t>Urban (0), Rural (1), Pediatric (2)</t>
  </si>
  <si>
    <t>Add-on percentage</t>
  </si>
  <si>
    <t>No change from current methodology - works exactly the same as always</t>
  </si>
  <si>
    <t>BUDGET NEUTRALITY</t>
  </si>
  <si>
    <t>Procedure to ensure budget neutrality factor limits IP Base Rate change from year to year to +/-10% without immediately using the outler limits of the corridor</t>
  </si>
  <si>
    <t>Ceiling</t>
  </si>
  <si>
    <t>na</t>
  </si>
  <si>
    <t>Floor</t>
  </si>
  <si>
    <t>SBA FY 22-23:</t>
  </si>
  <si>
    <t>Vol inflator FY22-23:</t>
  </si>
  <si>
    <t>Actual Corridor Set to:</t>
  </si>
  <si>
    <t>Initial Budget / Estimate</t>
  </si>
  <si>
    <t>New Budget/Estimate</t>
  </si>
  <si>
    <t>Round 2 Budget/Estimate ratio</t>
  </si>
  <si>
    <t>Round 3 Budget/Estimate ratio</t>
  </si>
  <si>
    <t>Round 4 Budget/Estimate ratio</t>
  </si>
  <si>
    <t>MUTUALLY EXCLUSIVE ADD-ONS</t>
  </si>
  <si>
    <t>CCN / MEDICARE ID W/OUT LEADING 0</t>
  </si>
  <si>
    <t>Medicare Federal Base Rate w/Wage Index/GAF Adj</t>
  </si>
  <si>
    <t>IME adjustment (Operating &amp; Capital)</t>
  </si>
  <si>
    <t>VBP Adjustment</t>
  </si>
  <si>
    <t>Medicare-based rate Adjustments</t>
  </si>
  <si>
    <r>
      <t xml:space="preserve">Critical Access Hospital (CAH) 
</t>
    </r>
    <r>
      <rPr>
        <sz val="8"/>
        <color theme="1"/>
        <rFont val="Calibri"/>
        <family val="2"/>
        <scheme val="minor"/>
      </rPr>
      <t xml:space="preserve">(excludes SCH/MDH, Low Discharge &amp; Pediatric) </t>
    </r>
  </si>
  <si>
    <r>
      <t xml:space="preserve">SCH/MDH
</t>
    </r>
    <r>
      <rPr>
        <sz val="8"/>
        <color theme="1"/>
        <rFont val="Calibri"/>
        <family val="2"/>
        <scheme val="minor"/>
      </rPr>
      <t>(excludes CAH, Low Discharge &amp; Pediatric)</t>
    </r>
  </si>
  <si>
    <r>
      <t xml:space="preserve">Low discharge add-on </t>
    </r>
    <r>
      <rPr>
        <sz val="9"/>
        <color theme="1"/>
        <rFont val="Calibri"/>
        <family val="2"/>
        <scheme val="minor"/>
      </rPr>
      <t>(3 yr avg Total Discharges)</t>
    </r>
    <r>
      <rPr>
        <sz val="10"/>
        <color theme="1"/>
        <rFont val="Calibri"/>
        <family val="2"/>
        <scheme val="minor"/>
      </rPr>
      <t xml:space="preserve"> </t>
    </r>
    <r>
      <rPr>
        <sz val="8"/>
        <color theme="1"/>
        <rFont val="Calibri"/>
        <family val="2"/>
        <scheme val="minor"/>
      </rPr>
      <t>(excludes CAH, SCH/MDH &amp; Pediatric)</t>
    </r>
  </si>
  <si>
    <r>
      <t xml:space="preserve">Pediatric hospital add-on
</t>
    </r>
    <r>
      <rPr>
        <sz val="8"/>
        <color theme="1"/>
        <rFont val="Calibri"/>
        <family val="2"/>
        <scheme val="minor"/>
      </rPr>
      <t>(excludes CAH, SCH/MDH &amp; Low Discharge)</t>
    </r>
  </si>
  <si>
    <r>
      <t xml:space="preserve">Payer mix add-on
</t>
    </r>
    <r>
      <rPr>
        <sz val="8"/>
        <color theme="1"/>
        <rFont val="Calibri"/>
        <family val="2"/>
        <scheme val="minor"/>
      </rPr>
      <t>(3 yr avg Medicaid Payer Mix)</t>
    </r>
  </si>
  <si>
    <t>Solvency Metric:  Operating Cash Flow Margin % add-on</t>
  </si>
  <si>
    <t>Rate with all policy adjustments</t>
  </si>
  <si>
    <t>Corridor Minimum Allowed
- 10%</t>
  </si>
  <si>
    <t>Corridor Maximum Allowed
+ 10%</t>
  </si>
  <si>
    <r>
      <rPr>
        <b/>
        <sz val="16"/>
        <rFont val="Calibri"/>
        <family val="2"/>
        <scheme val="minor"/>
      </rPr>
      <t>Round 1</t>
    </r>
    <r>
      <rPr>
        <b/>
        <sz val="10"/>
        <rFont val="Calibri"/>
        <family val="2"/>
        <scheme val="minor"/>
      </rPr>
      <t xml:space="preserve">  Calculated Base Rate</t>
    </r>
  </si>
  <si>
    <r>
      <t xml:space="preserve">Non-Capped Spend 
</t>
    </r>
    <r>
      <rPr>
        <sz val="8"/>
        <rFont val="Calibri"/>
        <family val="2"/>
        <scheme val="minor"/>
      </rPr>
      <t>/ Spend based on Calculated Base Rate * CMI * Claim w/Growth Rate Factors Applied</t>
    </r>
  </si>
  <si>
    <t>Cap Low</t>
  </si>
  <si>
    <t>Cap High</t>
  </si>
  <si>
    <t>Capped Rates</t>
  </si>
  <si>
    <t>Capped Spend</t>
  </si>
  <si>
    <t>Non-Locked Estimate</t>
  </si>
  <si>
    <t>Non-Locked Budget and Locked Residuals</t>
  </si>
  <si>
    <t>Locked</t>
  </si>
  <si>
    <r>
      <rPr>
        <b/>
        <sz val="16"/>
        <rFont val="Calibri"/>
        <family val="2"/>
        <scheme val="minor"/>
      </rPr>
      <t>Round 2</t>
    </r>
    <r>
      <rPr>
        <b/>
        <sz val="10"/>
        <rFont val="Calibri"/>
        <family val="2"/>
        <scheme val="minor"/>
      </rPr>
      <t xml:space="preserve">
</t>
    </r>
    <r>
      <rPr>
        <sz val="8"/>
        <rFont val="Calibri"/>
        <family val="2"/>
        <scheme val="minor"/>
      </rPr>
      <t>/ Capped Rate or Calc Base Rate * New Budget Neutrality</t>
    </r>
  </si>
  <si>
    <t>Non-Capped Spend</t>
  </si>
  <si>
    <r>
      <t xml:space="preserve">Check </t>
    </r>
    <r>
      <rPr>
        <sz val="10"/>
        <rFont val="Calibri"/>
        <family val="2"/>
        <scheme val="minor"/>
      </rPr>
      <t>(when check sum equals 0 then final round)</t>
    </r>
  </si>
  <si>
    <t>Round 3</t>
  </si>
  <si>
    <t>Round 4</t>
  </si>
  <si>
    <t>Round 5</t>
  </si>
  <si>
    <t>Re-check</t>
  </si>
  <si>
    <t xml:space="preserve">FINAL RATES TO ACHIEVE BUDGET NEUTRALITY &amp; MAINTAIN CORRIDOR </t>
  </si>
  <si>
    <t>Capped Rate Percent</t>
  </si>
  <si>
    <t>Budget Neutrality</t>
  </si>
  <si>
    <t>this number needs to be 0</t>
  </si>
  <si>
    <t>Childrens</t>
  </si>
  <si>
    <t>CO</t>
  </si>
  <si>
    <t>Medicare Provider ID</t>
  </si>
  <si>
    <t>San Luis Valley</t>
  </si>
  <si>
    <t>N/A</t>
  </si>
  <si>
    <t>no data</t>
  </si>
  <si>
    <t xml:space="preserve">  </t>
  </si>
  <si>
    <t>0</t>
  </si>
  <si>
    <t>PPS HOSPITALS</t>
  </si>
  <si>
    <t>NON-PPS HOSPITALS</t>
  </si>
  <si>
    <t>Wage Index &gt; 1</t>
  </si>
  <si>
    <t>Wage Index &lt;= 1</t>
  </si>
  <si>
    <t>Non-PPS Medicare Hospitals = 1</t>
  </si>
  <si>
    <t>Labor-related Amount</t>
  </si>
  <si>
    <t>Nonlabor-related Amount</t>
  </si>
  <si>
    <t>Capital Std Fed Pmt Rate</t>
  </si>
  <si>
    <t>TOTAL:</t>
  </si>
  <si>
    <t>Medicare does not provide Wage Index or Geographic Adjustment Factor (GAF) for non-PPS hospitals.  The Department will be assigning them the following figures for the Federal Base Rate.  The number 1.00 will appear in the Wage Index and GAF calculations to produce a result.</t>
  </si>
  <si>
    <t>TABLE 1A.  FINAL RULE NATIONAL ADJUSTED OPERATING STANDARDIZED AMOUNTS; LABOR/NONLABOR (67.6 PERCENT LABOR SHARE/32.4 PERCENT NONLABOR SHARE IF WAGE INDEX GREATER THAN 1)</t>
  </si>
  <si>
    <t>Labor-related</t>
  </si>
  <si>
    <t>Nonlabor-related</t>
  </si>
  <si>
    <t>TABLE 1B.  FINAL RULE NATIONAL ADJUSTED OPERATING STANDARDIZED AMOUNTS, LABOR/NONLABOR (62 PERCENT LABOR SHARE/38 PERCENT NONLABOR SHARE IF WAGE INDEX LESS THAN OR EQUAL TO 1)</t>
  </si>
  <si>
    <t>TABLE 1C.  FINAL RULE ADJUSTED OPERATING STANDARDIZED AMOUNTS FOR HOSPITALS IN PUERTO RICO, LABOR/NONLABOR (NATIONAL:  62 PERCENT LABOR SHARE/38 PERCENT NONLABOR SHARE BECAUSE WAGE INDEX IS LESS THAN OR EQUAL TO 1)</t>
  </si>
  <si>
    <t>Rates if Wage Index Greater Than 1</t>
  </si>
  <si>
    <t>Labor</t>
  </si>
  <si>
    <t>Nonlabor</t>
  </si>
  <si>
    <t>Not Applicable</t>
  </si>
  <si>
    <t>TABLE 1D. - CAPITAL STANDARD FEDERAL PAYMENT RATE</t>
  </si>
  <si>
    <t>Rate</t>
  </si>
  <si>
    <t>National</t>
  </si>
  <si>
    <t xml:space="preserve">TABLE 1E- LTCH PPS STANDARD FEDERAL PAYMENT RATE
</t>
  </si>
  <si>
    <t>FY 2023 Correcting Amendment Tables 1A-1E</t>
  </si>
  <si>
    <t>Hospital Submitted Quality Data and is a Meaningful EHR User (Update = 3.8 Percent)</t>
  </si>
  <si>
    <t>Hospital Submitted Quality Data and is NOT a Meaningful EHR User (Update = 0.725 Percent)</t>
  </si>
  <si>
    <t>Hospital Did NOT Submit Quality Data and is a Meaningful EHR User (Update = 2.775 Percent)</t>
  </si>
  <si>
    <t>Hospital Did NOT Submit Quality Data and is NOT a Meaningful EHR User (Update = -0.3 Percent)</t>
  </si>
  <si>
    <t>Hospital is a Meaningful EHR User and Wage Index Less Than or Equal to 1 (Update = 3.8)</t>
  </si>
  <si>
    <t>Hospital is NOT a Meaningful EHR User and Wage Index Less Than or Equal to 1 (Update = 1.75)</t>
  </si>
  <si>
    <r>
      <t>National</t>
    </r>
    <r>
      <rPr>
        <vertAlign val="superscript"/>
        <sz val="11"/>
        <rFont val="Calibri"/>
        <family val="2"/>
        <scheme val="minor"/>
      </rPr>
      <t>1</t>
    </r>
  </si>
  <si>
    <r>
      <rPr>
        <vertAlign val="superscript"/>
        <sz val="11"/>
        <rFont val="Calibri"/>
        <family val="2"/>
        <scheme val="minor"/>
      </rPr>
      <t>1</t>
    </r>
    <r>
      <rPr>
        <sz val="11"/>
        <rFont val="Calibri"/>
        <family val="2"/>
        <scheme val="minor"/>
      </rPr>
      <t>For FY 2023, there are no CBSAs in Puerto Rico with a national wage index greater than 1.</t>
    </r>
  </si>
  <si>
    <t>Full Update (3.8 Percent)</t>
  </si>
  <si>
    <t>Reduced Update* (1.8 Percent)</t>
  </si>
  <si>
    <r>
      <t>Standard Federal Rate</t>
    </r>
    <r>
      <rPr>
        <vertAlign val="superscript"/>
        <sz val="11"/>
        <rFont val="Calibri"/>
        <family val="2"/>
        <scheme val="minor"/>
      </rPr>
      <t>*</t>
    </r>
  </si>
  <si>
    <t>* For LTCHs that fail to submit quality reporting data for FY 2023 in accordance with the LTCH Quality Reporting Program (LTCH QRP), the annual update is reduced by 2.0 percentage points as required by section 1886(m)(5) of the Act.</t>
  </si>
  <si>
    <t>National1</t>
  </si>
  <si>
    <t>1For FY 2023, there are no CBSAs in Puerto Rico with a national wage index greater than 1.</t>
  </si>
  <si>
    <t>Standard Federal Rate*</t>
  </si>
  <si>
    <t>FY 2023 IPPS Impact File -  Correcting Amendment (November 2022)</t>
  </si>
  <si>
    <t>Provider Number</t>
  </si>
  <si>
    <t>Name</t>
  </si>
  <si>
    <t>Geographic Labor Market Area</t>
  </si>
  <si>
    <t>Pre-Reclass Labor Market Area</t>
  </si>
  <si>
    <t>Post Reclass Labor Market Area</t>
  </si>
  <si>
    <t>Payment Labor Market Area (for purposes of Capital and DSH)</t>
  </si>
  <si>
    <t>FIPS County Code</t>
  </si>
  <si>
    <t>Region</t>
  </si>
  <si>
    <t>URGEO</t>
  </si>
  <si>
    <t>URSPA</t>
  </si>
  <si>
    <t>RECLASS</t>
  </si>
  <si>
    <t>FY 2023 Wage Index</t>
  </si>
  <si>
    <t>LUGAR</t>
  </si>
  <si>
    <t>Section 401 Hospital</t>
  </si>
  <si>
    <t>Section 401 or LUGAR Hospitals with a MGCRB Wage Index Reclass</t>
  </si>
  <si>
    <t>Section 505 Eligible</t>
  </si>
  <si>
    <t>Section 505 Adjustment</t>
  </si>
  <si>
    <t>Cost of Living Adjustment</t>
  </si>
  <si>
    <t>Resident to Bed Ratio</t>
  </si>
  <si>
    <t>RDAY</t>
  </si>
  <si>
    <t>Beds</t>
  </si>
  <si>
    <t>Average Daily Census</t>
  </si>
  <si>
    <t>TCHOP</t>
  </si>
  <si>
    <t>TCHCP</t>
  </si>
  <si>
    <t>DSHPCT</t>
  </si>
  <si>
    <t>DSHOPP</t>
  </si>
  <si>
    <t>DSHCPP</t>
  </si>
  <si>
    <t>DSH_LY</t>
  </si>
  <si>
    <t>UCP_ADJ</t>
  </si>
  <si>
    <t>UCP Per Claim Amount</t>
  </si>
  <si>
    <t>UCP_ADJ_LY</t>
  </si>
  <si>
    <t>UCP Per Claim Amount LY</t>
  </si>
  <si>
    <t>Operating CCR</t>
  </si>
  <si>
    <t>Capital CCR</t>
  </si>
  <si>
    <t>Provider Type</t>
  </si>
  <si>
    <t>HSP Rate</t>
  </si>
  <si>
    <t>Bills</t>
  </si>
  <si>
    <t>CASETA39</t>
  </si>
  <si>
    <t>CMIV39</t>
  </si>
  <si>
    <t>TACMIV39</t>
  </si>
  <si>
    <t>IME_CASETA39</t>
  </si>
  <si>
    <t>IME_TACMIV39</t>
  </si>
  <si>
    <t>CASETA40</t>
  </si>
  <si>
    <t>CMIV40</t>
  </si>
  <si>
    <t>TACMIV40</t>
  </si>
  <si>
    <t>IME_CASETA40</t>
  </si>
  <si>
    <t>IME_TACMIV40</t>
  </si>
  <si>
    <t>GAF</t>
  </si>
  <si>
    <t>Capital Cost of Living Adjustment</t>
  </si>
  <si>
    <t>OUTFACT_F</t>
  </si>
  <si>
    <t>COUTFACT_F</t>
  </si>
  <si>
    <t>Medicare Percentage</t>
  </si>
  <si>
    <t>Medicaid Percentage</t>
  </si>
  <si>
    <t>Hospitals with 5% or More of Cases that Reported Experiencing Homelessness</t>
  </si>
  <si>
    <t>Proxy Value Based Purchasing Adjustment Factor</t>
  </si>
  <si>
    <t>Proxy Readmission Adjustment Factor</t>
  </si>
  <si>
    <t>Proxy Quality Reduction</t>
  </si>
  <si>
    <t>Proxy EHR Reduction</t>
  </si>
  <si>
    <t>Ownership Control Type</t>
  </si>
  <si>
    <t>24540</t>
  </si>
  <si>
    <t>08123</t>
  </si>
  <si>
    <t>8</t>
  </si>
  <si>
    <t>OURBAN</t>
  </si>
  <si>
    <t>14500</t>
  </si>
  <si>
    <t>08013</t>
  </si>
  <si>
    <t>19740</t>
  </si>
  <si>
    <t>08001</t>
  </si>
  <si>
    <t>LURBAN</t>
  </si>
  <si>
    <t xml:space="preserve">   06</t>
  </si>
  <si>
    <t>06</t>
  </si>
  <si>
    <t>08085</t>
  </si>
  <si>
    <t>RURAL</t>
  </si>
  <si>
    <t>16</t>
  </si>
  <si>
    <t>08003</t>
  </si>
  <si>
    <t>08059</t>
  </si>
  <si>
    <t>22660</t>
  </si>
  <si>
    <t>08069</t>
  </si>
  <si>
    <t>08031</t>
  </si>
  <si>
    <t>39380</t>
  </si>
  <si>
    <t>08101</t>
  </si>
  <si>
    <t>08067</t>
  </si>
  <si>
    <t>7</t>
  </si>
  <si>
    <t>17820</t>
  </si>
  <si>
    <t>08041</t>
  </si>
  <si>
    <t>24300</t>
  </si>
  <si>
    <t>08077</t>
  </si>
  <si>
    <t>17</t>
  </si>
  <si>
    <t>1</t>
  </si>
  <si>
    <t>08005</t>
  </si>
  <si>
    <t>08087</t>
  </si>
  <si>
    <t>08107</t>
  </si>
  <si>
    <t>08029</t>
  </si>
  <si>
    <t>08045</t>
  </si>
  <si>
    <t>08075</t>
  </si>
  <si>
    <t>08037</t>
  </si>
  <si>
    <t>08035</t>
  </si>
  <si>
    <t>08117</t>
  </si>
  <si>
    <t>08014</t>
  </si>
  <si>
    <t>FY 2023 FR and CA IPPS Impact File</t>
  </si>
  <si>
    <t>DATA SOURCES FOR THIS FY 2023 RULE IMPACT FILE ARE THE FOLLOWING: MARCH 2022 UPDATE OF FY 2021 MEDPAR, MARCH 2022 UPDATE OF PROVIDER SPECIFIC FILE (PSF), FY2019/FY2020 COST REPORT DATA</t>
  </si>
  <si>
    <t>DISCLAIMER: The variables in the impact file are based on information at the time of the final rule (or correction notice as applicable) which are used to model payments for the upcoming Fiscal Year (2023) and may not reflect what is used for actual payment (e.g: Wage Index, DSH, IME) for FY 2023. Refer to the quarterly Provider Specific File (PSF) for variables used for actual payment (Note: Since the PSF is updated quarterly there is typically a 3-month lag until the latest information is posted).</t>
  </si>
  <si>
    <t>6 digit Medicare provider number; the first 2 digits are the state code.</t>
  </si>
  <si>
    <t>Name of Medicare provider from OSCAR.("blank" = unknown)</t>
  </si>
  <si>
    <t>The Geographic CBSA location based on OMB's Core Based Statistical Area (CBSA) designations.  The CBSA assignment is based on where the provider is physically located based on SSA state and county code information.  Rural areas are designated by 2-digit SSA state codes.</t>
  </si>
  <si>
    <t>Pre-reclassification CBSA</t>
  </si>
  <si>
    <t>Post-Reclass Labor Market Area</t>
  </si>
  <si>
    <t>Post-reclassification CBSA for FY 2023</t>
  </si>
  <si>
    <t>Payment Labor Market Area</t>
  </si>
  <si>
    <t>Payment CBSA (urban or rural) for purposes of determining capital payments &amp; operating payments (other than wage index)</t>
  </si>
  <si>
    <t>Federal Information Processing Standard (FIPS) county code.  The FIPS system is used to Identify the county in which provider is geographically located and this field be used in conjunction with the MSA/CBSA crosswalk file.</t>
  </si>
  <si>
    <t>REGION</t>
  </si>
  <si>
    <t>1=NEW ENGLAND (CT, ME, MA, NH, RI, VT); 2=MIDDLE ATLANTIC (NJ, NY, PA); 3=EAST NORTH CENTRAL (IL, IN, MI, OH, WI); 4=WEST NORTH CENTRAL (IA, KS, MN, MO, NE, ND, SD); 5=SOUTH ATLANTIC (DE, DC, FL, GA, MD, NC, SC, VA, WV); 6=EAST SOUTH CENTRAL (AL, KY, MS, TN); 7=WEST SOUTH CENTRAL (AR, LA, OK, TX); 8=MOUNTAIN (AZ, CO, ID, MT, NV, NM, UT, WY); 9=PACIFIC (AK, CA, HI, OR, WA); 40=PUERTO RICO (PR)</t>
  </si>
  <si>
    <t>Urban or Rural designation of the provider’s geographic CBSA</t>
  </si>
  <si>
    <t>Urban or Rural designation of the provider’s payment CBSA</t>
  </si>
  <si>
    <t>Reclass Status FY 2023:  N -provider did not reclassify; W -provider reclassified for wage index; L provider reclassified under 1886(d)(8)(B) of the SSA; S-provider redesignated as rural under Sec. 401 of BIPA.</t>
  </si>
  <si>
    <t>Wage Index</t>
  </si>
  <si>
    <t>FY 2023 wage index after applying the MGCRB reclassifications, rural floor, imputed floor, adjustments for the Frontier wage index provision, the P.L. 108-173 Sec 505 adjustments, the lowest quartile wage index adjustment and the 5-percent cap, as applicable. The wage index reflects the application of national rural floor budget neutrality required under the Affordable Care Act.</t>
  </si>
  <si>
    <t>Provider is located in a Lugar County as defined in 1886(d)(8)(B) of the Act</t>
  </si>
  <si>
    <t>Section 401 hospital</t>
  </si>
  <si>
    <t>A 'Y' denotes urban providers redesignated as rural under CFR 412.103 (Sec 401 of BIPA).</t>
  </si>
  <si>
    <t>A 'Y' denotes a hospital that is redesignated as rural under CFR 412.103 (Sec 401 of BIPA) or is located in a Lugar County as defined in 1886(d)(8)(B) of the Act (and did not waive its LUGAR status) AND also is reclassified to another CBSA through the MGCRB.</t>
  </si>
  <si>
    <t>Section 505 eligible</t>
  </si>
  <si>
    <t>A 'Y' denotes providers eligible to receive a wage index adjustment under Sec. 505 of P.L. 108-173 for FY 2023</t>
  </si>
  <si>
    <t>Section 505 adjustment</t>
  </si>
  <si>
    <t>Wage adjustment for providers who are eligible to receive a wage index adjustment under Sec. 505 of P.L. 108-173 for FY 2023</t>
  </si>
  <si>
    <t>Cost of Living Adjustment factor based on data from the U.S. Office of Personnel Management for IPPS providers located in Alaska or Hawaii for IPPS operating payments</t>
  </si>
  <si>
    <t>Resident to Bed Ratio. Used to determine IME factor for operating IPPS payments</t>
  </si>
  <si>
    <t>Resident to Average Daily Census (ADC) ratio. Used to calculate the IME adjustment for Capital IPPS.</t>
  </si>
  <si>
    <t>BEDS</t>
  </si>
  <si>
    <t>The number of total beds obtained from cost report data.*</t>
  </si>
  <si>
    <t>Calculated as the ratio of Total Acute Inpatient Days to Total Days in the Cost Reporting Period obtained from cost report data.*</t>
  </si>
  <si>
    <t>IME adjustment factor for Operating IPPS</t>
  </si>
  <si>
    <t>IME adjustment factor for Capital IPPS</t>
  </si>
  <si>
    <r>
      <t>Disproportionate Share Hospital Patient Percentage (DPP) as determined from the Medicaid ratio from the March 2022 update of the Provider Specific File (PSF) &amp; the most recent SSI data</t>
    </r>
    <r>
      <rPr>
        <sz val="8"/>
        <color rgb="FF000000"/>
        <rFont val="Calibri"/>
        <family val="2"/>
        <scheme val="minor"/>
      </rPr>
      <t>  </t>
    </r>
  </si>
  <si>
    <t>Estimated FY 2023 Operating Disproportionate Share Hospital (DSH) adjustment. Reflects a 75% reduction to the DSH adjustment required under Section 3333 of the Affordable Care Act</t>
  </si>
  <si>
    <t>FY 2023 Capital Disproportionate Share Hospital (DSH) adjustment</t>
  </si>
  <si>
    <t>Estimated FY 2022 Operating Disproportionate Share Hospital (DSH) adjustment. Reflects a 75% reduction to the DSH adjustment required under Section 3333 of the Affordable Care Act</t>
  </si>
  <si>
    <r>
      <t>FY 2023 Uncompensated Care Payment Factor is the proportion of the additional payment amount for uncompensated care costs that a DSH hospital will receive under the implementation of Section 3133 of the Affordable Care Act. The Uncompensated Care Payment Factor is the hospital's uncompensated care costs relative to all DSH hospital's uncompensated care costs. DSH hospitals are identified as those hospitals that are projected to receive DSH for FY 2023. Note, these amounts do not reflect any changes that may result from the 15-day period after the publication of the final rule for hospitals to review and submit comments on the accuracy of the list of mergers we identified in the final rule.</t>
    </r>
    <r>
      <rPr>
        <sz val="8"/>
        <color rgb="FF000000"/>
        <rFont val="Calibri"/>
        <family val="2"/>
        <scheme val="minor"/>
      </rPr>
      <t>  </t>
    </r>
  </si>
  <si>
    <t>UCP and IHS/PR Supplemental Payment Per Claim Amount</t>
  </si>
  <si>
    <t xml:space="preserve">For FY 2023, the 3-year claims average based on MedPAR files from FY18, FY19, and FY21.  For FY 2023 and subsequent fiscal years, we are making a supplemental payment for IHS/Tribal and Puerto Rico hospitals. The supplemental per claim amount is included in this variable, therefore for IHS/Tribal and Puerto Rico hospitals this variable includes both the UCP per claim amount and the Supplemental Payment per claim amount. Per Claim Amounts were used in determination of outlier payments and used to estimate if a SCH is paid on a hospital specific rate or federal rate on a per claim basis.  Note, these amounts do not reflect any changes that may result from the 15-day period after the publication of the final rule for hospitals to review and submit comments on the accuracy of the list of mergers we identified in the final rule.  </t>
  </si>
  <si>
    <t>FY 2022 Uncompensated Care Payment Factor is the proportion of the additional payment amount for uncompensated care costs that a DSH hospital will receive under the implementation of Section 3133 of the Affordable Care Act. The Uncompensated Care Payment Factor is the hospital's uncompensated care costs relative to all DSH hospital's uncompensated care costs. DSH hospitals are identified as those hospitals that were projected to receive DSH for FY 2022.</t>
  </si>
  <si>
    <r>
      <t>FY 2022 Uncompensated Care Per Claim Amount based on a hospital's assigned Uncompensated Care Payment amount divided by the 2-year claims average based on MedPAR files from FY18-FY19.</t>
    </r>
    <r>
      <rPr>
        <sz val="8"/>
        <color rgb="FF000000"/>
        <rFont val="Calibri"/>
        <family val="2"/>
        <scheme val="minor"/>
      </rPr>
      <t>  </t>
    </r>
    <r>
      <rPr>
        <sz val="9"/>
        <color rgb="FF000000"/>
        <rFont val="Arial"/>
        <family val="2"/>
      </rPr>
      <t xml:space="preserve"> Per Claim Amount is used in determination of outlier payments and used to determine if the SCH is paid on a hospital specific rate or federal rate on a per claim basis.</t>
    </r>
  </si>
  <si>
    <t>Ratio of Medicare operating costs to Medicare covered charges from the March 2022 update of the Provider Specific File (PSF). CCRs do not have the adjustment factor applied.</t>
  </si>
  <si>
    <t>Ratio of Medicare capital costs to Medicare covered charges from the March 2022 update of the Provider Specific File (PSF). CCRs do not have the adjustment factor applied.</t>
  </si>
  <si>
    <t>Type of provider - key:  0=IPPS; 7=Rural Referral Center (RRC); 8=Indian Health Service (IHS); 16=Sole Community Hospital (SCH); 17=SCH/RRC; 21=Essential Access Community Hospital (EACH); 22=EACH/RRC based on the March 2022 update of the PSF.</t>
  </si>
  <si>
    <r>
      <t>Hospital Specific Payment (HSP) Rate updated to FY 2023 for SCH providers.  HSP Rate is based on the March 2022 update</t>
    </r>
    <r>
      <rPr>
        <sz val="8"/>
        <color rgb="FF000000"/>
        <rFont val="Calibri"/>
        <family val="2"/>
        <scheme val="minor"/>
      </rPr>
      <t> </t>
    </r>
    <r>
      <rPr>
        <sz val="9"/>
        <color rgb="FF000000"/>
        <rFont val="Arial"/>
        <family val="2"/>
      </rPr>
      <t>of the Provider Specific File (PSF).</t>
    </r>
  </si>
  <si>
    <t>BILLS</t>
  </si>
  <si>
    <t>Total number of Medicare cases for the provider from the FY 2021 MedPAR, March 2022 update</t>
  </si>
  <si>
    <t>Transfer adjusted cases under Grouper V39 and FY 2022 Post-Acute Transfer Policy</t>
  </si>
  <si>
    <t>Case Mix Index under Grouper V39 (generally applicable for SCH providers paid under their Hospital Specific Payment rate).</t>
  </si>
  <si>
    <t>Transfer adjusted Case Mix Index under Grouper V39 and FY 2022 Post-Acute Transfer Policy</t>
  </si>
  <si>
    <t>Transfer adjusted cases under Grouper V39 for Medicare Advantage cases submitted by teaching hospitals that receive a fee-for-service IME payment. The IME payment associated with these cases are included in the budget neutrality calculations and in payment modelling.</t>
  </si>
  <si>
    <t>Transfer adjusted Case Mix under Grouper V39 for Medicare Advantage cases submitted by teaching hospitals that received a fee-for-service IME payment. These CMIs are used to calculate the IME payments for budget neutrality.</t>
  </si>
  <si>
    <t>Transfer Adjusted Cases under Grouper V40 and FY 2023 Post-Acute Transfer Policy</t>
  </si>
  <si>
    <t>Case Mix Index under Grouper V40 (generally applicable for SCH providers paid under their Hospital Specific Payment rate).</t>
  </si>
  <si>
    <t>Transfer adjusted Case Mix Index under Grouper V40 and FY 2023 Post-Acute Transfer Policy</t>
  </si>
  <si>
    <t>Transfer adjusted cases under Grouper V40 for Medicare Advantage cases submitted by teaching hospitals that receive a fee-for-service IME payment. The IME payment associated with these cases are included in the budget neutrality calculations and in payment modelling.</t>
  </si>
  <si>
    <t>Transfer adjusted Case Mix under Grouper V40 for Medicare Advantage cases submitted by teaching hospitals that received a fee-for-service IME payment. These CMIs are used to calculate the IME payments for budget neutrality.</t>
  </si>
  <si>
    <t>Geographic adjustment factor (GAF) for Capital IPPS for FY 2023</t>
  </si>
  <si>
    <t>Capital COLA factor for hospitals located in Alaska and Hawaii, which is based on the applicable operating IPPS COLA factor</t>
  </si>
  <si>
    <t>Estimated operating outlier payments as a percentage of the provider's Federal operating IPPS payments**</t>
  </si>
  <si>
    <t>Estimated capital outlier payments as a percentage of the provider's Federal capital IPPS payments**</t>
  </si>
  <si>
    <t>Medicare days as a percent of total inpatient days (not available for all providers)</t>
  </si>
  <si>
    <t>Medicaid days as a percent of total inpatient days (not available for all providers)</t>
  </si>
  <si>
    <t>Hospitals with 5% or more of cases that reported experiencing homelessness</t>
  </si>
  <si>
    <t>A 'Y' denotes providers whose claims indicate that at least 5 percent of their IPPS cases involve diagnosis codes describing patients experiencing homelessness.  These cases are based on the reporting of ICD-10-CM diagnosis code Z59.0 (Homelessness).</t>
  </si>
  <si>
    <t>Proxy payment adjustment for value based purchasing program (Section 1886(o) of the Act) is the final payment adjustment factor from the prior fiscal year.</t>
  </si>
  <si>
    <t>Proxy payment adjustment for Hospital Readmissions Reduction Program (Section 1886(q) of the Act) is the final payment adjustment factor from the prior fiscal year. Maryland and Puerto Rico hospitals are exempt from the payment adjustment.</t>
  </si>
  <si>
    <t>Value of '1' indicates a hospital that was found not to have successfully reported designated quality measures under the Hospital Inpatient Quality Reporting (IQR) Program as shown in the March 2022 update of the Provider Specific File (PSF), and therefore was modeled as receiving a reduction to the percentage increase in the market basket index for FY 2023 under §412.64(d)(2). (Note, this variable will not reflect any subsequent adjustments, if any, to this indicator made in the PSF, and may not reflect the hospital’s final determination under the hospital IQR program.)</t>
  </si>
  <si>
    <t>Value of '1' indicates a hospital that was found not to be a meaningful electronic health record (EHR) user for the applicable EHR reporting period and did not receive an exception as shown in the March 2022 update of the Provider Specific File (PSF), and therefore was modeled as receiving a reduction to the percentage increase in the market basket index for FY 2023 under §§ 412.64(d)(3)-(4). (Note, this variable will not reflect any subsequent adjustments, if any, to this indicator made in the PSF, and may not reflect the hospital’s final determination under the Promoting Interoperability Program.)</t>
  </si>
  <si>
    <t>Type of ownership control from cost report data:  "G" = Government; "P" = Proprietary; "V" = Voluntary; and "X" = Unknown.</t>
  </si>
  <si>
    <t xml:space="preserve">*The most recent available cost report data were used (FYs 2019 - 2020). A "zero" value may indicate unavailable or incomplete data. </t>
  </si>
  <si>
    <t>**FY 2023 these factors were calculated using data that included COVID-19 cases and a fixed-loss amount of $41,325.</t>
  </si>
  <si>
    <t xml:space="preserve">FY 2023 CMS Federal Base Rate / FY 2023 CN Tables 1A-1E </t>
  </si>
  <si>
    <t>60011</t>
  </si>
  <si>
    <t>60024</t>
  </si>
  <si>
    <t>TABLE 1E- LTCH PPS STANDARD FEDERAL PAYMENT RATE</t>
  </si>
  <si>
    <r>
      <t xml:space="preserve">Federal Capital Rate
</t>
    </r>
    <r>
      <rPr>
        <sz val="9"/>
        <rFont val="Calibri"/>
        <family val="2"/>
        <scheme val="minor"/>
      </rPr>
      <t xml:space="preserve"> (Source:  FY 2023 CN Tables 1A-1E)</t>
    </r>
  </si>
  <si>
    <t>Facility ID</t>
  </si>
  <si>
    <t>State</t>
  </si>
  <si>
    <t>Fiscal Year</t>
  </si>
  <si>
    <t>Payment Reduction</t>
  </si>
  <si>
    <t>Payment Reduction Footnote</t>
  </si>
  <si>
    <t>Sources:  FY 2022 CMS Impact File CN / Table 1A-1E Final Rule &amp; Correcting Amendment</t>
  </si>
  <si>
    <r>
      <t xml:space="preserve">Adjusted Federal Capital Rate
</t>
    </r>
    <r>
      <rPr>
        <sz val="8"/>
        <rFont val="Calibri"/>
        <family val="2"/>
        <scheme val="minor"/>
      </rPr>
      <t xml:space="preserve"> (Source Impact File -Corrected Amendment Final Rule)  (M*N)</t>
    </r>
  </si>
  <si>
    <r>
      <t xml:space="preserve">GAF (Geographic Adjustment Factor)
</t>
    </r>
    <r>
      <rPr>
        <sz val="8"/>
        <rFont val="Calibri"/>
        <family val="2"/>
        <scheme val="minor"/>
      </rPr>
      <t xml:space="preserve"> (Source Impact File - Corrected Amendment Final Rule)
Non-PPS Hopital GAF=1</t>
    </r>
  </si>
  <si>
    <r>
      <t xml:space="preserve">Operating IME ADD-On for PPS Hospitals who Qualify
</t>
    </r>
    <r>
      <rPr>
        <sz val="8"/>
        <rFont val="Calibri"/>
        <family val="2"/>
        <scheme val="minor"/>
      </rPr>
      <t>(L*R)</t>
    </r>
  </si>
  <si>
    <r>
      <t xml:space="preserve">Capital IME ADD-On for PPS Hospitals who Qualify
</t>
    </r>
    <r>
      <rPr>
        <sz val="8"/>
        <rFont val="Calibri"/>
        <family val="2"/>
        <scheme val="minor"/>
      </rPr>
      <t>(O*S)</t>
    </r>
  </si>
  <si>
    <r>
      <t xml:space="preserve">Operating IME %
</t>
    </r>
    <r>
      <rPr>
        <b/>
        <sz val="8"/>
        <rFont val="Calibri"/>
        <family val="2"/>
        <scheme val="minor"/>
      </rPr>
      <t xml:space="preserve"> (Source Impact File -Corrected Amendment Final Rule)</t>
    </r>
    <r>
      <rPr>
        <b/>
        <sz val="11"/>
        <rFont val="Calibri"/>
        <family val="2"/>
        <scheme val="minor"/>
      </rPr>
      <t xml:space="preserve">
</t>
    </r>
    <r>
      <rPr>
        <sz val="11"/>
        <rFont val="Calibri"/>
        <family val="2"/>
        <scheme val="minor"/>
      </rPr>
      <t>TCHOP</t>
    </r>
  </si>
  <si>
    <r>
      <t xml:space="preserve">Capital IME %
</t>
    </r>
    <r>
      <rPr>
        <b/>
        <sz val="8"/>
        <rFont val="Calibri"/>
        <family val="2"/>
        <scheme val="minor"/>
      </rPr>
      <t xml:space="preserve"> (Source Impact File - Corrected Amendment Final Rule)</t>
    </r>
    <r>
      <rPr>
        <b/>
        <sz val="11"/>
        <rFont val="Calibri"/>
        <family val="2"/>
        <scheme val="minor"/>
      </rPr>
      <t xml:space="preserve">
</t>
    </r>
    <r>
      <rPr>
        <sz val="11"/>
        <rFont val="Calibri"/>
        <family val="2"/>
        <scheme val="minor"/>
      </rPr>
      <t>TCHCP</t>
    </r>
  </si>
  <si>
    <t>SOURCE:  FY 2023 Final Rule and Correcting Amendment Tables
APPLIED TO OPERATING FED PORTION WITH ADJ WAGE INDEX</t>
  </si>
  <si>
    <r>
      <t>VBP AMT</t>
    </r>
    <r>
      <rPr>
        <sz val="11"/>
        <rFont val="Calibri"/>
        <family val="2"/>
        <scheme val="minor"/>
      </rPr>
      <t xml:space="preserve">
Calculation:  If W=0, then 0, otherwise L*(W-1)</t>
    </r>
  </si>
  <si>
    <r>
      <t xml:space="preserve">READMISSION AMT
</t>
    </r>
    <r>
      <rPr>
        <sz val="11"/>
        <rFont val="Calibri"/>
        <family val="2"/>
        <scheme val="minor"/>
      </rPr>
      <t>Calculation:  If Y=0, then 0, otherwise L*(Y-1)</t>
    </r>
  </si>
  <si>
    <r>
      <t xml:space="preserve">Medicare HAC Reduction = 1%
</t>
    </r>
    <r>
      <rPr>
        <sz val="11"/>
        <rFont val="Calibri"/>
        <family val="2"/>
        <scheme val="minor"/>
      </rPr>
      <t>If AA=YES, then -1%</t>
    </r>
  </si>
  <si>
    <r>
      <rPr>
        <b/>
        <sz val="11"/>
        <color theme="1"/>
        <rFont val="Calibri"/>
        <family val="2"/>
        <scheme val="minor"/>
      </rPr>
      <t xml:space="preserve">Hospital-Acquired Condition (HAC) Reduction </t>
    </r>
    <r>
      <rPr>
        <sz val="11"/>
        <color theme="1"/>
        <rFont val="Calibri"/>
        <family val="2"/>
        <scheme val="minor"/>
      </rPr>
      <t xml:space="preserve">
Y=YES</t>
    </r>
  </si>
  <si>
    <r>
      <t xml:space="preserve">Wage Index
</t>
    </r>
    <r>
      <rPr>
        <sz val="9"/>
        <rFont val="Calibri"/>
        <family val="2"/>
        <scheme val="minor"/>
      </rPr>
      <t>( Source Impact File - Corrected Amendment Final Rule
Non_PPS Hospital Wage Index=1)</t>
    </r>
  </si>
  <si>
    <r>
      <t xml:space="preserve">Operating Federal Portion w/Wage Index Adjustment
</t>
    </r>
    <r>
      <rPr>
        <sz val="9"/>
        <rFont val="Calibri"/>
        <family val="2"/>
        <scheme val="minor"/>
      </rPr>
      <t>((I*J)+K)</t>
    </r>
  </si>
  <si>
    <t>CMS.gov Data Set:  Hospital-Acquired Condition (HAC) Reduction Program</t>
  </si>
  <si>
    <t>Medicare ID (3rd &amp; 4th digits indicating hosp type.  13=CAH, 33=Children's Hosp)</t>
  </si>
  <si>
    <t>60008</t>
  </si>
  <si>
    <t>61308</t>
  </si>
  <si>
    <t>Critical Access</t>
  </si>
  <si>
    <t>63303</t>
  </si>
  <si>
    <t>Children</t>
  </si>
  <si>
    <t>60009</t>
  </si>
  <si>
    <t>60004</t>
  </si>
  <si>
    <t>60023</t>
  </si>
  <si>
    <t>63301</t>
  </si>
  <si>
    <t>60028</t>
  </si>
  <si>
    <t>60129</t>
  </si>
  <si>
    <t>60130</t>
  </si>
  <si>
    <t>60128</t>
  </si>
  <si>
    <t>60131</t>
  </si>
  <si>
    <t>60132</t>
  </si>
  <si>
    <t>61326</t>
  </si>
  <si>
    <t>60022</t>
  </si>
  <si>
    <t>60049</t>
  </si>
  <si>
    <t>60116</t>
  </si>
  <si>
    <t>61303</t>
  </si>
  <si>
    <t>60001</t>
  </si>
  <si>
    <t>60064</t>
  </si>
  <si>
    <t>60125</t>
  </si>
  <si>
    <t>60126</t>
  </si>
  <si>
    <t>60113</t>
  </si>
  <si>
    <t>60103</t>
  </si>
  <si>
    <t>60012</t>
  </si>
  <si>
    <t>60031</t>
  </si>
  <si>
    <t>60015</t>
  </si>
  <si>
    <t>60003</t>
  </si>
  <si>
    <t>61344</t>
  </si>
  <si>
    <t>60030</t>
  </si>
  <si>
    <t>60104</t>
  </si>
  <si>
    <t>60013</t>
  </si>
  <si>
    <t>60076</t>
  </si>
  <si>
    <t>60119</t>
  </si>
  <si>
    <t>60010</t>
  </si>
  <si>
    <t>60044</t>
  </si>
  <si>
    <t>60114</t>
  </si>
  <si>
    <t>60032</t>
  </si>
  <si>
    <t>60065</t>
  </si>
  <si>
    <t>60100</t>
  </si>
  <si>
    <t>60034</t>
  </si>
  <si>
    <t>60014</t>
  </si>
  <si>
    <t>60112</t>
  </si>
  <si>
    <t>60124</t>
  </si>
  <si>
    <t>60118</t>
  </si>
  <si>
    <t>REMAINING MEDICAID ADD-ONS OPEN TO ALL HOSPITALS</t>
  </si>
  <si>
    <t>Sources:  FY 2023 CMS Impact File CN / Table 1A-1E, Tables 15 &amp; 16B Final Rule &amp; Correcting Amendment</t>
  </si>
  <si>
    <t>Volume Inflator/Expected Caseload Growth Rate</t>
  </si>
  <si>
    <t xml:space="preserve">HAC Applied to Whole Fed Base Rate w/Adj / NOT CALCULATED IN FY2023 / Indicator will determine who gets HAC reduction from Source: CMS Data Sets </t>
  </si>
  <si>
    <t>Concatenated Info on Quality &amp; E H R Reductions to Apply to Final Rule National Adjusted Operating Standardized Amounts (Labor &amp; Non-Labor)  If G=1, 10 or 11, Dept will hand enter their correct labor &amp; non-labor amounts in I &amp; K</t>
  </si>
  <si>
    <t>MUTUALLY EXCLUSIVE ADD-ONS (4)</t>
  </si>
  <si>
    <t>IME for Non-PPS Hospitals &amp; GME Cost Add-on</t>
  </si>
  <si>
    <t>Payer Mix Cost Report Yrs</t>
  </si>
  <si>
    <t>Link to Solvency Metric Calculations which contains System hospital list.</t>
  </si>
  <si>
    <t>State Budget Action FY 23-24</t>
  </si>
  <si>
    <t>Table 15: FY 2023 Hospital Readmissions</t>
  </si>
  <si>
    <r>
      <t xml:space="preserve">Reduction Program </t>
    </r>
    <r>
      <rPr>
        <b/>
        <sz val="12"/>
        <color theme="0"/>
        <rFont val="Arial Bold"/>
      </rPr>
      <t>Payment</t>
    </r>
    <r>
      <rPr>
        <b/>
        <sz val="12"/>
        <color rgb="FFFFFFFF"/>
        <rFont val="Arial Bold"/>
      </rPr>
      <t xml:space="preserve"> Adjustment Factors*     </t>
    </r>
  </si>
  <si>
    <t>Hospital CMS Certification Number (CCN)</t>
  </si>
  <si>
    <t xml:space="preserve">FY 2023 Payment Adjustment Factor </t>
  </si>
  <si>
    <t>010001</t>
  </si>
  <si>
    <t>010005</t>
  </si>
  <si>
    <t>010006</t>
  </si>
  <si>
    <t>010007</t>
  </si>
  <si>
    <t>010008</t>
  </si>
  <si>
    <t>010011</t>
  </si>
  <si>
    <t>010012</t>
  </si>
  <si>
    <t>010016</t>
  </si>
  <si>
    <t>010019</t>
  </si>
  <si>
    <t>010021</t>
  </si>
  <si>
    <t>010022</t>
  </si>
  <si>
    <t>010023</t>
  </si>
  <si>
    <t>010024</t>
  </si>
  <si>
    <t>010029</t>
  </si>
  <si>
    <t>010033</t>
  </si>
  <si>
    <t>010034</t>
  </si>
  <si>
    <t>010035</t>
  </si>
  <si>
    <t>010036</t>
  </si>
  <si>
    <t>010038</t>
  </si>
  <si>
    <t>010039</t>
  </si>
  <si>
    <t>010040</t>
  </si>
  <si>
    <t>010044</t>
  </si>
  <si>
    <t>010045</t>
  </si>
  <si>
    <t>010046</t>
  </si>
  <si>
    <t>010049</t>
  </si>
  <si>
    <t>010051</t>
  </si>
  <si>
    <t>010052</t>
  </si>
  <si>
    <t>010055</t>
  </si>
  <si>
    <t>010056</t>
  </si>
  <si>
    <t>010058</t>
  </si>
  <si>
    <t>010059</t>
  </si>
  <si>
    <t>010061</t>
  </si>
  <si>
    <t>010062</t>
  </si>
  <si>
    <t>010065</t>
  </si>
  <si>
    <t>010069</t>
  </si>
  <si>
    <t>010073</t>
  </si>
  <si>
    <t>010078</t>
  </si>
  <si>
    <t>010079</t>
  </si>
  <si>
    <t>010083</t>
  </si>
  <si>
    <t>010085</t>
  </si>
  <si>
    <t>010086</t>
  </si>
  <si>
    <t>010087</t>
  </si>
  <si>
    <t>010089</t>
  </si>
  <si>
    <t>010090</t>
  </si>
  <si>
    <t>010091</t>
  </si>
  <si>
    <t>010092</t>
  </si>
  <si>
    <t>010095</t>
  </si>
  <si>
    <t>010097</t>
  </si>
  <si>
    <t>010099</t>
  </si>
  <si>
    <t>010100</t>
  </si>
  <si>
    <t>010101</t>
  </si>
  <si>
    <t>010102</t>
  </si>
  <si>
    <t>010103</t>
  </si>
  <si>
    <t>010104</t>
  </si>
  <si>
    <t>010108</t>
  </si>
  <si>
    <t>010110</t>
  </si>
  <si>
    <t>010112</t>
  </si>
  <si>
    <t>010113</t>
  </si>
  <si>
    <t>010114</t>
  </si>
  <si>
    <t>010118</t>
  </si>
  <si>
    <t>010120</t>
  </si>
  <si>
    <t>010125</t>
  </si>
  <si>
    <t>010126</t>
  </si>
  <si>
    <t>010128</t>
  </si>
  <si>
    <t>010129</t>
  </si>
  <si>
    <t>010130</t>
  </si>
  <si>
    <t>010131</t>
  </si>
  <si>
    <t>010138</t>
  </si>
  <si>
    <t>010139</t>
  </si>
  <si>
    <t>010144</t>
  </si>
  <si>
    <t>010148</t>
  </si>
  <si>
    <t>010149</t>
  </si>
  <si>
    <t>010150</t>
  </si>
  <si>
    <t>010157</t>
  </si>
  <si>
    <t>010158</t>
  </si>
  <si>
    <t>010164</t>
  </si>
  <si>
    <t>010168</t>
  </si>
  <si>
    <t>010169</t>
  </si>
  <si>
    <t>010173</t>
  </si>
  <si>
    <t>010174</t>
  </si>
  <si>
    <t>010175</t>
  </si>
  <si>
    <t>020001</t>
  </si>
  <si>
    <t>020006</t>
  </si>
  <si>
    <t>020008</t>
  </si>
  <si>
    <t>020012</t>
  </si>
  <si>
    <t>020017</t>
  </si>
  <si>
    <t>020018</t>
  </si>
  <si>
    <t>020024</t>
  </si>
  <si>
    <t>020026</t>
  </si>
  <si>
    <t>030002</t>
  </si>
  <si>
    <t>030006</t>
  </si>
  <si>
    <t>030007</t>
  </si>
  <si>
    <t>030010</t>
  </si>
  <si>
    <t>030011</t>
  </si>
  <si>
    <t>030012</t>
  </si>
  <si>
    <t>030013</t>
  </si>
  <si>
    <t>030014</t>
  </si>
  <si>
    <t>030016</t>
  </si>
  <si>
    <t>030022</t>
  </si>
  <si>
    <t>030023</t>
  </si>
  <si>
    <t>030024</t>
  </si>
  <si>
    <t>030030</t>
  </si>
  <si>
    <t>030036</t>
  </si>
  <si>
    <t>030037</t>
  </si>
  <si>
    <t>030038</t>
  </si>
  <si>
    <t>030043</t>
  </si>
  <si>
    <t>030055</t>
  </si>
  <si>
    <t>030061</t>
  </si>
  <si>
    <t>030062</t>
  </si>
  <si>
    <t>030064</t>
  </si>
  <si>
    <t>030065</t>
  </si>
  <si>
    <t>030069</t>
  </si>
  <si>
    <t>030071</t>
  </si>
  <si>
    <t>030073</t>
  </si>
  <si>
    <t>030074</t>
  </si>
  <si>
    <t>030077</t>
  </si>
  <si>
    <t>030078</t>
  </si>
  <si>
    <t>030083</t>
  </si>
  <si>
    <t>030084</t>
  </si>
  <si>
    <t>030085</t>
  </si>
  <si>
    <t>030087</t>
  </si>
  <si>
    <t>030088</t>
  </si>
  <si>
    <t>030089</t>
  </si>
  <si>
    <t>030092</t>
  </si>
  <si>
    <t>030093</t>
  </si>
  <si>
    <t>030094</t>
  </si>
  <si>
    <t>030101</t>
  </si>
  <si>
    <t>030103</t>
  </si>
  <si>
    <t>030105</t>
  </si>
  <si>
    <t>030107</t>
  </si>
  <si>
    <t>030108</t>
  </si>
  <si>
    <t>030110</t>
  </si>
  <si>
    <t>030111</t>
  </si>
  <si>
    <t>030112</t>
  </si>
  <si>
    <t>030113</t>
  </si>
  <si>
    <t>030114</t>
  </si>
  <si>
    <t>030115</t>
  </si>
  <si>
    <t>030117</t>
  </si>
  <si>
    <t>030119</t>
  </si>
  <si>
    <t>030121</t>
  </si>
  <si>
    <t>030122</t>
  </si>
  <si>
    <t>030123</t>
  </si>
  <si>
    <t>030130</t>
  </si>
  <si>
    <t>030131</t>
  </si>
  <si>
    <t>030134</t>
  </si>
  <si>
    <t>030136</t>
  </si>
  <si>
    <t>030137</t>
  </si>
  <si>
    <t>030138</t>
  </si>
  <si>
    <t>030139</t>
  </si>
  <si>
    <t>030146</t>
  </si>
  <si>
    <t>030147</t>
  </si>
  <si>
    <t>040001</t>
  </si>
  <si>
    <t>040002</t>
  </si>
  <si>
    <t>040004</t>
  </si>
  <si>
    <t>040007</t>
  </si>
  <si>
    <t>040010</t>
  </si>
  <si>
    <t>040011</t>
  </si>
  <si>
    <t>040014</t>
  </si>
  <si>
    <t>040015</t>
  </si>
  <si>
    <t>040016</t>
  </si>
  <si>
    <t>040017</t>
  </si>
  <si>
    <t>040018</t>
  </si>
  <si>
    <t>040019</t>
  </si>
  <si>
    <t>040020</t>
  </si>
  <si>
    <t>040022</t>
  </si>
  <si>
    <t>040026</t>
  </si>
  <si>
    <t>040027</t>
  </si>
  <si>
    <t>040029</t>
  </si>
  <si>
    <t>040036</t>
  </si>
  <si>
    <t>040039</t>
  </si>
  <si>
    <t>040041</t>
  </si>
  <si>
    <t>040047</t>
  </si>
  <si>
    <t>040050</t>
  </si>
  <si>
    <t>040051</t>
  </si>
  <si>
    <t>040055</t>
  </si>
  <si>
    <t>040062</t>
  </si>
  <si>
    <t>040067</t>
  </si>
  <si>
    <t>040069</t>
  </si>
  <si>
    <t>040071</t>
  </si>
  <si>
    <t>040072</t>
  </si>
  <si>
    <t>040076</t>
  </si>
  <si>
    <t>040078</t>
  </si>
  <si>
    <t>040084</t>
  </si>
  <si>
    <t>040085</t>
  </si>
  <si>
    <t>040088</t>
  </si>
  <si>
    <t>040114</t>
  </si>
  <si>
    <t>040118</t>
  </si>
  <si>
    <t>040119</t>
  </si>
  <si>
    <t>040134</t>
  </si>
  <si>
    <t>040137</t>
  </si>
  <si>
    <t>040147</t>
  </si>
  <si>
    <t>040152</t>
  </si>
  <si>
    <t>040153</t>
  </si>
  <si>
    <t>040154</t>
  </si>
  <si>
    <t>040156</t>
  </si>
  <si>
    <t>040161</t>
  </si>
  <si>
    <t>050002</t>
  </si>
  <si>
    <t>050006</t>
  </si>
  <si>
    <t>050007</t>
  </si>
  <si>
    <t>050008</t>
  </si>
  <si>
    <t>050009</t>
  </si>
  <si>
    <t>050013</t>
  </si>
  <si>
    <t>050014</t>
  </si>
  <si>
    <t>050017</t>
  </si>
  <si>
    <t>050022</t>
  </si>
  <si>
    <t>050024</t>
  </si>
  <si>
    <t>050025</t>
  </si>
  <si>
    <t>050026</t>
  </si>
  <si>
    <t>050028</t>
  </si>
  <si>
    <t>050030</t>
  </si>
  <si>
    <t>050036</t>
  </si>
  <si>
    <t>050038</t>
  </si>
  <si>
    <t>050039</t>
  </si>
  <si>
    <t>050040</t>
  </si>
  <si>
    <t>050042</t>
  </si>
  <si>
    <t>050043</t>
  </si>
  <si>
    <t>050045</t>
  </si>
  <si>
    <t>050047</t>
  </si>
  <si>
    <t>050054</t>
  </si>
  <si>
    <t>050055</t>
  </si>
  <si>
    <t>050056</t>
  </si>
  <si>
    <t>050057</t>
  </si>
  <si>
    <t>050058</t>
  </si>
  <si>
    <t>050060</t>
  </si>
  <si>
    <t>050063</t>
  </si>
  <si>
    <t>050067</t>
  </si>
  <si>
    <t>050069</t>
  </si>
  <si>
    <t>050070</t>
  </si>
  <si>
    <t>050071</t>
  </si>
  <si>
    <t>050072</t>
  </si>
  <si>
    <t>050073</t>
  </si>
  <si>
    <t>050075</t>
  </si>
  <si>
    <t>050076</t>
  </si>
  <si>
    <t>050077</t>
  </si>
  <si>
    <t>050078</t>
  </si>
  <si>
    <t>050082</t>
  </si>
  <si>
    <t>050084</t>
  </si>
  <si>
    <t>050089</t>
  </si>
  <si>
    <t>050090</t>
  </si>
  <si>
    <t>050091</t>
  </si>
  <si>
    <t>050093</t>
  </si>
  <si>
    <t>050096</t>
  </si>
  <si>
    <t>050099</t>
  </si>
  <si>
    <t>050100</t>
  </si>
  <si>
    <t>050101</t>
  </si>
  <si>
    <t>050102</t>
  </si>
  <si>
    <t>050103</t>
  </si>
  <si>
    <t>050104</t>
  </si>
  <si>
    <t>050107</t>
  </si>
  <si>
    <t>050108</t>
  </si>
  <si>
    <t>050110</t>
  </si>
  <si>
    <t>050112</t>
  </si>
  <si>
    <t>050113</t>
  </si>
  <si>
    <t>050115</t>
  </si>
  <si>
    <t>050116</t>
  </si>
  <si>
    <t>050118</t>
  </si>
  <si>
    <t>050121</t>
  </si>
  <si>
    <t>050122</t>
  </si>
  <si>
    <t>050124</t>
  </si>
  <si>
    <t>050125</t>
  </si>
  <si>
    <t>050126</t>
  </si>
  <si>
    <t>050127</t>
  </si>
  <si>
    <t>050128</t>
  </si>
  <si>
    <t>050129</t>
  </si>
  <si>
    <t>050131</t>
  </si>
  <si>
    <t>050132</t>
  </si>
  <si>
    <t>050133</t>
  </si>
  <si>
    <t>050135</t>
  </si>
  <si>
    <t>050136</t>
  </si>
  <si>
    <t>050137</t>
  </si>
  <si>
    <t>050138</t>
  </si>
  <si>
    <t>050139</t>
  </si>
  <si>
    <t>050140</t>
  </si>
  <si>
    <t>050145</t>
  </si>
  <si>
    <t>050149</t>
  </si>
  <si>
    <t>050150</t>
  </si>
  <si>
    <t>050152</t>
  </si>
  <si>
    <t>050158</t>
  </si>
  <si>
    <t>050159</t>
  </si>
  <si>
    <t>050167</t>
  </si>
  <si>
    <t>050168</t>
  </si>
  <si>
    <t>050169</t>
  </si>
  <si>
    <t>050174</t>
  </si>
  <si>
    <t>050179</t>
  </si>
  <si>
    <t>050180</t>
  </si>
  <si>
    <t>050191</t>
  </si>
  <si>
    <t>050192</t>
  </si>
  <si>
    <t>050194</t>
  </si>
  <si>
    <t>050195</t>
  </si>
  <si>
    <t>050197</t>
  </si>
  <si>
    <t>050204</t>
  </si>
  <si>
    <t>050211</t>
  </si>
  <si>
    <t>050222</t>
  </si>
  <si>
    <t>050224</t>
  </si>
  <si>
    <t>050226</t>
  </si>
  <si>
    <t>050228</t>
  </si>
  <si>
    <t>050230</t>
  </si>
  <si>
    <t>050231</t>
  </si>
  <si>
    <t>050232</t>
  </si>
  <si>
    <t>050234</t>
  </si>
  <si>
    <t>050235</t>
  </si>
  <si>
    <t>050236</t>
  </si>
  <si>
    <t>050238</t>
  </si>
  <si>
    <t>050239</t>
  </si>
  <si>
    <t>050242</t>
  </si>
  <si>
    <t>050243</t>
  </si>
  <si>
    <t>050245</t>
  </si>
  <si>
    <t>050248</t>
  </si>
  <si>
    <t>050254</t>
  </si>
  <si>
    <t>050257</t>
  </si>
  <si>
    <t>050261</t>
  </si>
  <si>
    <t>050262</t>
  </si>
  <si>
    <t>050272</t>
  </si>
  <si>
    <t>050276</t>
  </si>
  <si>
    <t>050278</t>
  </si>
  <si>
    <t>050279</t>
  </si>
  <si>
    <t>050280</t>
  </si>
  <si>
    <t>050281</t>
  </si>
  <si>
    <t>050283</t>
  </si>
  <si>
    <t>050289</t>
  </si>
  <si>
    <t>050290</t>
  </si>
  <si>
    <t>050291</t>
  </si>
  <si>
    <t>050292</t>
  </si>
  <si>
    <t>050295</t>
  </si>
  <si>
    <t>050298</t>
  </si>
  <si>
    <t>050300</t>
  </si>
  <si>
    <t>050301</t>
  </si>
  <si>
    <t>050305</t>
  </si>
  <si>
    <t>050308</t>
  </si>
  <si>
    <t>050309</t>
  </si>
  <si>
    <t>050313</t>
  </si>
  <si>
    <t>050315</t>
  </si>
  <si>
    <t>050320</t>
  </si>
  <si>
    <t>050324</t>
  </si>
  <si>
    <t>050327</t>
  </si>
  <si>
    <t>050329</t>
  </si>
  <si>
    <t>050334</t>
  </si>
  <si>
    <t>050335</t>
  </si>
  <si>
    <t>050336</t>
  </si>
  <si>
    <t>050342</t>
  </si>
  <si>
    <t>050348</t>
  </si>
  <si>
    <t>050350</t>
  </si>
  <si>
    <t>050351</t>
  </si>
  <si>
    <t>050352</t>
  </si>
  <si>
    <t>050353</t>
  </si>
  <si>
    <t>050357</t>
  </si>
  <si>
    <t>050360</t>
  </si>
  <si>
    <t>050367</t>
  </si>
  <si>
    <t>050373</t>
  </si>
  <si>
    <t>050376</t>
  </si>
  <si>
    <t>050378</t>
  </si>
  <si>
    <t>050380</t>
  </si>
  <si>
    <t>050382</t>
  </si>
  <si>
    <t>050390</t>
  </si>
  <si>
    <t>050393</t>
  </si>
  <si>
    <t>050394</t>
  </si>
  <si>
    <t>050396</t>
  </si>
  <si>
    <t>050407</t>
  </si>
  <si>
    <t>050411</t>
  </si>
  <si>
    <t>050414</t>
  </si>
  <si>
    <t>050417</t>
  </si>
  <si>
    <t>050423</t>
  </si>
  <si>
    <t>050424</t>
  </si>
  <si>
    <t>050425</t>
  </si>
  <si>
    <t>050426</t>
  </si>
  <si>
    <t>050438</t>
  </si>
  <si>
    <t>050441</t>
  </si>
  <si>
    <t>050444</t>
  </si>
  <si>
    <t>050454</t>
  </si>
  <si>
    <t>050455</t>
  </si>
  <si>
    <t>050457</t>
  </si>
  <si>
    <t>050464</t>
  </si>
  <si>
    <t>050468</t>
  </si>
  <si>
    <t>050471</t>
  </si>
  <si>
    <t>050481</t>
  </si>
  <si>
    <t>050485</t>
  </si>
  <si>
    <t>050488</t>
  </si>
  <si>
    <t>050492</t>
  </si>
  <si>
    <t>050496</t>
  </si>
  <si>
    <t>050498</t>
  </si>
  <si>
    <t>050503</t>
  </si>
  <si>
    <t>050506</t>
  </si>
  <si>
    <t>050510</t>
  </si>
  <si>
    <t>050512</t>
  </si>
  <si>
    <t>050515</t>
  </si>
  <si>
    <t>050516</t>
  </si>
  <si>
    <t>050517</t>
  </si>
  <si>
    <t>050523</t>
  </si>
  <si>
    <t>050526</t>
  </si>
  <si>
    <t>050528</t>
  </si>
  <si>
    <t>050534</t>
  </si>
  <si>
    <t>050537</t>
  </si>
  <si>
    <t>050541</t>
  </si>
  <si>
    <t>050546</t>
  </si>
  <si>
    <t>050549</t>
  </si>
  <si>
    <t>050551</t>
  </si>
  <si>
    <t>050557</t>
  </si>
  <si>
    <t>050561</t>
  </si>
  <si>
    <t>050567</t>
  </si>
  <si>
    <t>050568</t>
  </si>
  <si>
    <t>050570</t>
  </si>
  <si>
    <t>050573</t>
  </si>
  <si>
    <t>050580</t>
  </si>
  <si>
    <t>050581</t>
  </si>
  <si>
    <t>050586</t>
  </si>
  <si>
    <t>050588</t>
  </si>
  <si>
    <t>050589</t>
  </si>
  <si>
    <t>050590</t>
  </si>
  <si>
    <t>050597</t>
  </si>
  <si>
    <t>050599</t>
  </si>
  <si>
    <t>050603</t>
  </si>
  <si>
    <t>050604</t>
  </si>
  <si>
    <t>050608</t>
  </si>
  <si>
    <t>050609</t>
  </si>
  <si>
    <t>050624</t>
  </si>
  <si>
    <t>050625</t>
  </si>
  <si>
    <t>050633</t>
  </si>
  <si>
    <t>050636</t>
  </si>
  <si>
    <t>050641</t>
  </si>
  <si>
    <t>050663</t>
  </si>
  <si>
    <t>050668</t>
  </si>
  <si>
    <t>050674</t>
  </si>
  <si>
    <t>050677</t>
  </si>
  <si>
    <t>050678</t>
  </si>
  <si>
    <t>050684</t>
  </si>
  <si>
    <t>050686</t>
  </si>
  <si>
    <t>050689</t>
  </si>
  <si>
    <t>050690</t>
  </si>
  <si>
    <t>050696</t>
  </si>
  <si>
    <t>050701</t>
  </si>
  <si>
    <t>050704</t>
  </si>
  <si>
    <t>050708</t>
  </si>
  <si>
    <t>050709</t>
  </si>
  <si>
    <t>050710</t>
  </si>
  <si>
    <t>050714</t>
  </si>
  <si>
    <t>050717</t>
  </si>
  <si>
    <t>050723</t>
  </si>
  <si>
    <t>050724</t>
  </si>
  <si>
    <t>050726</t>
  </si>
  <si>
    <t>050735</t>
  </si>
  <si>
    <t>050736</t>
  </si>
  <si>
    <t>050737</t>
  </si>
  <si>
    <t>050738</t>
  </si>
  <si>
    <t>050739</t>
  </si>
  <si>
    <t>050740</t>
  </si>
  <si>
    <t>050742</t>
  </si>
  <si>
    <t>050744</t>
  </si>
  <si>
    <t>050745</t>
  </si>
  <si>
    <t>050746</t>
  </si>
  <si>
    <t>050747</t>
  </si>
  <si>
    <t>050748</t>
  </si>
  <si>
    <t>050755</t>
  </si>
  <si>
    <t>050757</t>
  </si>
  <si>
    <t>050758</t>
  </si>
  <si>
    <t>050760</t>
  </si>
  <si>
    <t>050761</t>
  </si>
  <si>
    <t>050763</t>
  </si>
  <si>
    <t>050764</t>
  </si>
  <si>
    <t>050765</t>
  </si>
  <si>
    <t>050766</t>
  </si>
  <si>
    <t>050767</t>
  </si>
  <si>
    <t>050769</t>
  </si>
  <si>
    <t>050770</t>
  </si>
  <si>
    <t>050771</t>
  </si>
  <si>
    <t>050772</t>
  </si>
  <si>
    <t>050775</t>
  </si>
  <si>
    <t>050776</t>
  </si>
  <si>
    <t>050777</t>
  </si>
  <si>
    <t>050779</t>
  </si>
  <si>
    <t>050780</t>
  </si>
  <si>
    <t>050782</t>
  </si>
  <si>
    <t>050783</t>
  </si>
  <si>
    <t>050784</t>
  </si>
  <si>
    <t>050785</t>
  </si>
  <si>
    <t>050849</t>
  </si>
  <si>
    <t>070002</t>
  </si>
  <si>
    <t>070003</t>
  </si>
  <si>
    <t>070004</t>
  </si>
  <si>
    <t>070005</t>
  </si>
  <si>
    <t>070006</t>
  </si>
  <si>
    <t>070007</t>
  </si>
  <si>
    <t>070008</t>
  </si>
  <si>
    <t>070010</t>
  </si>
  <si>
    <t>070011</t>
  </si>
  <si>
    <t>070012</t>
  </si>
  <si>
    <t>070016</t>
  </si>
  <si>
    <t>070017</t>
  </si>
  <si>
    <t>070018</t>
  </si>
  <si>
    <t>070020</t>
  </si>
  <si>
    <t>070021</t>
  </si>
  <si>
    <t>070022</t>
  </si>
  <si>
    <t>070024</t>
  </si>
  <si>
    <t>070025</t>
  </si>
  <si>
    <t>070027</t>
  </si>
  <si>
    <t>070028</t>
  </si>
  <si>
    <t>070029</t>
  </si>
  <si>
    <t>070031</t>
  </si>
  <si>
    <t>070033</t>
  </si>
  <si>
    <t>070034</t>
  </si>
  <si>
    <t>070035</t>
  </si>
  <si>
    <t>070036</t>
  </si>
  <si>
    <t>070038</t>
  </si>
  <si>
    <t>070039</t>
  </si>
  <si>
    <t>070040</t>
  </si>
  <si>
    <t>080001</t>
  </si>
  <si>
    <t>080003</t>
  </si>
  <si>
    <t>080004</t>
  </si>
  <si>
    <t>080006</t>
  </si>
  <si>
    <t>080007</t>
  </si>
  <si>
    <t>080009</t>
  </si>
  <si>
    <t>090001</t>
  </si>
  <si>
    <t>090003</t>
  </si>
  <si>
    <t>090004</t>
  </si>
  <si>
    <t>090005</t>
  </si>
  <si>
    <t>090008</t>
  </si>
  <si>
    <t>090011</t>
  </si>
  <si>
    <t>100001</t>
  </si>
  <si>
    <t>100002</t>
  </si>
  <si>
    <t>100006</t>
  </si>
  <si>
    <t>100007</t>
  </si>
  <si>
    <t>100008</t>
  </si>
  <si>
    <t>100012</t>
  </si>
  <si>
    <t>100014</t>
  </si>
  <si>
    <t>100017</t>
  </si>
  <si>
    <t>100018</t>
  </si>
  <si>
    <t>100019</t>
  </si>
  <si>
    <t>100022</t>
  </si>
  <si>
    <t>100023</t>
  </si>
  <si>
    <t>100025</t>
  </si>
  <si>
    <t>100026</t>
  </si>
  <si>
    <t>100028</t>
  </si>
  <si>
    <t>100029</t>
  </si>
  <si>
    <t>100030</t>
  </si>
  <si>
    <t>100032</t>
  </si>
  <si>
    <t>100034</t>
  </si>
  <si>
    <t>100035</t>
  </si>
  <si>
    <t>100038</t>
  </si>
  <si>
    <t>100039</t>
  </si>
  <si>
    <t>100040</t>
  </si>
  <si>
    <t>100043</t>
  </si>
  <si>
    <t>100044</t>
  </si>
  <si>
    <t>100045</t>
  </si>
  <si>
    <t>100046</t>
  </si>
  <si>
    <t>100047</t>
  </si>
  <si>
    <t>100048</t>
  </si>
  <si>
    <t>100049</t>
  </si>
  <si>
    <t>100050</t>
  </si>
  <si>
    <t>100051</t>
  </si>
  <si>
    <t>100052</t>
  </si>
  <si>
    <t>100053</t>
  </si>
  <si>
    <t>100054</t>
  </si>
  <si>
    <t>100055</t>
  </si>
  <si>
    <t>100057</t>
  </si>
  <si>
    <t>100062</t>
  </si>
  <si>
    <t>100063</t>
  </si>
  <si>
    <t>100067</t>
  </si>
  <si>
    <t>100068</t>
  </si>
  <si>
    <t>100069</t>
  </si>
  <si>
    <t>100070</t>
  </si>
  <si>
    <t>100071</t>
  </si>
  <si>
    <t>100072</t>
  </si>
  <si>
    <t>100073</t>
  </si>
  <si>
    <t>100075</t>
  </si>
  <si>
    <t>100077</t>
  </si>
  <si>
    <t>100080</t>
  </si>
  <si>
    <t>100081</t>
  </si>
  <si>
    <t>100084</t>
  </si>
  <si>
    <t>100086</t>
  </si>
  <si>
    <t>100087</t>
  </si>
  <si>
    <t>100088</t>
  </si>
  <si>
    <t>100090</t>
  </si>
  <si>
    <t>100092</t>
  </si>
  <si>
    <t>100093</t>
  </si>
  <si>
    <t>100099</t>
  </si>
  <si>
    <t>100105</t>
  </si>
  <si>
    <t>100106</t>
  </si>
  <si>
    <t>100107</t>
  </si>
  <si>
    <t>100109</t>
  </si>
  <si>
    <t>100110</t>
  </si>
  <si>
    <t>100113</t>
  </si>
  <si>
    <t>100117</t>
  </si>
  <si>
    <t>100118</t>
  </si>
  <si>
    <t>100121</t>
  </si>
  <si>
    <t>100122</t>
  </si>
  <si>
    <t>100124</t>
  </si>
  <si>
    <t>100125</t>
  </si>
  <si>
    <t>100126</t>
  </si>
  <si>
    <t>100127</t>
  </si>
  <si>
    <t>100128</t>
  </si>
  <si>
    <t>100130</t>
  </si>
  <si>
    <t>100131</t>
  </si>
  <si>
    <t>100132</t>
  </si>
  <si>
    <t>100134</t>
  </si>
  <si>
    <t>100135</t>
  </si>
  <si>
    <t>100137</t>
  </si>
  <si>
    <t>100140</t>
  </si>
  <si>
    <t>100142</t>
  </si>
  <si>
    <t>100150</t>
  </si>
  <si>
    <t>100151</t>
  </si>
  <si>
    <t>100154</t>
  </si>
  <si>
    <t>100156</t>
  </si>
  <si>
    <t>100157</t>
  </si>
  <si>
    <t>100161</t>
  </si>
  <si>
    <t>100166</t>
  </si>
  <si>
    <t>100167</t>
  </si>
  <si>
    <t>100168</t>
  </si>
  <si>
    <t>100173</t>
  </si>
  <si>
    <t>100175</t>
  </si>
  <si>
    <t>100176</t>
  </si>
  <si>
    <t>100177</t>
  </si>
  <si>
    <t>100179</t>
  </si>
  <si>
    <t>100180</t>
  </si>
  <si>
    <t>100181</t>
  </si>
  <si>
    <t>100183</t>
  </si>
  <si>
    <t>100187</t>
  </si>
  <si>
    <t>100189</t>
  </si>
  <si>
    <t>100191</t>
  </si>
  <si>
    <t>100200</t>
  </si>
  <si>
    <t>100204</t>
  </si>
  <si>
    <t>100206</t>
  </si>
  <si>
    <t>100209</t>
  </si>
  <si>
    <t>100211</t>
  </si>
  <si>
    <t>100212</t>
  </si>
  <si>
    <t>100213</t>
  </si>
  <si>
    <t>100217</t>
  </si>
  <si>
    <t>100220</t>
  </si>
  <si>
    <t>100223</t>
  </si>
  <si>
    <t>100224</t>
  </si>
  <si>
    <t>100226</t>
  </si>
  <si>
    <t>100228</t>
  </si>
  <si>
    <t>100230</t>
  </si>
  <si>
    <t>100231</t>
  </si>
  <si>
    <t>100232</t>
  </si>
  <si>
    <t>100236</t>
  </si>
  <si>
    <t>100238</t>
  </si>
  <si>
    <t>100242</t>
  </si>
  <si>
    <t>100243</t>
  </si>
  <si>
    <t>100244</t>
  </si>
  <si>
    <t>100246</t>
  </si>
  <si>
    <t>100248</t>
  </si>
  <si>
    <t>100249</t>
  </si>
  <si>
    <t>100252</t>
  </si>
  <si>
    <t>100253</t>
  </si>
  <si>
    <t>100254</t>
  </si>
  <si>
    <t>100256</t>
  </si>
  <si>
    <t>100258</t>
  </si>
  <si>
    <t>100259</t>
  </si>
  <si>
    <t>100260</t>
  </si>
  <si>
    <t>100264</t>
  </si>
  <si>
    <t>100265</t>
  </si>
  <si>
    <t>100266</t>
  </si>
  <si>
    <t>100267</t>
  </si>
  <si>
    <t>100268</t>
  </si>
  <si>
    <t>100269</t>
  </si>
  <si>
    <t>100275</t>
  </si>
  <si>
    <t>100276</t>
  </si>
  <si>
    <t>100277</t>
  </si>
  <si>
    <t>100281</t>
  </si>
  <si>
    <t>100284</t>
  </si>
  <si>
    <t>100285</t>
  </si>
  <si>
    <t>100286</t>
  </si>
  <si>
    <t>100287</t>
  </si>
  <si>
    <t>100288</t>
  </si>
  <si>
    <t>100289</t>
  </si>
  <si>
    <t>100290</t>
  </si>
  <si>
    <t>100291</t>
  </si>
  <si>
    <t>100292</t>
  </si>
  <si>
    <t>100296</t>
  </si>
  <si>
    <t>100299</t>
  </si>
  <si>
    <t>100302</t>
  </si>
  <si>
    <t>100307</t>
  </si>
  <si>
    <t>100313</t>
  </si>
  <si>
    <t>100314</t>
  </si>
  <si>
    <t>100315</t>
  </si>
  <si>
    <t>100316</t>
  </si>
  <si>
    <t>100319</t>
  </si>
  <si>
    <t>100320</t>
  </si>
  <si>
    <t>100321</t>
  </si>
  <si>
    <t>100329</t>
  </si>
  <si>
    <t>100330</t>
  </si>
  <si>
    <t>100350</t>
  </si>
  <si>
    <t>110001</t>
  </si>
  <si>
    <t>110002</t>
  </si>
  <si>
    <t>110003</t>
  </si>
  <si>
    <t>110005</t>
  </si>
  <si>
    <t>110006</t>
  </si>
  <si>
    <t>110007</t>
  </si>
  <si>
    <t>110008</t>
  </si>
  <si>
    <t>110010</t>
  </si>
  <si>
    <t>110011</t>
  </si>
  <si>
    <t>110015</t>
  </si>
  <si>
    <t>110016</t>
  </si>
  <si>
    <t>110018</t>
  </si>
  <si>
    <t>110023</t>
  </si>
  <si>
    <t>110024</t>
  </si>
  <si>
    <t>110025</t>
  </si>
  <si>
    <t>110027</t>
  </si>
  <si>
    <t>110028</t>
  </si>
  <si>
    <t>110029</t>
  </si>
  <si>
    <t>110030</t>
  </si>
  <si>
    <t>110031</t>
  </si>
  <si>
    <t>110032</t>
  </si>
  <si>
    <t>110034</t>
  </si>
  <si>
    <t>110035</t>
  </si>
  <si>
    <t>110036</t>
  </si>
  <si>
    <t>110038</t>
  </si>
  <si>
    <t>110041</t>
  </si>
  <si>
    <t>110042</t>
  </si>
  <si>
    <t>110043</t>
  </si>
  <si>
    <t>110044</t>
  </si>
  <si>
    <t>110045</t>
  </si>
  <si>
    <t>110046</t>
  </si>
  <si>
    <t>110050</t>
  </si>
  <si>
    <t>110051</t>
  </si>
  <si>
    <t>110054</t>
  </si>
  <si>
    <t>110064</t>
  </si>
  <si>
    <t>110069</t>
  </si>
  <si>
    <t>110071</t>
  </si>
  <si>
    <t>110073</t>
  </si>
  <si>
    <t>110074</t>
  </si>
  <si>
    <t>110075</t>
  </si>
  <si>
    <t>110076</t>
  </si>
  <si>
    <t>110078</t>
  </si>
  <si>
    <t>110079</t>
  </si>
  <si>
    <t>110082</t>
  </si>
  <si>
    <t>110083</t>
  </si>
  <si>
    <t>110086</t>
  </si>
  <si>
    <t>110087</t>
  </si>
  <si>
    <t>110089</t>
  </si>
  <si>
    <t>110091</t>
  </si>
  <si>
    <t>110092</t>
  </si>
  <si>
    <t>110095</t>
  </si>
  <si>
    <t>110100</t>
  </si>
  <si>
    <t>110101</t>
  </si>
  <si>
    <t>110104</t>
  </si>
  <si>
    <t>110105</t>
  </si>
  <si>
    <t>110107</t>
  </si>
  <si>
    <t>110109</t>
  </si>
  <si>
    <t>110111</t>
  </si>
  <si>
    <t>110113</t>
  </si>
  <si>
    <t>110115</t>
  </si>
  <si>
    <t>110121</t>
  </si>
  <si>
    <t>110122</t>
  </si>
  <si>
    <t>110124</t>
  </si>
  <si>
    <t>110125</t>
  </si>
  <si>
    <t>110128</t>
  </si>
  <si>
    <t>110129</t>
  </si>
  <si>
    <t>110130</t>
  </si>
  <si>
    <t>110132</t>
  </si>
  <si>
    <t>110135</t>
  </si>
  <si>
    <t>110142</t>
  </si>
  <si>
    <t>110143</t>
  </si>
  <si>
    <t>110146</t>
  </si>
  <si>
    <t>110150</t>
  </si>
  <si>
    <t>110153</t>
  </si>
  <si>
    <t>110161</t>
  </si>
  <si>
    <t>110164</t>
  </si>
  <si>
    <t>110165</t>
  </si>
  <si>
    <t>110168</t>
  </si>
  <si>
    <t>110177</t>
  </si>
  <si>
    <t>110184</t>
  </si>
  <si>
    <t>110189</t>
  </si>
  <si>
    <t>110191</t>
  </si>
  <si>
    <t>110192</t>
  </si>
  <si>
    <t>110194</t>
  </si>
  <si>
    <t>110198</t>
  </si>
  <si>
    <t>110200</t>
  </si>
  <si>
    <t>110201</t>
  </si>
  <si>
    <t>110215</t>
  </si>
  <si>
    <t>110225</t>
  </si>
  <si>
    <t>110226</t>
  </si>
  <si>
    <t>110229</t>
  </si>
  <si>
    <t>110230</t>
  </si>
  <si>
    <t>110233</t>
  </si>
  <si>
    <t>110234</t>
  </si>
  <si>
    <t>110236</t>
  </si>
  <si>
    <t>110237</t>
  </si>
  <si>
    <t>120001</t>
  </si>
  <si>
    <t>120002</t>
  </si>
  <si>
    <t>120004</t>
  </si>
  <si>
    <t>120005</t>
  </si>
  <si>
    <t>120006</t>
  </si>
  <si>
    <t>120007</t>
  </si>
  <si>
    <t>120011</t>
  </si>
  <si>
    <t>120014</t>
  </si>
  <si>
    <t>120019</t>
  </si>
  <si>
    <t>120022</t>
  </si>
  <si>
    <t>120026</t>
  </si>
  <si>
    <t>120028</t>
  </si>
  <si>
    <t>130002</t>
  </si>
  <si>
    <t>130003</t>
  </si>
  <si>
    <t>130006</t>
  </si>
  <si>
    <t>130007</t>
  </si>
  <si>
    <t>130013</t>
  </si>
  <si>
    <t>130014</t>
  </si>
  <si>
    <t>130018</t>
  </si>
  <si>
    <t>130025</t>
  </si>
  <si>
    <t>130028</t>
  </si>
  <si>
    <t>130049</t>
  </si>
  <si>
    <t>130063</t>
  </si>
  <si>
    <t>130065</t>
  </si>
  <si>
    <t>130066</t>
  </si>
  <si>
    <t>130071</t>
  </si>
  <si>
    <t>130074</t>
  </si>
  <si>
    <t>140001</t>
  </si>
  <si>
    <t>140002</t>
  </si>
  <si>
    <t>140007</t>
  </si>
  <si>
    <t>140008</t>
  </si>
  <si>
    <t>140010</t>
  </si>
  <si>
    <t>140011</t>
  </si>
  <si>
    <t>140012</t>
  </si>
  <si>
    <t>140013</t>
  </si>
  <si>
    <t>140015</t>
  </si>
  <si>
    <t>140018</t>
  </si>
  <si>
    <t>140019</t>
  </si>
  <si>
    <t>140029</t>
  </si>
  <si>
    <t>140030</t>
  </si>
  <si>
    <t>140032</t>
  </si>
  <si>
    <t>140034</t>
  </si>
  <si>
    <t>140040</t>
  </si>
  <si>
    <t>140043</t>
  </si>
  <si>
    <t>140046</t>
  </si>
  <si>
    <t>140048</t>
  </si>
  <si>
    <t>140049</t>
  </si>
  <si>
    <t>140052</t>
  </si>
  <si>
    <t>140053</t>
  </si>
  <si>
    <t>140054</t>
  </si>
  <si>
    <t>140058</t>
  </si>
  <si>
    <t>140059</t>
  </si>
  <si>
    <t>140062</t>
  </si>
  <si>
    <t>140063</t>
  </si>
  <si>
    <t>140064</t>
  </si>
  <si>
    <t>140065</t>
  </si>
  <si>
    <t>140067</t>
  </si>
  <si>
    <t>140068</t>
  </si>
  <si>
    <t>140077</t>
  </si>
  <si>
    <t>140080</t>
  </si>
  <si>
    <t>140082</t>
  </si>
  <si>
    <t>140083</t>
  </si>
  <si>
    <t>140084</t>
  </si>
  <si>
    <t>140088</t>
  </si>
  <si>
    <t>140089</t>
  </si>
  <si>
    <t>140091</t>
  </si>
  <si>
    <t>140093</t>
  </si>
  <si>
    <t>140095</t>
  </si>
  <si>
    <t>140100</t>
  </si>
  <si>
    <t>140101</t>
  </si>
  <si>
    <t>140103</t>
  </si>
  <si>
    <t>140110</t>
  </si>
  <si>
    <t>140113</t>
  </si>
  <si>
    <t>140114</t>
  </si>
  <si>
    <t>140115</t>
  </si>
  <si>
    <t>140116</t>
  </si>
  <si>
    <t>140117</t>
  </si>
  <si>
    <t>140119</t>
  </si>
  <si>
    <t>140120</t>
  </si>
  <si>
    <t>140122</t>
  </si>
  <si>
    <t>140124</t>
  </si>
  <si>
    <t>140125</t>
  </si>
  <si>
    <t>140127</t>
  </si>
  <si>
    <t>140130</t>
  </si>
  <si>
    <t>140133</t>
  </si>
  <si>
    <t>140135</t>
  </si>
  <si>
    <t>140137</t>
  </si>
  <si>
    <t>140143</t>
  </si>
  <si>
    <t>140145</t>
  </si>
  <si>
    <t>140147</t>
  </si>
  <si>
    <t>140148</t>
  </si>
  <si>
    <t>140150</t>
  </si>
  <si>
    <t>140155</t>
  </si>
  <si>
    <t>140158</t>
  </si>
  <si>
    <t>140160</t>
  </si>
  <si>
    <t>140161</t>
  </si>
  <si>
    <t>140162</t>
  </si>
  <si>
    <t>140164</t>
  </si>
  <si>
    <t>140166</t>
  </si>
  <si>
    <t>140167</t>
  </si>
  <si>
    <t>140172</t>
  </si>
  <si>
    <t>140174</t>
  </si>
  <si>
    <t>140177</t>
  </si>
  <si>
    <t>140179</t>
  </si>
  <si>
    <t>140180</t>
  </si>
  <si>
    <t>140181</t>
  </si>
  <si>
    <t>140182</t>
  </si>
  <si>
    <t>140184</t>
  </si>
  <si>
    <t>140185</t>
  </si>
  <si>
    <t>140186</t>
  </si>
  <si>
    <t>140187</t>
  </si>
  <si>
    <t>140189</t>
  </si>
  <si>
    <t>140191</t>
  </si>
  <si>
    <t>140197</t>
  </si>
  <si>
    <t>140200</t>
  </si>
  <si>
    <t>140202</t>
  </si>
  <si>
    <t>140206</t>
  </si>
  <si>
    <t>140208</t>
  </si>
  <si>
    <t>140209</t>
  </si>
  <si>
    <t>140210</t>
  </si>
  <si>
    <t>140211</t>
  </si>
  <si>
    <t>140213</t>
  </si>
  <si>
    <t>140217</t>
  </si>
  <si>
    <t>140223</t>
  </si>
  <si>
    <t>140224</t>
  </si>
  <si>
    <t>140228</t>
  </si>
  <si>
    <t>140231</t>
  </si>
  <si>
    <t>140233</t>
  </si>
  <si>
    <t>140234</t>
  </si>
  <si>
    <t>140239</t>
  </si>
  <si>
    <t>140242</t>
  </si>
  <si>
    <t>140251</t>
  </si>
  <si>
    <t>140252</t>
  </si>
  <si>
    <t>140258</t>
  </si>
  <si>
    <t>140275</t>
  </si>
  <si>
    <t>140276</t>
  </si>
  <si>
    <t>140280</t>
  </si>
  <si>
    <t>140281</t>
  </si>
  <si>
    <t>140286</t>
  </si>
  <si>
    <t>140288</t>
  </si>
  <si>
    <t>140289</t>
  </si>
  <si>
    <t>140290</t>
  </si>
  <si>
    <t>140291</t>
  </si>
  <si>
    <t>140292</t>
  </si>
  <si>
    <t>140294</t>
  </si>
  <si>
    <t>140300</t>
  </si>
  <si>
    <t>140304</t>
  </si>
  <si>
    <t>150001</t>
  </si>
  <si>
    <t>150002</t>
  </si>
  <si>
    <t>150004</t>
  </si>
  <si>
    <t>150005</t>
  </si>
  <si>
    <t>150006</t>
  </si>
  <si>
    <t>150007</t>
  </si>
  <si>
    <t>150008</t>
  </si>
  <si>
    <t>150009</t>
  </si>
  <si>
    <t>150010</t>
  </si>
  <si>
    <t>150011</t>
  </si>
  <si>
    <t>150012</t>
  </si>
  <si>
    <t>150015</t>
  </si>
  <si>
    <t>150017</t>
  </si>
  <si>
    <t>150018</t>
  </si>
  <si>
    <t>150021</t>
  </si>
  <si>
    <t>150022</t>
  </si>
  <si>
    <t>150023</t>
  </si>
  <si>
    <t>150024</t>
  </si>
  <si>
    <t>150026</t>
  </si>
  <si>
    <t>150030</t>
  </si>
  <si>
    <t>150034</t>
  </si>
  <si>
    <t>150035</t>
  </si>
  <si>
    <t>150037</t>
  </si>
  <si>
    <t>150042</t>
  </si>
  <si>
    <t>150044</t>
  </si>
  <si>
    <t>150045</t>
  </si>
  <si>
    <t>150046</t>
  </si>
  <si>
    <t>150047</t>
  </si>
  <si>
    <t>150048</t>
  </si>
  <si>
    <t>150051</t>
  </si>
  <si>
    <t>150056</t>
  </si>
  <si>
    <t>150057</t>
  </si>
  <si>
    <t>150058</t>
  </si>
  <si>
    <t>150059</t>
  </si>
  <si>
    <t>150061</t>
  </si>
  <si>
    <t>150065</t>
  </si>
  <si>
    <t>150069</t>
  </si>
  <si>
    <t>150072</t>
  </si>
  <si>
    <t>150074</t>
  </si>
  <si>
    <t>150075</t>
  </si>
  <si>
    <t>150076</t>
  </si>
  <si>
    <t>150082</t>
  </si>
  <si>
    <t>150084</t>
  </si>
  <si>
    <t>150086</t>
  </si>
  <si>
    <t>150088</t>
  </si>
  <si>
    <t>150089</t>
  </si>
  <si>
    <t>150090</t>
  </si>
  <si>
    <t>150091</t>
  </si>
  <si>
    <t>150097</t>
  </si>
  <si>
    <t>150100</t>
  </si>
  <si>
    <t>150101</t>
  </si>
  <si>
    <t>150102</t>
  </si>
  <si>
    <t>150104</t>
  </si>
  <si>
    <t>150109</t>
  </si>
  <si>
    <t>150112</t>
  </si>
  <si>
    <t>150113</t>
  </si>
  <si>
    <t>150115</t>
  </si>
  <si>
    <t>150125</t>
  </si>
  <si>
    <t>150126</t>
  </si>
  <si>
    <t>150128</t>
  </si>
  <si>
    <t>150133</t>
  </si>
  <si>
    <t>150146</t>
  </si>
  <si>
    <t>150150</t>
  </si>
  <si>
    <t>150153</t>
  </si>
  <si>
    <t>150157</t>
  </si>
  <si>
    <t>150158</t>
  </si>
  <si>
    <t>150160</t>
  </si>
  <si>
    <t>150161</t>
  </si>
  <si>
    <t>150162</t>
  </si>
  <si>
    <t>150165</t>
  </si>
  <si>
    <t>150166</t>
  </si>
  <si>
    <t>150167</t>
  </si>
  <si>
    <t>150168</t>
  </si>
  <si>
    <t>150169</t>
  </si>
  <si>
    <t>150172</t>
  </si>
  <si>
    <t>150173</t>
  </si>
  <si>
    <t>150177</t>
  </si>
  <si>
    <t>150181</t>
  </si>
  <si>
    <t>150183</t>
  </si>
  <si>
    <t>150191</t>
  </si>
  <si>
    <t>160001</t>
  </si>
  <si>
    <t>160005</t>
  </si>
  <si>
    <t>160008</t>
  </si>
  <si>
    <t>160013</t>
  </si>
  <si>
    <t>160016</t>
  </si>
  <si>
    <t>160028</t>
  </si>
  <si>
    <t>160029</t>
  </si>
  <si>
    <t>160030</t>
  </si>
  <si>
    <t>160032</t>
  </si>
  <si>
    <t>160033</t>
  </si>
  <si>
    <t>160040</t>
  </si>
  <si>
    <t>160045</t>
  </si>
  <si>
    <t>160047</t>
  </si>
  <si>
    <t>160057</t>
  </si>
  <si>
    <t>160058</t>
  </si>
  <si>
    <t>160064</t>
  </si>
  <si>
    <t>160067</t>
  </si>
  <si>
    <t>160069</t>
  </si>
  <si>
    <t>160079</t>
  </si>
  <si>
    <t>160080</t>
  </si>
  <si>
    <t>160082</t>
  </si>
  <si>
    <t>160083</t>
  </si>
  <si>
    <t>160089</t>
  </si>
  <si>
    <t>160101</t>
  </si>
  <si>
    <t>160104</t>
  </si>
  <si>
    <t>160110</t>
  </si>
  <si>
    <t>160112</t>
  </si>
  <si>
    <t>160117</t>
  </si>
  <si>
    <t>160124</t>
  </si>
  <si>
    <t>160146</t>
  </si>
  <si>
    <t>160147</t>
  </si>
  <si>
    <t>160153</t>
  </si>
  <si>
    <t>170006</t>
  </si>
  <si>
    <t>170009</t>
  </si>
  <si>
    <t>170012</t>
  </si>
  <si>
    <t>170013</t>
  </si>
  <si>
    <t>170014</t>
  </si>
  <si>
    <t>170016</t>
  </si>
  <si>
    <t>170017</t>
  </si>
  <si>
    <t>170020</t>
  </si>
  <si>
    <t>170023</t>
  </si>
  <si>
    <t>170027</t>
  </si>
  <si>
    <t>170040</t>
  </si>
  <si>
    <t>170049</t>
  </si>
  <si>
    <t>170068</t>
  </si>
  <si>
    <t>170074</t>
  </si>
  <si>
    <t>170075</t>
  </si>
  <si>
    <t>170086</t>
  </si>
  <si>
    <t>170103</t>
  </si>
  <si>
    <t>170104</t>
  </si>
  <si>
    <t>170105</t>
  </si>
  <si>
    <t>170109</t>
  </si>
  <si>
    <t>170110</t>
  </si>
  <si>
    <t>170120</t>
  </si>
  <si>
    <t>170122</t>
  </si>
  <si>
    <t>170123</t>
  </si>
  <si>
    <t>170137</t>
  </si>
  <si>
    <t>170142</t>
  </si>
  <si>
    <t>170145</t>
  </si>
  <si>
    <t>170146</t>
  </si>
  <si>
    <t>170150</t>
  </si>
  <si>
    <t>170166</t>
  </si>
  <si>
    <t>170175</t>
  </si>
  <si>
    <t>170176</t>
  </si>
  <si>
    <t>170182</t>
  </si>
  <si>
    <t>170183</t>
  </si>
  <si>
    <t>170185</t>
  </si>
  <si>
    <t>170186</t>
  </si>
  <si>
    <t>170187</t>
  </si>
  <si>
    <t>170188</t>
  </si>
  <si>
    <t>170190</t>
  </si>
  <si>
    <t>170191</t>
  </si>
  <si>
    <t>170196</t>
  </si>
  <si>
    <t>170197</t>
  </si>
  <si>
    <t>170198</t>
  </si>
  <si>
    <t>170199</t>
  </si>
  <si>
    <t>170200</t>
  </si>
  <si>
    <t>170203</t>
  </si>
  <si>
    <t>170204</t>
  </si>
  <si>
    <t>180001</t>
  </si>
  <si>
    <t>180002</t>
  </si>
  <si>
    <t>180004</t>
  </si>
  <si>
    <t>180005</t>
  </si>
  <si>
    <t>180009</t>
  </si>
  <si>
    <t>180010</t>
  </si>
  <si>
    <t>180011</t>
  </si>
  <si>
    <t>180012</t>
  </si>
  <si>
    <t>180013</t>
  </si>
  <si>
    <t>180016</t>
  </si>
  <si>
    <t>180017</t>
  </si>
  <si>
    <t>180018</t>
  </si>
  <si>
    <t>180019</t>
  </si>
  <si>
    <t>180020</t>
  </si>
  <si>
    <t>180024</t>
  </si>
  <si>
    <t>180025</t>
  </si>
  <si>
    <t>180027</t>
  </si>
  <si>
    <t>180029</t>
  </si>
  <si>
    <t>180035</t>
  </si>
  <si>
    <t>180038</t>
  </si>
  <si>
    <t>180040</t>
  </si>
  <si>
    <t>180043</t>
  </si>
  <si>
    <t>180044</t>
  </si>
  <si>
    <t>180045</t>
  </si>
  <si>
    <t>180046</t>
  </si>
  <si>
    <t>180048</t>
  </si>
  <si>
    <t>180049</t>
  </si>
  <si>
    <t>180050</t>
  </si>
  <si>
    <t>180051</t>
  </si>
  <si>
    <t>180056</t>
  </si>
  <si>
    <t>180064</t>
  </si>
  <si>
    <t>180066</t>
  </si>
  <si>
    <t>180067</t>
  </si>
  <si>
    <t>180069</t>
  </si>
  <si>
    <t>180070</t>
  </si>
  <si>
    <t>180078</t>
  </si>
  <si>
    <t>180079</t>
  </si>
  <si>
    <t>180080</t>
  </si>
  <si>
    <t>180087</t>
  </si>
  <si>
    <t>180088</t>
  </si>
  <si>
    <t>180092</t>
  </si>
  <si>
    <t>180093</t>
  </si>
  <si>
    <t>180095</t>
  </si>
  <si>
    <t>180101</t>
  </si>
  <si>
    <t>180102</t>
  </si>
  <si>
    <t>180103</t>
  </si>
  <si>
    <t>180104</t>
  </si>
  <si>
    <t>180105</t>
  </si>
  <si>
    <t>180106</t>
  </si>
  <si>
    <t>180115</t>
  </si>
  <si>
    <t>180116</t>
  </si>
  <si>
    <t>180124</t>
  </si>
  <si>
    <t>180127</t>
  </si>
  <si>
    <t>180128</t>
  </si>
  <si>
    <t>180130</t>
  </si>
  <si>
    <t>180132</t>
  </si>
  <si>
    <t>180138</t>
  </si>
  <si>
    <t>180139</t>
  </si>
  <si>
    <t>180141</t>
  </si>
  <si>
    <t>180143</t>
  </si>
  <si>
    <t>180149</t>
  </si>
  <si>
    <t>180154</t>
  </si>
  <si>
    <t>190002</t>
  </si>
  <si>
    <t>190004</t>
  </si>
  <si>
    <t>190005</t>
  </si>
  <si>
    <t>190006</t>
  </si>
  <si>
    <t>190007</t>
  </si>
  <si>
    <t>190008</t>
  </si>
  <si>
    <t>190011</t>
  </si>
  <si>
    <t>190013</t>
  </si>
  <si>
    <t>190014</t>
  </si>
  <si>
    <t>190015</t>
  </si>
  <si>
    <t>190017</t>
  </si>
  <si>
    <t>190019</t>
  </si>
  <si>
    <t>190020</t>
  </si>
  <si>
    <t>190025</t>
  </si>
  <si>
    <t>190026</t>
  </si>
  <si>
    <t>190027</t>
  </si>
  <si>
    <t>190034</t>
  </si>
  <si>
    <t>190036</t>
  </si>
  <si>
    <t>190039</t>
  </si>
  <si>
    <t>190040</t>
  </si>
  <si>
    <t>190041</t>
  </si>
  <si>
    <t>190044</t>
  </si>
  <si>
    <t>190045</t>
  </si>
  <si>
    <t>190046</t>
  </si>
  <si>
    <t>190050</t>
  </si>
  <si>
    <t>190053</t>
  </si>
  <si>
    <t>190054</t>
  </si>
  <si>
    <t>190060</t>
  </si>
  <si>
    <t>190064</t>
  </si>
  <si>
    <t>190065</t>
  </si>
  <si>
    <t>190079</t>
  </si>
  <si>
    <t>190081</t>
  </si>
  <si>
    <t>190086</t>
  </si>
  <si>
    <t>190088</t>
  </si>
  <si>
    <t>190090</t>
  </si>
  <si>
    <t>190098</t>
  </si>
  <si>
    <t>190099</t>
  </si>
  <si>
    <t>190102</t>
  </si>
  <si>
    <t>190106</t>
  </si>
  <si>
    <t>190111</t>
  </si>
  <si>
    <t>190114</t>
  </si>
  <si>
    <t>190116</t>
  </si>
  <si>
    <t>190118</t>
  </si>
  <si>
    <t>190125</t>
  </si>
  <si>
    <t>190133</t>
  </si>
  <si>
    <t>190140</t>
  </si>
  <si>
    <t>190144</t>
  </si>
  <si>
    <t>190145</t>
  </si>
  <si>
    <t>190146</t>
  </si>
  <si>
    <t>190151</t>
  </si>
  <si>
    <t>190160</t>
  </si>
  <si>
    <t>190164</t>
  </si>
  <si>
    <t>190167</t>
  </si>
  <si>
    <t>190176</t>
  </si>
  <si>
    <t>190183</t>
  </si>
  <si>
    <t>190184</t>
  </si>
  <si>
    <t>190190</t>
  </si>
  <si>
    <t>190201</t>
  </si>
  <si>
    <t>190202</t>
  </si>
  <si>
    <t>190204</t>
  </si>
  <si>
    <t>190208</t>
  </si>
  <si>
    <t>190218</t>
  </si>
  <si>
    <t>190241</t>
  </si>
  <si>
    <t>190245</t>
  </si>
  <si>
    <t>190251</t>
  </si>
  <si>
    <t>190255</t>
  </si>
  <si>
    <t>190256</t>
  </si>
  <si>
    <t>190259</t>
  </si>
  <si>
    <t>190267</t>
  </si>
  <si>
    <t>190270</t>
  </si>
  <si>
    <t>190274</t>
  </si>
  <si>
    <t>190278</t>
  </si>
  <si>
    <t>190298</t>
  </si>
  <si>
    <t>190302</t>
  </si>
  <si>
    <t>190303</t>
  </si>
  <si>
    <t>190308</t>
  </si>
  <si>
    <t>190312</t>
  </si>
  <si>
    <t>190313</t>
  </si>
  <si>
    <t>190315</t>
  </si>
  <si>
    <t>190316</t>
  </si>
  <si>
    <t>190317</t>
  </si>
  <si>
    <t>190318</t>
  </si>
  <si>
    <t>200001</t>
  </si>
  <si>
    <t>200008</t>
  </si>
  <si>
    <t>200009</t>
  </si>
  <si>
    <t>200018</t>
  </si>
  <si>
    <t>200019</t>
  </si>
  <si>
    <t>200020</t>
  </si>
  <si>
    <t>200021</t>
  </si>
  <si>
    <t>200024</t>
  </si>
  <si>
    <t>200031</t>
  </si>
  <si>
    <t>200033</t>
  </si>
  <si>
    <t>200034</t>
  </si>
  <si>
    <t>200037</t>
  </si>
  <si>
    <t>200039</t>
  </si>
  <si>
    <t>200041</t>
  </si>
  <si>
    <t>200050</t>
  </si>
  <si>
    <t>200052</t>
  </si>
  <si>
    <t>200063</t>
  </si>
  <si>
    <t>220001</t>
  </si>
  <si>
    <t>220002</t>
  </si>
  <si>
    <t>220008</t>
  </si>
  <si>
    <t>220010</t>
  </si>
  <si>
    <t>220011</t>
  </si>
  <si>
    <t>220012</t>
  </si>
  <si>
    <t>220015</t>
  </si>
  <si>
    <t>220016</t>
  </si>
  <si>
    <t>220017</t>
  </si>
  <si>
    <t>220019</t>
  </si>
  <si>
    <t>220020</t>
  </si>
  <si>
    <t>220024</t>
  </si>
  <si>
    <t>220029</t>
  </si>
  <si>
    <t>220030</t>
  </si>
  <si>
    <t>220031</t>
  </si>
  <si>
    <t>220033</t>
  </si>
  <si>
    <t>220035</t>
  </si>
  <si>
    <t>220036</t>
  </si>
  <si>
    <t>220046</t>
  </si>
  <si>
    <t>220049</t>
  </si>
  <si>
    <t>220052</t>
  </si>
  <si>
    <t>220060</t>
  </si>
  <si>
    <t>220063</t>
  </si>
  <si>
    <t>220065</t>
  </si>
  <si>
    <t>220066</t>
  </si>
  <si>
    <t>220070</t>
  </si>
  <si>
    <t>220071</t>
  </si>
  <si>
    <t>220073</t>
  </si>
  <si>
    <t>220074</t>
  </si>
  <si>
    <t>220075</t>
  </si>
  <si>
    <t>220077</t>
  </si>
  <si>
    <t>220080</t>
  </si>
  <si>
    <t>220083</t>
  </si>
  <si>
    <t>220084</t>
  </si>
  <si>
    <t>220086</t>
  </si>
  <si>
    <t>220088</t>
  </si>
  <si>
    <t>220090</t>
  </si>
  <si>
    <t>220095</t>
  </si>
  <si>
    <t>220098</t>
  </si>
  <si>
    <t>220100</t>
  </si>
  <si>
    <t>220101</t>
  </si>
  <si>
    <t>220105</t>
  </si>
  <si>
    <t>220108</t>
  </si>
  <si>
    <t>220110</t>
  </si>
  <si>
    <t>220111</t>
  </si>
  <si>
    <t>220116</t>
  </si>
  <si>
    <t>220119</t>
  </si>
  <si>
    <t>220126</t>
  </si>
  <si>
    <t>220135</t>
  </si>
  <si>
    <t>220163</t>
  </si>
  <si>
    <t>220171</t>
  </si>
  <si>
    <t>220175</t>
  </si>
  <si>
    <t>220176</t>
  </si>
  <si>
    <t>220177</t>
  </si>
  <si>
    <t>230002</t>
  </si>
  <si>
    <t>230003</t>
  </si>
  <si>
    <t>230005</t>
  </si>
  <si>
    <t>230013</t>
  </si>
  <si>
    <t>230015</t>
  </si>
  <si>
    <t>230017</t>
  </si>
  <si>
    <t>230019</t>
  </si>
  <si>
    <t>230020</t>
  </si>
  <si>
    <t>230021</t>
  </si>
  <si>
    <t>230022</t>
  </si>
  <si>
    <t>230024</t>
  </si>
  <si>
    <t>230029</t>
  </si>
  <si>
    <t>230030</t>
  </si>
  <si>
    <t>230031</t>
  </si>
  <si>
    <t>230035</t>
  </si>
  <si>
    <t>230036</t>
  </si>
  <si>
    <t>230037</t>
  </si>
  <si>
    <t>230038</t>
  </si>
  <si>
    <t>230041</t>
  </si>
  <si>
    <t>230046</t>
  </si>
  <si>
    <t>230047</t>
  </si>
  <si>
    <t>230053</t>
  </si>
  <si>
    <t>230054</t>
  </si>
  <si>
    <t>230055</t>
  </si>
  <si>
    <t>230058</t>
  </si>
  <si>
    <t>230059</t>
  </si>
  <si>
    <t>230066</t>
  </si>
  <si>
    <t>230069</t>
  </si>
  <si>
    <t>230070</t>
  </si>
  <si>
    <t>230072</t>
  </si>
  <si>
    <t>230075</t>
  </si>
  <si>
    <t>230077</t>
  </si>
  <si>
    <t>230078</t>
  </si>
  <si>
    <t>230080</t>
  </si>
  <si>
    <t>230081</t>
  </si>
  <si>
    <t>230085</t>
  </si>
  <si>
    <t>230089</t>
  </si>
  <si>
    <t>230092</t>
  </si>
  <si>
    <t>230093</t>
  </si>
  <si>
    <t>230095</t>
  </si>
  <si>
    <t>230096</t>
  </si>
  <si>
    <t>230097</t>
  </si>
  <si>
    <t>230099</t>
  </si>
  <si>
    <t>230100</t>
  </si>
  <si>
    <t>230104</t>
  </si>
  <si>
    <t>230105</t>
  </si>
  <si>
    <t>230108</t>
  </si>
  <si>
    <t>230110</t>
  </si>
  <si>
    <t>230117</t>
  </si>
  <si>
    <t>230121</t>
  </si>
  <si>
    <t>230130</t>
  </si>
  <si>
    <t>230132</t>
  </si>
  <si>
    <t>230133</t>
  </si>
  <si>
    <t>230141</t>
  </si>
  <si>
    <t>230142</t>
  </si>
  <si>
    <t>230146</t>
  </si>
  <si>
    <t>230151</t>
  </si>
  <si>
    <t>230156</t>
  </si>
  <si>
    <t>230165</t>
  </si>
  <si>
    <t>230167</t>
  </si>
  <si>
    <t>230174</t>
  </si>
  <si>
    <t>230176</t>
  </si>
  <si>
    <t>230180</t>
  </si>
  <si>
    <t>230193</t>
  </si>
  <si>
    <t>230195</t>
  </si>
  <si>
    <t>230197</t>
  </si>
  <si>
    <t>230207</t>
  </si>
  <si>
    <t>230208</t>
  </si>
  <si>
    <t>230216</t>
  </si>
  <si>
    <t>230217</t>
  </si>
  <si>
    <t>230222</t>
  </si>
  <si>
    <t>230227</t>
  </si>
  <si>
    <t>230230</t>
  </si>
  <si>
    <t>230236</t>
  </si>
  <si>
    <t>230239</t>
  </si>
  <si>
    <t>230241</t>
  </si>
  <si>
    <t>230244</t>
  </si>
  <si>
    <t>230254</t>
  </si>
  <si>
    <t>230259</t>
  </si>
  <si>
    <t>230264</t>
  </si>
  <si>
    <t>230269</t>
  </si>
  <si>
    <t>230270</t>
  </si>
  <si>
    <t>230273</t>
  </si>
  <si>
    <t>230277</t>
  </si>
  <si>
    <t>230297</t>
  </si>
  <si>
    <t>230301</t>
  </si>
  <si>
    <t>230302</t>
  </si>
  <si>
    <t>230303</t>
  </si>
  <si>
    <t>240001</t>
  </si>
  <si>
    <t>240002</t>
  </si>
  <si>
    <t>240004</t>
  </si>
  <si>
    <t>240006</t>
  </si>
  <si>
    <t>240010</t>
  </si>
  <si>
    <t>240014</t>
  </si>
  <si>
    <t>240018</t>
  </si>
  <si>
    <t>240019</t>
  </si>
  <si>
    <t>240020</t>
  </si>
  <si>
    <t>240022</t>
  </si>
  <si>
    <t>240030</t>
  </si>
  <si>
    <t>240036</t>
  </si>
  <si>
    <t>240038</t>
  </si>
  <si>
    <t>240040</t>
  </si>
  <si>
    <t>240043</t>
  </si>
  <si>
    <t>240044</t>
  </si>
  <si>
    <t>240047</t>
  </si>
  <si>
    <t>240050</t>
  </si>
  <si>
    <t>240052</t>
  </si>
  <si>
    <t>240053</t>
  </si>
  <si>
    <t>240056</t>
  </si>
  <si>
    <t>240057</t>
  </si>
  <si>
    <t>240059</t>
  </si>
  <si>
    <t>240063</t>
  </si>
  <si>
    <t>240064</t>
  </si>
  <si>
    <t>240066</t>
  </si>
  <si>
    <t>240069</t>
  </si>
  <si>
    <t>240071</t>
  </si>
  <si>
    <t>240075</t>
  </si>
  <si>
    <t>240076</t>
  </si>
  <si>
    <t>240078</t>
  </si>
  <si>
    <t>240080</t>
  </si>
  <si>
    <t>240084</t>
  </si>
  <si>
    <t>240088</t>
  </si>
  <si>
    <t>240093</t>
  </si>
  <si>
    <t>240100</t>
  </si>
  <si>
    <t>240101</t>
  </si>
  <si>
    <t>240104</t>
  </si>
  <si>
    <t>240106</t>
  </si>
  <si>
    <t>240115</t>
  </si>
  <si>
    <t>240141</t>
  </si>
  <si>
    <t>240166</t>
  </si>
  <si>
    <t>240187</t>
  </si>
  <si>
    <t>240206</t>
  </si>
  <si>
    <t>240207</t>
  </si>
  <si>
    <t>240210</t>
  </si>
  <si>
    <t>240213</t>
  </si>
  <si>
    <t>240214</t>
  </si>
  <si>
    <t>250001</t>
  </si>
  <si>
    <t>250002</t>
  </si>
  <si>
    <t>250004</t>
  </si>
  <si>
    <t>250006</t>
  </si>
  <si>
    <t>250007</t>
  </si>
  <si>
    <t>250009</t>
  </si>
  <si>
    <t>250012</t>
  </si>
  <si>
    <t>250017</t>
  </si>
  <si>
    <t>250018</t>
  </si>
  <si>
    <t>250019</t>
  </si>
  <si>
    <t>250020</t>
  </si>
  <si>
    <t>250025</t>
  </si>
  <si>
    <t>250027</t>
  </si>
  <si>
    <t>250031</t>
  </si>
  <si>
    <t>250034</t>
  </si>
  <si>
    <t>250036</t>
  </si>
  <si>
    <t>250038</t>
  </si>
  <si>
    <t>250040</t>
  </si>
  <si>
    <t>250042</t>
  </si>
  <si>
    <t>250043</t>
  </si>
  <si>
    <t>250044</t>
  </si>
  <si>
    <t>250048</t>
  </si>
  <si>
    <t>250049</t>
  </si>
  <si>
    <t>250050</t>
  </si>
  <si>
    <t>250057</t>
  </si>
  <si>
    <t>250058</t>
  </si>
  <si>
    <t>250060</t>
  </si>
  <si>
    <t>250061</t>
  </si>
  <si>
    <t>250067</t>
  </si>
  <si>
    <t>250069</t>
  </si>
  <si>
    <t>250072</t>
  </si>
  <si>
    <t>250077</t>
  </si>
  <si>
    <t>250078</t>
  </si>
  <si>
    <t>250082</t>
  </si>
  <si>
    <t>250084</t>
  </si>
  <si>
    <t>250085</t>
  </si>
  <si>
    <t>250093</t>
  </si>
  <si>
    <t>250094</t>
  </si>
  <si>
    <t>250095</t>
  </si>
  <si>
    <t>250096</t>
  </si>
  <si>
    <t>250097</t>
  </si>
  <si>
    <t>250099</t>
  </si>
  <si>
    <t>250100</t>
  </si>
  <si>
    <t>250102</t>
  </si>
  <si>
    <t>250104</t>
  </si>
  <si>
    <t>250117</t>
  </si>
  <si>
    <t>250123</t>
  </si>
  <si>
    <t>250124</t>
  </si>
  <si>
    <t>250127</t>
  </si>
  <si>
    <t>250128</t>
  </si>
  <si>
    <t>250134</t>
  </si>
  <si>
    <t>250138</t>
  </si>
  <si>
    <t>250141</t>
  </si>
  <si>
    <t>250162</t>
  </si>
  <si>
    <t>250167</t>
  </si>
  <si>
    <t>250168</t>
  </si>
  <si>
    <t>260001</t>
  </si>
  <si>
    <t>260005</t>
  </si>
  <si>
    <t>260006</t>
  </si>
  <si>
    <t>260009</t>
  </si>
  <si>
    <t>260011</t>
  </si>
  <si>
    <t>260017</t>
  </si>
  <si>
    <t>260020</t>
  </si>
  <si>
    <t>260022</t>
  </si>
  <si>
    <t>260023</t>
  </si>
  <si>
    <t>260024</t>
  </si>
  <si>
    <t>260025</t>
  </si>
  <si>
    <t>260027</t>
  </si>
  <si>
    <t>260032</t>
  </si>
  <si>
    <t>260034</t>
  </si>
  <si>
    <t>260040</t>
  </si>
  <si>
    <t>260047</t>
  </si>
  <si>
    <t>260048</t>
  </si>
  <si>
    <t>260050</t>
  </si>
  <si>
    <t>260052</t>
  </si>
  <si>
    <t>260057</t>
  </si>
  <si>
    <t>260059</t>
  </si>
  <si>
    <t>260061</t>
  </si>
  <si>
    <t>260062</t>
  </si>
  <si>
    <t>260064</t>
  </si>
  <si>
    <t>260065</t>
  </si>
  <si>
    <t>260068</t>
  </si>
  <si>
    <t>260070</t>
  </si>
  <si>
    <t>260074</t>
  </si>
  <si>
    <t>260077</t>
  </si>
  <si>
    <t>260078</t>
  </si>
  <si>
    <t>260081</t>
  </si>
  <si>
    <t>260085</t>
  </si>
  <si>
    <t>260091</t>
  </si>
  <si>
    <t>260094</t>
  </si>
  <si>
    <t>260095</t>
  </si>
  <si>
    <t>260096</t>
  </si>
  <si>
    <t>260097</t>
  </si>
  <si>
    <t>260102</t>
  </si>
  <si>
    <t>260104</t>
  </si>
  <si>
    <t>260105</t>
  </si>
  <si>
    <t>260108</t>
  </si>
  <si>
    <t>260110</t>
  </si>
  <si>
    <t>260113</t>
  </si>
  <si>
    <t>260119</t>
  </si>
  <si>
    <t>260137</t>
  </si>
  <si>
    <t>260138</t>
  </si>
  <si>
    <t>260141</t>
  </si>
  <si>
    <t>260142</t>
  </si>
  <si>
    <t>260160</t>
  </si>
  <si>
    <t>260162</t>
  </si>
  <si>
    <t>260163</t>
  </si>
  <si>
    <t>260175</t>
  </si>
  <si>
    <t>260176</t>
  </si>
  <si>
    <t>260177</t>
  </si>
  <si>
    <t>260179</t>
  </si>
  <si>
    <t>260180</t>
  </si>
  <si>
    <t>260183</t>
  </si>
  <si>
    <t>260186</t>
  </si>
  <si>
    <t>260190</t>
  </si>
  <si>
    <t>260191</t>
  </si>
  <si>
    <t>260193</t>
  </si>
  <si>
    <t>260195</t>
  </si>
  <si>
    <t>260200</t>
  </si>
  <si>
    <t>260209</t>
  </si>
  <si>
    <t>260210</t>
  </si>
  <si>
    <t>260214</t>
  </si>
  <si>
    <t>260216</t>
  </si>
  <si>
    <t>260219</t>
  </si>
  <si>
    <t>270003</t>
  </si>
  <si>
    <t>270004</t>
  </si>
  <si>
    <t>270012</t>
  </si>
  <si>
    <t>270014</t>
  </si>
  <si>
    <t>270017</t>
  </si>
  <si>
    <t>270023</t>
  </si>
  <si>
    <t>270032</t>
  </si>
  <si>
    <t>270049</t>
  </si>
  <si>
    <t>270051</t>
  </si>
  <si>
    <t>270057</t>
  </si>
  <si>
    <t>270074</t>
  </si>
  <si>
    <t>270086</t>
  </si>
  <si>
    <t>280003</t>
  </si>
  <si>
    <t>280009</t>
  </si>
  <si>
    <t>280013</t>
  </si>
  <si>
    <t>280020</t>
  </si>
  <si>
    <t>280023</t>
  </si>
  <si>
    <t>280032</t>
  </si>
  <si>
    <t>280040</t>
  </si>
  <si>
    <t>280060</t>
  </si>
  <si>
    <t>280061</t>
  </si>
  <si>
    <t>280065</t>
  </si>
  <si>
    <t>280077</t>
  </si>
  <si>
    <t>280081</t>
  </si>
  <si>
    <t>280105</t>
  </si>
  <si>
    <t>280111</t>
  </si>
  <si>
    <t>280125</t>
  </si>
  <si>
    <t>280127</t>
  </si>
  <si>
    <t>280128</t>
  </si>
  <si>
    <t>280129</t>
  </si>
  <si>
    <t>280130</t>
  </si>
  <si>
    <t>280131</t>
  </si>
  <si>
    <t>280132</t>
  </si>
  <si>
    <t>280134</t>
  </si>
  <si>
    <t>280139</t>
  </si>
  <si>
    <t>290001</t>
  </si>
  <si>
    <t>290003</t>
  </si>
  <si>
    <t>290005</t>
  </si>
  <si>
    <t>290007</t>
  </si>
  <si>
    <t>290008</t>
  </si>
  <si>
    <t>290009</t>
  </si>
  <si>
    <t>290012</t>
  </si>
  <si>
    <t>290019</t>
  </si>
  <si>
    <t>290021</t>
  </si>
  <si>
    <t>290022</t>
  </si>
  <si>
    <t>290032</t>
  </si>
  <si>
    <t>290039</t>
  </si>
  <si>
    <t>290041</t>
  </si>
  <si>
    <t>290045</t>
  </si>
  <si>
    <t>290046</t>
  </si>
  <si>
    <t>290047</t>
  </si>
  <si>
    <t>290049</t>
  </si>
  <si>
    <t>290053</t>
  </si>
  <si>
    <t>290054</t>
  </si>
  <si>
    <t>290057</t>
  </si>
  <si>
    <t>290058</t>
  </si>
  <si>
    <t>300001</t>
  </si>
  <si>
    <t>300003</t>
  </si>
  <si>
    <t>300005</t>
  </si>
  <si>
    <t>300011</t>
  </si>
  <si>
    <t>300012</t>
  </si>
  <si>
    <t>300014</t>
  </si>
  <si>
    <t>300017</t>
  </si>
  <si>
    <t>300018</t>
  </si>
  <si>
    <t>300019</t>
  </si>
  <si>
    <t>300020</t>
  </si>
  <si>
    <t>300023</t>
  </si>
  <si>
    <t>300029</t>
  </si>
  <si>
    <t>300034</t>
  </si>
  <si>
    <t>310001</t>
  </si>
  <si>
    <t>310002</t>
  </si>
  <si>
    <t>310003</t>
  </si>
  <si>
    <t>310005</t>
  </si>
  <si>
    <t>310006</t>
  </si>
  <si>
    <t>310008</t>
  </si>
  <si>
    <t>310009</t>
  </si>
  <si>
    <t>310010</t>
  </si>
  <si>
    <t>310011</t>
  </si>
  <si>
    <t>310012</t>
  </si>
  <si>
    <t>310014</t>
  </si>
  <si>
    <t>310015</t>
  </si>
  <si>
    <t>310016</t>
  </si>
  <si>
    <t>310017</t>
  </si>
  <si>
    <t>310019</t>
  </si>
  <si>
    <t>310021</t>
  </si>
  <si>
    <t>310022</t>
  </si>
  <si>
    <t>310024</t>
  </si>
  <si>
    <t>310025</t>
  </si>
  <si>
    <t>310027</t>
  </si>
  <si>
    <t>310028</t>
  </si>
  <si>
    <t>310029</t>
  </si>
  <si>
    <t>310031</t>
  </si>
  <si>
    <t>310032</t>
  </si>
  <si>
    <t>310034</t>
  </si>
  <si>
    <t>310038</t>
  </si>
  <si>
    <t>310039</t>
  </si>
  <si>
    <t>310040</t>
  </si>
  <si>
    <t>310041</t>
  </si>
  <si>
    <t>310044</t>
  </si>
  <si>
    <t>310045</t>
  </si>
  <si>
    <t>310047</t>
  </si>
  <si>
    <t>310048</t>
  </si>
  <si>
    <t>310050</t>
  </si>
  <si>
    <t>310051</t>
  </si>
  <si>
    <t>310052</t>
  </si>
  <si>
    <t>310054</t>
  </si>
  <si>
    <t>310057</t>
  </si>
  <si>
    <t>310058</t>
  </si>
  <si>
    <t>310060</t>
  </si>
  <si>
    <t>310061</t>
  </si>
  <si>
    <t>310064</t>
  </si>
  <si>
    <t>310069</t>
  </si>
  <si>
    <t>310070</t>
  </si>
  <si>
    <t>310073</t>
  </si>
  <si>
    <t>310074</t>
  </si>
  <si>
    <t>310075</t>
  </si>
  <si>
    <t>310076</t>
  </si>
  <si>
    <t>310083</t>
  </si>
  <si>
    <t>310084</t>
  </si>
  <si>
    <t>310086</t>
  </si>
  <si>
    <t>310091</t>
  </si>
  <si>
    <t>310092</t>
  </si>
  <si>
    <t>310096</t>
  </si>
  <si>
    <t>310108</t>
  </si>
  <si>
    <t>310110</t>
  </si>
  <si>
    <t>310111</t>
  </si>
  <si>
    <t>310112</t>
  </si>
  <si>
    <t>310113</t>
  </si>
  <si>
    <t>310115</t>
  </si>
  <si>
    <t>310118</t>
  </si>
  <si>
    <t>310119</t>
  </si>
  <si>
    <t>310130</t>
  </si>
  <si>
    <t>320001</t>
  </si>
  <si>
    <t>320002</t>
  </si>
  <si>
    <t>320003</t>
  </si>
  <si>
    <t>320004</t>
  </si>
  <si>
    <t>320005</t>
  </si>
  <si>
    <t>320006</t>
  </si>
  <si>
    <t>320009</t>
  </si>
  <si>
    <t>320011</t>
  </si>
  <si>
    <t>320017</t>
  </si>
  <si>
    <t>320018</t>
  </si>
  <si>
    <t>320021</t>
  </si>
  <si>
    <t>320022</t>
  </si>
  <si>
    <t>320030</t>
  </si>
  <si>
    <t>320033</t>
  </si>
  <si>
    <t>320038</t>
  </si>
  <si>
    <t>320059</t>
  </si>
  <si>
    <t>320060</t>
  </si>
  <si>
    <t>320061</t>
  </si>
  <si>
    <t>320062</t>
  </si>
  <si>
    <t>320063</t>
  </si>
  <si>
    <t>320065</t>
  </si>
  <si>
    <t>320067</t>
  </si>
  <si>
    <t>320074</t>
  </si>
  <si>
    <t>320084</t>
  </si>
  <si>
    <t>320085</t>
  </si>
  <si>
    <t>320086</t>
  </si>
  <si>
    <t>320089</t>
  </si>
  <si>
    <t>320090</t>
  </si>
  <si>
    <t>320091</t>
  </si>
  <si>
    <t>330005</t>
  </si>
  <si>
    <t>330006</t>
  </si>
  <si>
    <t>330008</t>
  </si>
  <si>
    <t>330009</t>
  </si>
  <si>
    <t>330011</t>
  </si>
  <si>
    <t>330013</t>
  </si>
  <si>
    <t>330014</t>
  </si>
  <si>
    <t>330019</t>
  </si>
  <si>
    <t>330023</t>
  </si>
  <si>
    <t>330024</t>
  </si>
  <si>
    <t>330027</t>
  </si>
  <si>
    <t>330028</t>
  </si>
  <si>
    <t>330030</t>
  </si>
  <si>
    <t>330033</t>
  </si>
  <si>
    <t>330043</t>
  </si>
  <si>
    <t>330044</t>
  </si>
  <si>
    <t>330045</t>
  </si>
  <si>
    <t>330046</t>
  </si>
  <si>
    <t>330047</t>
  </si>
  <si>
    <t>330049</t>
  </si>
  <si>
    <t>330055</t>
  </si>
  <si>
    <t>330056</t>
  </si>
  <si>
    <t>330057</t>
  </si>
  <si>
    <t>330058</t>
  </si>
  <si>
    <t>330059</t>
  </si>
  <si>
    <t>330065</t>
  </si>
  <si>
    <t>330073</t>
  </si>
  <si>
    <t>330074</t>
  </si>
  <si>
    <t>330078</t>
  </si>
  <si>
    <t>330079</t>
  </si>
  <si>
    <t>330080</t>
  </si>
  <si>
    <t>330084</t>
  </si>
  <si>
    <t>330085</t>
  </si>
  <si>
    <t>330086</t>
  </si>
  <si>
    <t>330090</t>
  </si>
  <si>
    <t>330094</t>
  </si>
  <si>
    <t>330096</t>
  </si>
  <si>
    <t>330101</t>
  </si>
  <si>
    <t>330102</t>
  </si>
  <si>
    <t>330103</t>
  </si>
  <si>
    <t>330104</t>
  </si>
  <si>
    <t>330106</t>
  </si>
  <si>
    <t>330107</t>
  </si>
  <si>
    <t>330111</t>
  </si>
  <si>
    <t>330115</t>
  </si>
  <si>
    <t>330119</t>
  </si>
  <si>
    <t>330125</t>
  </si>
  <si>
    <t>330126</t>
  </si>
  <si>
    <t>330127</t>
  </si>
  <si>
    <t>330128</t>
  </si>
  <si>
    <t>330135</t>
  </si>
  <si>
    <t>330136</t>
  </si>
  <si>
    <t>330140</t>
  </si>
  <si>
    <t>330141</t>
  </si>
  <si>
    <t>330144</t>
  </si>
  <si>
    <t>330151</t>
  </si>
  <si>
    <t>330153</t>
  </si>
  <si>
    <t>330157</t>
  </si>
  <si>
    <t>330158</t>
  </si>
  <si>
    <t>330160</t>
  </si>
  <si>
    <t>330162</t>
  </si>
  <si>
    <t>330163</t>
  </si>
  <si>
    <t>330164</t>
  </si>
  <si>
    <t>330166</t>
  </si>
  <si>
    <t>330169</t>
  </si>
  <si>
    <t>330175</t>
  </si>
  <si>
    <t>330180</t>
  </si>
  <si>
    <t>330181</t>
  </si>
  <si>
    <t>330182</t>
  </si>
  <si>
    <t>330184</t>
  </si>
  <si>
    <t>330185</t>
  </si>
  <si>
    <t>330188</t>
  </si>
  <si>
    <t>330191</t>
  </si>
  <si>
    <t>330193</t>
  </si>
  <si>
    <t>330194</t>
  </si>
  <si>
    <t>330195</t>
  </si>
  <si>
    <t>330196</t>
  </si>
  <si>
    <t>330197</t>
  </si>
  <si>
    <t>330198</t>
  </si>
  <si>
    <t>330199</t>
  </si>
  <si>
    <t>330202</t>
  </si>
  <si>
    <t>330203</t>
  </si>
  <si>
    <t>330204</t>
  </si>
  <si>
    <t>330205</t>
  </si>
  <si>
    <t>330208</t>
  </si>
  <si>
    <t>330211</t>
  </si>
  <si>
    <t>330214</t>
  </si>
  <si>
    <t>330215</t>
  </si>
  <si>
    <t>330218</t>
  </si>
  <si>
    <t>330219</t>
  </si>
  <si>
    <t>330221</t>
  </si>
  <si>
    <t>330222</t>
  </si>
  <si>
    <t>330223</t>
  </si>
  <si>
    <t>330224</t>
  </si>
  <si>
    <t>330226</t>
  </si>
  <si>
    <t>330229</t>
  </si>
  <si>
    <t>330231</t>
  </si>
  <si>
    <t>330233</t>
  </si>
  <si>
    <t>330234</t>
  </si>
  <si>
    <t>330235</t>
  </si>
  <si>
    <t>330236</t>
  </si>
  <si>
    <t>330238</t>
  </si>
  <si>
    <t>330239</t>
  </si>
  <si>
    <t>330240</t>
  </si>
  <si>
    <t>330241</t>
  </si>
  <si>
    <t>330245</t>
  </si>
  <si>
    <t>330246</t>
  </si>
  <si>
    <t>330250</t>
  </si>
  <si>
    <t>330259</t>
  </si>
  <si>
    <t>330261</t>
  </si>
  <si>
    <t>330264</t>
  </si>
  <si>
    <t>330265</t>
  </si>
  <si>
    <t>330267</t>
  </si>
  <si>
    <t>330270</t>
  </si>
  <si>
    <t>330273</t>
  </si>
  <si>
    <t>330276</t>
  </si>
  <si>
    <t>330277</t>
  </si>
  <si>
    <t>330279</t>
  </si>
  <si>
    <t>330285</t>
  </si>
  <si>
    <t>330286</t>
  </si>
  <si>
    <t>330304</t>
  </si>
  <si>
    <t>330307</t>
  </si>
  <si>
    <t>330331</t>
  </si>
  <si>
    <t>330332</t>
  </si>
  <si>
    <t>330350</t>
  </si>
  <si>
    <t>330386</t>
  </si>
  <si>
    <t>330393</t>
  </si>
  <si>
    <t>330394</t>
  </si>
  <si>
    <t>330395</t>
  </si>
  <si>
    <t>330396</t>
  </si>
  <si>
    <t>330399</t>
  </si>
  <si>
    <t>330401</t>
  </si>
  <si>
    <t>340001</t>
  </si>
  <si>
    <t>340002</t>
  </si>
  <si>
    <t>340003</t>
  </si>
  <si>
    <t>340004</t>
  </si>
  <si>
    <t>340008</t>
  </si>
  <si>
    <t>340010</t>
  </si>
  <si>
    <t>340013</t>
  </si>
  <si>
    <t>340014</t>
  </si>
  <si>
    <t>340015</t>
  </si>
  <si>
    <t>340016</t>
  </si>
  <si>
    <t>340017</t>
  </si>
  <si>
    <t>340020</t>
  </si>
  <si>
    <t>340021</t>
  </si>
  <si>
    <t>340023</t>
  </si>
  <si>
    <t>340024</t>
  </si>
  <si>
    <t>340027</t>
  </si>
  <si>
    <t>340028</t>
  </si>
  <si>
    <t>340030</t>
  </si>
  <si>
    <t>340032</t>
  </si>
  <si>
    <t>340039</t>
  </si>
  <si>
    <t>340040</t>
  </si>
  <si>
    <t>340041</t>
  </si>
  <si>
    <t>340042</t>
  </si>
  <si>
    <t>340047</t>
  </si>
  <si>
    <t>340049</t>
  </si>
  <si>
    <t>340050</t>
  </si>
  <si>
    <t>340051</t>
  </si>
  <si>
    <t>340053</t>
  </si>
  <si>
    <t>340060</t>
  </si>
  <si>
    <t>340061</t>
  </si>
  <si>
    <t>340064</t>
  </si>
  <si>
    <t>340068</t>
  </si>
  <si>
    <t>340069</t>
  </si>
  <si>
    <t>340070</t>
  </si>
  <si>
    <t>340071</t>
  </si>
  <si>
    <t>340073</t>
  </si>
  <si>
    <t>340075</t>
  </si>
  <si>
    <t>340084</t>
  </si>
  <si>
    <t>340085</t>
  </si>
  <si>
    <t>340087</t>
  </si>
  <si>
    <t>340090</t>
  </si>
  <si>
    <t>340091</t>
  </si>
  <si>
    <t>340096</t>
  </si>
  <si>
    <t>340097</t>
  </si>
  <si>
    <t>340098</t>
  </si>
  <si>
    <t>340099</t>
  </si>
  <si>
    <t>340107</t>
  </si>
  <si>
    <t>340109</t>
  </si>
  <si>
    <t>340113</t>
  </si>
  <si>
    <t>340114</t>
  </si>
  <si>
    <t>340115</t>
  </si>
  <si>
    <t>340116</t>
  </si>
  <si>
    <t>340119</t>
  </si>
  <si>
    <t>340120</t>
  </si>
  <si>
    <t>340123</t>
  </si>
  <si>
    <t>340126</t>
  </si>
  <si>
    <t>340127</t>
  </si>
  <si>
    <t>340129</t>
  </si>
  <si>
    <t>340130</t>
  </si>
  <si>
    <t>340131</t>
  </si>
  <si>
    <t>340132</t>
  </si>
  <si>
    <t>340133</t>
  </si>
  <si>
    <t>340141</t>
  </si>
  <si>
    <t>340142</t>
  </si>
  <si>
    <t>340143</t>
  </si>
  <si>
    <t>340144</t>
  </si>
  <si>
    <t>340145</t>
  </si>
  <si>
    <t>340147</t>
  </si>
  <si>
    <t>340151</t>
  </si>
  <si>
    <t>340155</t>
  </si>
  <si>
    <t>340156</t>
  </si>
  <si>
    <t>340158</t>
  </si>
  <si>
    <t>340159</t>
  </si>
  <si>
    <t>340166</t>
  </si>
  <si>
    <t>340171</t>
  </si>
  <si>
    <t>340173</t>
  </si>
  <si>
    <t>340183</t>
  </si>
  <si>
    <t>340184</t>
  </si>
  <si>
    <t>340187</t>
  </si>
  <si>
    <t>340188</t>
  </si>
  <si>
    <t>340190</t>
  </si>
  <si>
    <t>350002</t>
  </si>
  <si>
    <t>350006</t>
  </si>
  <si>
    <t>350011</t>
  </si>
  <si>
    <t>350015</t>
  </si>
  <si>
    <t>350019</t>
  </si>
  <si>
    <t>350063</t>
  </si>
  <si>
    <t>350070</t>
  </si>
  <si>
    <t>360001</t>
  </si>
  <si>
    <t>360002</t>
  </si>
  <si>
    <t>360003</t>
  </si>
  <si>
    <t>360006</t>
  </si>
  <si>
    <t>360008</t>
  </si>
  <si>
    <t>360009</t>
  </si>
  <si>
    <t>360010</t>
  </si>
  <si>
    <t>360011</t>
  </si>
  <si>
    <t>360012</t>
  </si>
  <si>
    <t>360013</t>
  </si>
  <si>
    <t>360014</t>
  </si>
  <si>
    <t>360016</t>
  </si>
  <si>
    <t>360017</t>
  </si>
  <si>
    <t>360020</t>
  </si>
  <si>
    <t>360025</t>
  </si>
  <si>
    <t>360026</t>
  </si>
  <si>
    <t>360027</t>
  </si>
  <si>
    <t>360029</t>
  </si>
  <si>
    <t>360032</t>
  </si>
  <si>
    <t>360035</t>
  </si>
  <si>
    <t>360036</t>
  </si>
  <si>
    <t>360037</t>
  </si>
  <si>
    <t>360039</t>
  </si>
  <si>
    <t>360040</t>
  </si>
  <si>
    <t>360041</t>
  </si>
  <si>
    <t>360044</t>
  </si>
  <si>
    <t>360046</t>
  </si>
  <si>
    <t>360048</t>
  </si>
  <si>
    <t>360051</t>
  </si>
  <si>
    <t>360054</t>
  </si>
  <si>
    <t>360055</t>
  </si>
  <si>
    <t>360056</t>
  </si>
  <si>
    <t>360058</t>
  </si>
  <si>
    <t>360059</t>
  </si>
  <si>
    <t>360064</t>
  </si>
  <si>
    <t>360065</t>
  </si>
  <si>
    <t>360066</t>
  </si>
  <si>
    <t>360068</t>
  </si>
  <si>
    <t>360070</t>
  </si>
  <si>
    <t>360071</t>
  </si>
  <si>
    <t>360072</t>
  </si>
  <si>
    <t>360075</t>
  </si>
  <si>
    <t>360076</t>
  </si>
  <si>
    <t>360077</t>
  </si>
  <si>
    <t>360078</t>
  </si>
  <si>
    <t>360079</t>
  </si>
  <si>
    <t>360080</t>
  </si>
  <si>
    <t>360081</t>
  </si>
  <si>
    <t>360082</t>
  </si>
  <si>
    <t>360084</t>
  </si>
  <si>
    <t>360085</t>
  </si>
  <si>
    <t>360086</t>
  </si>
  <si>
    <t>360087</t>
  </si>
  <si>
    <t>360089</t>
  </si>
  <si>
    <t>360090</t>
  </si>
  <si>
    <t>360091</t>
  </si>
  <si>
    <t>360092</t>
  </si>
  <si>
    <t>360095</t>
  </si>
  <si>
    <t>360096</t>
  </si>
  <si>
    <t>360098</t>
  </si>
  <si>
    <t>360107</t>
  </si>
  <si>
    <t>360109</t>
  </si>
  <si>
    <t>360112</t>
  </si>
  <si>
    <t>360118</t>
  </si>
  <si>
    <t>360121</t>
  </si>
  <si>
    <t>360123</t>
  </si>
  <si>
    <t>360125</t>
  </si>
  <si>
    <t>360131</t>
  </si>
  <si>
    <t>360132</t>
  </si>
  <si>
    <t>360133</t>
  </si>
  <si>
    <t>360134</t>
  </si>
  <si>
    <t>360137</t>
  </si>
  <si>
    <t>360143</t>
  </si>
  <si>
    <t>360144</t>
  </si>
  <si>
    <t>360145</t>
  </si>
  <si>
    <t>360147</t>
  </si>
  <si>
    <t>360148</t>
  </si>
  <si>
    <t>360150</t>
  </si>
  <si>
    <t>360152</t>
  </si>
  <si>
    <t>360155</t>
  </si>
  <si>
    <t>360156</t>
  </si>
  <si>
    <t>360159</t>
  </si>
  <si>
    <t>360161</t>
  </si>
  <si>
    <t>360163</t>
  </si>
  <si>
    <t>360170</t>
  </si>
  <si>
    <t>360172</t>
  </si>
  <si>
    <t>360174</t>
  </si>
  <si>
    <t>360175</t>
  </si>
  <si>
    <t>360179</t>
  </si>
  <si>
    <t>360180</t>
  </si>
  <si>
    <t>360185</t>
  </si>
  <si>
    <t>360189</t>
  </si>
  <si>
    <t>360192</t>
  </si>
  <si>
    <t>360197</t>
  </si>
  <si>
    <t>360203</t>
  </si>
  <si>
    <t>360210</t>
  </si>
  <si>
    <t>360211</t>
  </si>
  <si>
    <t>360218</t>
  </si>
  <si>
    <t>360230</t>
  </si>
  <si>
    <t>360234</t>
  </si>
  <si>
    <t>360236</t>
  </si>
  <si>
    <t>360239</t>
  </si>
  <si>
    <t>360259</t>
  </si>
  <si>
    <t>360262</t>
  </si>
  <si>
    <t>360263</t>
  </si>
  <si>
    <t>360266</t>
  </si>
  <si>
    <t>360270</t>
  </si>
  <si>
    <t>360276</t>
  </si>
  <si>
    <t>360348</t>
  </si>
  <si>
    <t>360351</t>
  </si>
  <si>
    <t>360352</t>
  </si>
  <si>
    <t>360354</t>
  </si>
  <si>
    <t>360355</t>
  </si>
  <si>
    <t>360358</t>
  </si>
  <si>
    <t>360359</t>
  </si>
  <si>
    <t>360360</t>
  </si>
  <si>
    <t>360361</t>
  </si>
  <si>
    <t>360364</t>
  </si>
  <si>
    <t>360365</t>
  </si>
  <si>
    <t>360367</t>
  </si>
  <si>
    <t>360368</t>
  </si>
  <si>
    <t>370001</t>
  </si>
  <si>
    <t>370002</t>
  </si>
  <si>
    <t>370004</t>
  </si>
  <si>
    <t>370006</t>
  </si>
  <si>
    <t>370008</t>
  </si>
  <si>
    <t>370013</t>
  </si>
  <si>
    <t>370014</t>
  </si>
  <si>
    <t>370015</t>
  </si>
  <si>
    <t>370016</t>
  </si>
  <si>
    <t>370018</t>
  </si>
  <si>
    <t>370019</t>
  </si>
  <si>
    <t>370020</t>
  </si>
  <si>
    <t>370022</t>
  </si>
  <si>
    <t>370023</t>
  </si>
  <si>
    <t>370025</t>
  </si>
  <si>
    <t>370026</t>
  </si>
  <si>
    <t>370028</t>
  </si>
  <si>
    <t>370029</t>
  </si>
  <si>
    <t>370030</t>
  </si>
  <si>
    <t>370034</t>
  </si>
  <si>
    <t>370037</t>
  </si>
  <si>
    <t>370039</t>
  </si>
  <si>
    <t>370041</t>
  </si>
  <si>
    <t>370047</t>
  </si>
  <si>
    <t>370049</t>
  </si>
  <si>
    <t>370054</t>
  </si>
  <si>
    <t>370056</t>
  </si>
  <si>
    <t>370057</t>
  </si>
  <si>
    <t>370078</t>
  </si>
  <si>
    <t>370083</t>
  </si>
  <si>
    <t>370089</t>
  </si>
  <si>
    <t>370091</t>
  </si>
  <si>
    <t>370093</t>
  </si>
  <si>
    <t>370094</t>
  </si>
  <si>
    <t>370097</t>
  </si>
  <si>
    <t>370099</t>
  </si>
  <si>
    <t>370100</t>
  </si>
  <si>
    <t>370106</t>
  </si>
  <si>
    <t>370112</t>
  </si>
  <si>
    <t>370113</t>
  </si>
  <si>
    <t>370114</t>
  </si>
  <si>
    <t>370139</t>
  </si>
  <si>
    <t>370149</t>
  </si>
  <si>
    <t>370153</t>
  </si>
  <si>
    <t>370158</t>
  </si>
  <si>
    <t>370166</t>
  </si>
  <si>
    <t>370170</t>
  </si>
  <si>
    <t>370171</t>
  </si>
  <si>
    <t>370172</t>
  </si>
  <si>
    <t>370173</t>
  </si>
  <si>
    <t>370178</t>
  </si>
  <si>
    <t>370180</t>
  </si>
  <si>
    <t>370183</t>
  </si>
  <si>
    <t>370192</t>
  </si>
  <si>
    <t>370201</t>
  </si>
  <si>
    <t>370202</t>
  </si>
  <si>
    <t>370203</t>
  </si>
  <si>
    <t>370210</t>
  </si>
  <si>
    <t>370211</t>
  </si>
  <si>
    <t>370212</t>
  </si>
  <si>
    <t>370214</t>
  </si>
  <si>
    <t>370215</t>
  </si>
  <si>
    <t>370216</t>
  </si>
  <si>
    <t>370218</t>
  </si>
  <si>
    <t>370220</t>
  </si>
  <si>
    <t>370222</t>
  </si>
  <si>
    <t>370225</t>
  </si>
  <si>
    <t>370227</t>
  </si>
  <si>
    <t>370228</t>
  </si>
  <si>
    <t>370229</t>
  </si>
  <si>
    <t>370234</t>
  </si>
  <si>
    <t>370235</t>
  </si>
  <si>
    <t>370236</t>
  </si>
  <si>
    <t>370237</t>
  </si>
  <si>
    <t>370240</t>
  </si>
  <si>
    <t>380001</t>
  </si>
  <si>
    <t>380002</t>
  </si>
  <si>
    <t>380004</t>
  </si>
  <si>
    <t>380005</t>
  </si>
  <si>
    <t>380007</t>
  </si>
  <si>
    <t>380009</t>
  </si>
  <si>
    <t>380014</t>
  </si>
  <si>
    <t>380017</t>
  </si>
  <si>
    <t>380018</t>
  </si>
  <si>
    <t>380020</t>
  </si>
  <si>
    <t>380021</t>
  </si>
  <si>
    <t>380022</t>
  </si>
  <si>
    <t>380025</t>
  </si>
  <si>
    <t>380027</t>
  </si>
  <si>
    <t>380029</t>
  </si>
  <si>
    <t>380033</t>
  </si>
  <si>
    <t>380037</t>
  </si>
  <si>
    <t>380038</t>
  </si>
  <si>
    <t>380040</t>
  </si>
  <si>
    <t>380047</t>
  </si>
  <si>
    <t>380050</t>
  </si>
  <si>
    <t>380051</t>
  </si>
  <si>
    <t>380052</t>
  </si>
  <si>
    <t>380056</t>
  </si>
  <si>
    <t>380060</t>
  </si>
  <si>
    <t>380061</t>
  </si>
  <si>
    <t>380071</t>
  </si>
  <si>
    <t>380075</t>
  </si>
  <si>
    <t>380082</t>
  </si>
  <si>
    <t>380089</t>
  </si>
  <si>
    <t>380090</t>
  </si>
  <si>
    <t>380091</t>
  </si>
  <si>
    <t>380102</t>
  </si>
  <si>
    <t>380103</t>
  </si>
  <si>
    <t>390001</t>
  </si>
  <si>
    <t>390002</t>
  </si>
  <si>
    <t>390003</t>
  </si>
  <si>
    <t>390004</t>
  </si>
  <si>
    <t>390006</t>
  </si>
  <si>
    <t>390009</t>
  </si>
  <si>
    <t>390012</t>
  </si>
  <si>
    <t>390013</t>
  </si>
  <si>
    <t>390016</t>
  </si>
  <si>
    <t>390026</t>
  </si>
  <si>
    <t>390027</t>
  </si>
  <si>
    <t>390028</t>
  </si>
  <si>
    <t>390030</t>
  </si>
  <si>
    <t>390032</t>
  </si>
  <si>
    <t>390035</t>
  </si>
  <si>
    <t>390036</t>
  </si>
  <si>
    <t>390037</t>
  </si>
  <si>
    <t>390039</t>
  </si>
  <si>
    <t>390041</t>
  </si>
  <si>
    <t>390042</t>
  </si>
  <si>
    <t>390044</t>
  </si>
  <si>
    <t>390045</t>
  </si>
  <si>
    <t>390046</t>
  </si>
  <si>
    <t>390048</t>
  </si>
  <si>
    <t>390049</t>
  </si>
  <si>
    <t>390050</t>
  </si>
  <si>
    <t>390056</t>
  </si>
  <si>
    <t>390057</t>
  </si>
  <si>
    <t>390058</t>
  </si>
  <si>
    <t>390062</t>
  </si>
  <si>
    <t>390063</t>
  </si>
  <si>
    <t>390065</t>
  </si>
  <si>
    <t>390066</t>
  </si>
  <si>
    <t>390067</t>
  </si>
  <si>
    <t>390068</t>
  </si>
  <si>
    <t>390070</t>
  </si>
  <si>
    <t>390071</t>
  </si>
  <si>
    <t>390072</t>
  </si>
  <si>
    <t>390073</t>
  </si>
  <si>
    <t>390076</t>
  </si>
  <si>
    <t>390079</t>
  </si>
  <si>
    <t>390081</t>
  </si>
  <si>
    <t>390086</t>
  </si>
  <si>
    <t>390090</t>
  </si>
  <si>
    <t>390091</t>
  </si>
  <si>
    <t>390093</t>
  </si>
  <si>
    <t>390096</t>
  </si>
  <si>
    <t>390097</t>
  </si>
  <si>
    <t>390100</t>
  </si>
  <si>
    <t>390101</t>
  </si>
  <si>
    <t>390102</t>
  </si>
  <si>
    <t>390104</t>
  </si>
  <si>
    <t>390107</t>
  </si>
  <si>
    <t>390110</t>
  </si>
  <si>
    <t>390111</t>
  </si>
  <si>
    <t>390112</t>
  </si>
  <si>
    <t>390113</t>
  </si>
  <si>
    <t>390114</t>
  </si>
  <si>
    <t>390115</t>
  </si>
  <si>
    <t>390116</t>
  </si>
  <si>
    <t>390117</t>
  </si>
  <si>
    <t>390119</t>
  </si>
  <si>
    <t>390123</t>
  </si>
  <si>
    <t>390125</t>
  </si>
  <si>
    <t>390127</t>
  </si>
  <si>
    <t>390133</t>
  </si>
  <si>
    <t>390137</t>
  </si>
  <si>
    <t>390138</t>
  </si>
  <si>
    <t>390139</t>
  </si>
  <si>
    <t>390142</t>
  </si>
  <si>
    <t>390145</t>
  </si>
  <si>
    <t>390146</t>
  </si>
  <si>
    <t>390147</t>
  </si>
  <si>
    <t>390150</t>
  </si>
  <si>
    <t>390151</t>
  </si>
  <si>
    <t>390153</t>
  </si>
  <si>
    <t>390156</t>
  </si>
  <si>
    <t>390157</t>
  </si>
  <si>
    <t>390160</t>
  </si>
  <si>
    <t>390162</t>
  </si>
  <si>
    <t>390163</t>
  </si>
  <si>
    <t>390164</t>
  </si>
  <si>
    <t>390168</t>
  </si>
  <si>
    <t>390173</t>
  </si>
  <si>
    <t>390174</t>
  </si>
  <si>
    <t>390178</t>
  </si>
  <si>
    <t>390179</t>
  </si>
  <si>
    <t>390180</t>
  </si>
  <si>
    <t>390183</t>
  </si>
  <si>
    <t>390184</t>
  </si>
  <si>
    <t>390185</t>
  </si>
  <si>
    <t>390195</t>
  </si>
  <si>
    <t>390198</t>
  </si>
  <si>
    <t>390199</t>
  </si>
  <si>
    <t>390201</t>
  </si>
  <si>
    <t>390203</t>
  </si>
  <si>
    <t>390204</t>
  </si>
  <si>
    <t>390211</t>
  </si>
  <si>
    <t>390217</t>
  </si>
  <si>
    <t>390219</t>
  </si>
  <si>
    <t>390222</t>
  </si>
  <si>
    <t>390223</t>
  </si>
  <si>
    <t>390225</t>
  </si>
  <si>
    <t>390226</t>
  </si>
  <si>
    <t>390228</t>
  </si>
  <si>
    <t>390231</t>
  </si>
  <si>
    <t>390233</t>
  </si>
  <si>
    <t>390237</t>
  </si>
  <si>
    <t>390256</t>
  </si>
  <si>
    <t>390258</t>
  </si>
  <si>
    <t>390265</t>
  </si>
  <si>
    <t>390266</t>
  </si>
  <si>
    <t>390267</t>
  </si>
  <si>
    <t>390268</t>
  </si>
  <si>
    <t>390270</t>
  </si>
  <si>
    <t>390304</t>
  </si>
  <si>
    <t>390307</t>
  </si>
  <si>
    <t>390314</t>
  </si>
  <si>
    <t>390316</t>
  </si>
  <si>
    <t>390321</t>
  </si>
  <si>
    <t>390322</t>
  </si>
  <si>
    <t>390323</t>
  </si>
  <si>
    <t>390324</t>
  </si>
  <si>
    <t>390325</t>
  </si>
  <si>
    <t>390326</t>
  </si>
  <si>
    <t>390327</t>
  </si>
  <si>
    <t>390328</t>
  </si>
  <si>
    <t>390329</t>
  </si>
  <si>
    <t>390330</t>
  </si>
  <si>
    <t>390332</t>
  </si>
  <si>
    <t>390333</t>
  </si>
  <si>
    <t>410004</t>
  </si>
  <si>
    <t>410005</t>
  </si>
  <si>
    <t>410006</t>
  </si>
  <si>
    <t>410007</t>
  </si>
  <si>
    <t>410008</t>
  </si>
  <si>
    <t>410009</t>
  </si>
  <si>
    <t>410011</t>
  </si>
  <si>
    <t>410012</t>
  </si>
  <si>
    <t>410013</t>
  </si>
  <si>
    <t>420002</t>
  </si>
  <si>
    <t>420004</t>
  </si>
  <si>
    <t>420005</t>
  </si>
  <si>
    <t>420007</t>
  </si>
  <si>
    <t>420009</t>
  </si>
  <si>
    <t>420010</t>
  </si>
  <si>
    <t>420011</t>
  </si>
  <si>
    <t>420015</t>
  </si>
  <si>
    <t>420018</t>
  </si>
  <si>
    <t>420019</t>
  </si>
  <si>
    <t>420020</t>
  </si>
  <si>
    <t>420023</t>
  </si>
  <si>
    <t>420026</t>
  </si>
  <si>
    <t>420027</t>
  </si>
  <si>
    <t>420030</t>
  </si>
  <si>
    <t>420033</t>
  </si>
  <si>
    <t>420036</t>
  </si>
  <si>
    <t>420037</t>
  </si>
  <si>
    <t>420038</t>
  </si>
  <si>
    <t>420043</t>
  </si>
  <si>
    <t>420048</t>
  </si>
  <si>
    <t>420049</t>
  </si>
  <si>
    <t>420051</t>
  </si>
  <si>
    <t>420053</t>
  </si>
  <si>
    <t>420055</t>
  </si>
  <si>
    <t>420065</t>
  </si>
  <si>
    <t>420066</t>
  </si>
  <si>
    <t>420067</t>
  </si>
  <si>
    <t>420068</t>
  </si>
  <si>
    <t>420070</t>
  </si>
  <si>
    <t>420071</t>
  </si>
  <si>
    <t>420072</t>
  </si>
  <si>
    <t>420073</t>
  </si>
  <si>
    <t>420078</t>
  </si>
  <si>
    <t>420079</t>
  </si>
  <si>
    <t>420080</t>
  </si>
  <si>
    <t>420082</t>
  </si>
  <si>
    <t>420085</t>
  </si>
  <si>
    <t>420086</t>
  </si>
  <si>
    <t>420087</t>
  </si>
  <si>
    <t>420089</t>
  </si>
  <si>
    <t>420091</t>
  </si>
  <si>
    <t>420098</t>
  </si>
  <si>
    <t>420101</t>
  </si>
  <si>
    <t>420102</t>
  </si>
  <si>
    <t>420103</t>
  </si>
  <si>
    <t>420104</t>
  </si>
  <si>
    <t>420105</t>
  </si>
  <si>
    <t>420106</t>
  </si>
  <si>
    <t>420107</t>
  </si>
  <si>
    <t>420108</t>
  </si>
  <si>
    <t>420109</t>
  </si>
  <si>
    <t>420110</t>
  </si>
  <si>
    <t>430005</t>
  </si>
  <si>
    <t>430008</t>
  </si>
  <si>
    <t>430012</t>
  </si>
  <si>
    <t>430013</t>
  </si>
  <si>
    <t>430014</t>
  </si>
  <si>
    <t>430015</t>
  </si>
  <si>
    <t>430016</t>
  </si>
  <si>
    <t>430027</t>
  </si>
  <si>
    <t>430048</t>
  </si>
  <si>
    <t>430077</t>
  </si>
  <si>
    <t>430083</t>
  </si>
  <si>
    <t>430084</t>
  </si>
  <si>
    <t>430089</t>
  </si>
  <si>
    <t>430090</t>
  </si>
  <si>
    <t>430091</t>
  </si>
  <si>
    <t>430095</t>
  </si>
  <si>
    <t>430097</t>
  </si>
  <si>
    <t>430098</t>
  </si>
  <si>
    <t>440001</t>
  </si>
  <si>
    <t>440002</t>
  </si>
  <si>
    <t>440003</t>
  </si>
  <si>
    <t>440006</t>
  </si>
  <si>
    <t>440007</t>
  </si>
  <si>
    <t>440008</t>
  </si>
  <si>
    <t>440009</t>
  </si>
  <si>
    <t>440010</t>
  </si>
  <si>
    <t>440011</t>
  </si>
  <si>
    <t>440012</t>
  </si>
  <si>
    <t>440015</t>
  </si>
  <si>
    <t>440016</t>
  </si>
  <si>
    <t>440017</t>
  </si>
  <si>
    <t>440018</t>
  </si>
  <si>
    <t>440020</t>
  </si>
  <si>
    <t>440029</t>
  </si>
  <si>
    <t>440030</t>
  </si>
  <si>
    <t>440031</t>
  </si>
  <si>
    <t>440032</t>
  </si>
  <si>
    <t>440033</t>
  </si>
  <si>
    <t>440034</t>
  </si>
  <si>
    <t>440035</t>
  </si>
  <si>
    <t>440039</t>
  </si>
  <si>
    <t>440040</t>
  </si>
  <si>
    <t>440046</t>
  </si>
  <si>
    <t>440048</t>
  </si>
  <si>
    <t>440049</t>
  </si>
  <si>
    <t>440050</t>
  </si>
  <si>
    <t>440053</t>
  </si>
  <si>
    <t>440056</t>
  </si>
  <si>
    <t>440057</t>
  </si>
  <si>
    <t>440058</t>
  </si>
  <si>
    <t>440059</t>
  </si>
  <si>
    <t>440060</t>
  </si>
  <si>
    <t>440061</t>
  </si>
  <si>
    <t>440063</t>
  </si>
  <si>
    <t>440065</t>
  </si>
  <si>
    <t>440068</t>
  </si>
  <si>
    <t>440072</t>
  </si>
  <si>
    <t>440073</t>
  </si>
  <si>
    <t>440081</t>
  </si>
  <si>
    <t>440082</t>
  </si>
  <si>
    <t>440084</t>
  </si>
  <si>
    <t>440091</t>
  </si>
  <si>
    <t>440102</t>
  </si>
  <si>
    <t>440104</t>
  </si>
  <si>
    <t>440109</t>
  </si>
  <si>
    <t>440110</t>
  </si>
  <si>
    <t>440111</t>
  </si>
  <si>
    <t>440120</t>
  </si>
  <si>
    <t>440125</t>
  </si>
  <si>
    <t>440130</t>
  </si>
  <si>
    <t>440131</t>
  </si>
  <si>
    <t>440132</t>
  </si>
  <si>
    <t>440137</t>
  </si>
  <si>
    <t>440144</t>
  </si>
  <si>
    <t>440148</t>
  </si>
  <si>
    <t>440150</t>
  </si>
  <si>
    <t>440151</t>
  </si>
  <si>
    <t>440152</t>
  </si>
  <si>
    <t>440153</t>
  </si>
  <si>
    <t>440156</t>
  </si>
  <si>
    <t>440161</t>
  </si>
  <si>
    <t>440173</t>
  </si>
  <si>
    <t>440175</t>
  </si>
  <si>
    <t>440176</t>
  </si>
  <si>
    <t>440183</t>
  </si>
  <si>
    <t>440184</t>
  </si>
  <si>
    <t>440185</t>
  </si>
  <si>
    <t>440187</t>
  </si>
  <si>
    <t>440192</t>
  </si>
  <si>
    <t>440193</t>
  </si>
  <si>
    <t>440194</t>
  </si>
  <si>
    <t>440197</t>
  </si>
  <si>
    <t>440200</t>
  </si>
  <si>
    <t>440218</t>
  </si>
  <si>
    <t>440227</t>
  </si>
  <si>
    <t>440228</t>
  </si>
  <si>
    <t>450002</t>
  </si>
  <si>
    <t>450007</t>
  </si>
  <si>
    <t>450010</t>
  </si>
  <si>
    <t>450011</t>
  </si>
  <si>
    <t>450015</t>
  </si>
  <si>
    <t>450018</t>
  </si>
  <si>
    <t>450021</t>
  </si>
  <si>
    <t>450023</t>
  </si>
  <si>
    <t>450024</t>
  </si>
  <si>
    <t>450028</t>
  </si>
  <si>
    <t>450029</t>
  </si>
  <si>
    <t>450032</t>
  </si>
  <si>
    <t>450033</t>
  </si>
  <si>
    <t>450034</t>
  </si>
  <si>
    <t>450035</t>
  </si>
  <si>
    <t>450039</t>
  </si>
  <si>
    <t>450040</t>
  </si>
  <si>
    <t>450042</t>
  </si>
  <si>
    <t>450044</t>
  </si>
  <si>
    <t>450046</t>
  </si>
  <si>
    <t>450051</t>
  </si>
  <si>
    <t>450054</t>
  </si>
  <si>
    <t>450055</t>
  </si>
  <si>
    <t>450056</t>
  </si>
  <si>
    <t>450058</t>
  </si>
  <si>
    <t>450064</t>
  </si>
  <si>
    <t>450068</t>
  </si>
  <si>
    <t>450072</t>
  </si>
  <si>
    <t>450078</t>
  </si>
  <si>
    <t>450079</t>
  </si>
  <si>
    <t>450080</t>
  </si>
  <si>
    <t>450082</t>
  </si>
  <si>
    <t>450083</t>
  </si>
  <si>
    <t>450085</t>
  </si>
  <si>
    <t>450087</t>
  </si>
  <si>
    <t>450090</t>
  </si>
  <si>
    <t>450092</t>
  </si>
  <si>
    <t>450097</t>
  </si>
  <si>
    <t>450099</t>
  </si>
  <si>
    <t>450101</t>
  </si>
  <si>
    <t>450102</t>
  </si>
  <si>
    <t>450104</t>
  </si>
  <si>
    <t>450107</t>
  </si>
  <si>
    <t>450108</t>
  </si>
  <si>
    <t>450119</t>
  </si>
  <si>
    <t>450124</t>
  </si>
  <si>
    <t>450128</t>
  </si>
  <si>
    <t>450132</t>
  </si>
  <si>
    <t>450133</t>
  </si>
  <si>
    <t>450135</t>
  </si>
  <si>
    <t>450137</t>
  </si>
  <si>
    <t>450143</t>
  </si>
  <si>
    <t>450144</t>
  </si>
  <si>
    <t>450147</t>
  </si>
  <si>
    <t>450148</t>
  </si>
  <si>
    <t>450152</t>
  </si>
  <si>
    <t>450154</t>
  </si>
  <si>
    <t>450155</t>
  </si>
  <si>
    <t>450162</t>
  </si>
  <si>
    <t>450163</t>
  </si>
  <si>
    <t>450165</t>
  </si>
  <si>
    <t>450176</t>
  </si>
  <si>
    <t>450184</t>
  </si>
  <si>
    <t>450187</t>
  </si>
  <si>
    <t>450193</t>
  </si>
  <si>
    <t>450194</t>
  </si>
  <si>
    <t>450196</t>
  </si>
  <si>
    <t>450200</t>
  </si>
  <si>
    <t>450203</t>
  </si>
  <si>
    <t>450209</t>
  </si>
  <si>
    <t>450210</t>
  </si>
  <si>
    <t>450211</t>
  </si>
  <si>
    <t>450213</t>
  </si>
  <si>
    <t>450222</t>
  </si>
  <si>
    <t>450229</t>
  </si>
  <si>
    <t>450231</t>
  </si>
  <si>
    <t>450235</t>
  </si>
  <si>
    <t>450236</t>
  </si>
  <si>
    <t>450237</t>
  </si>
  <si>
    <t>450241</t>
  </si>
  <si>
    <t>450253</t>
  </si>
  <si>
    <t>450271</t>
  </si>
  <si>
    <t>450272</t>
  </si>
  <si>
    <t>450289</t>
  </si>
  <si>
    <t>450292</t>
  </si>
  <si>
    <t>450324</t>
  </si>
  <si>
    <t>450330</t>
  </si>
  <si>
    <t>450346</t>
  </si>
  <si>
    <t>450347</t>
  </si>
  <si>
    <t>450348</t>
  </si>
  <si>
    <t>450351</t>
  </si>
  <si>
    <t>450352</t>
  </si>
  <si>
    <t>450358</t>
  </si>
  <si>
    <t>450369</t>
  </si>
  <si>
    <t>450370</t>
  </si>
  <si>
    <t>450372</t>
  </si>
  <si>
    <t>450379</t>
  </si>
  <si>
    <t>450388</t>
  </si>
  <si>
    <t>450389</t>
  </si>
  <si>
    <t>450395</t>
  </si>
  <si>
    <t>450399</t>
  </si>
  <si>
    <t>450400</t>
  </si>
  <si>
    <t>450403</t>
  </si>
  <si>
    <t>450411</t>
  </si>
  <si>
    <t>450419</t>
  </si>
  <si>
    <t>450422</t>
  </si>
  <si>
    <t>450424</t>
  </si>
  <si>
    <t>450431</t>
  </si>
  <si>
    <t>450447</t>
  </si>
  <si>
    <t>450451</t>
  </si>
  <si>
    <t>450460</t>
  </si>
  <si>
    <t>450462</t>
  </si>
  <si>
    <t>450465</t>
  </si>
  <si>
    <t>450469</t>
  </si>
  <si>
    <t>450475</t>
  </si>
  <si>
    <t>450484</t>
  </si>
  <si>
    <t>450489</t>
  </si>
  <si>
    <t>450498</t>
  </si>
  <si>
    <t>450508</t>
  </si>
  <si>
    <t>450518</t>
  </si>
  <si>
    <t>450537</t>
  </si>
  <si>
    <t>450539</t>
  </si>
  <si>
    <t>450563</t>
  </si>
  <si>
    <t>450565</t>
  </si>
  <si>
    <t>450571</t>
  </si>
  <si>
    <t>450573</t>
  </si>
  <si>
    <t>450578</t>
  </si>
  <si>
    <t>450584</t>
  </si>
  <si>
    <t>450586</t>
  </si>
  <si>
    <t>450587</t>
  </si>
  <si>
    <t>450596</t>
  </si>
  <si>
    <t>450597</t>
  </si>
  <si>
    <t>450604</t>
  </si>
  <si>
    <t>450610</t>
  </si>
  <si>
    <t>450617</t>
  </si>
  <si>
    <t>450634</t>
  </si>
  <si>
    <t>450638</t>
  </si>
  <si>
    <t>450639</t>
  </si>
  <si>
    <t>450641</t>
  </si>
  <si>
    <t>450643</t>
  </si>
  <si>
    <t>450644</t>
  </si>
  <si>
    <t>450647</t>
  </si>
  <si>
    <t>450651</t>
  </si>
  <si>
    <t>450653</t>
  </si>
  <si>
    <t>450654</t>
  </si>
  <si>
    <t>450656</t>
  </si>
  <si>
    <t>450658</t>
  </si>
  <si>
    <t>450659</t>
  </si>
  <si>
    <t>450661</t>
  </si>
  <si>
    <t>450662</t>
  </si>
  <si>
    <t>450668</t>
  </si>
  <si>
    <t>450669</t>
  </si>
  <si>
    <t>450670</t>
  </si>
  <si>
    <t>450672</t>
  </si>
  <si>
    <t>450675</t>
  </si>
  <si>
    <t>450677</t>
  </si>
  <si>
    <t>450678</t>
  </si>
  <si>
    <t>450684</t>
  </si>
  <si>
    <t>450686</t>
  </si>
  <si>
    <t>450688</t>
  </si>
  <si>
    <t>450690</t>
  </si>
  <si>
    <t>450694</t>
  </si>
  <si>
    <t>450697</t>
  </si>
  <si>
    <t>450698</t>
  </si>
  <si>
    <t>450702</t>
  </si>
  <si>
    <t>450709</t>
  </si>
  <si>
    <t>450711</t>
  </si>
  <si>
    <t>450713</t>
  </si>
  <si>
    <t>450718</t>
  </si>
  <si>
    <t>450723</t>
  </si>
  <si>
    <t>450730</t>
  </si>
  <si>
    <t>450742</t>
  </si>
  <si>
    <t>450743</t>
  </si>
  <si>
    <t>450747</t>
  </si>
  <si>
    <t>450755</t>
  </si>
  <si>
    <t>450771</t>
  </si>
  <si>
    <t>450774</t>
  </si>
  <si>
    <t>450775</t>
  </si>
  <si>
    <t>450779</t>
  </si>
  <si>
    <t>450788</t>
  </si>
  <si>
    <t>450801</t>
  </si>
  <si>
    <t>450803</t>
  </si>
  <si>
    <t>450804</t>
  </si>
  <si>
    <t>450808</t>
  </si>
  <si>
    <t>450809</t>
  </si>
  <si>
    <t>450820</t>
  </si>
  <si>
    <t>450822</t>
  </si>
  <si>
    <t>450825</t>
  </si>
  <si>
    <t>450827</t>
  </si>
  <si>
    <t>450828</t>
  </si>
  <si>
    <t>450831</t>
  </si>
  <si>
    <t>450833</t>
  </si>
  <si>
    <t>450834</t>
  </si>
  <si>
    <t>450840</t>
  </si>
  <si>
    <t>450844</t>
  </si>
  <si>
    <t>450847</t>
  </si>
  <si>
    <t>450848</t>
  </si>
  <si>
    <t>450851</t>
  </si>
  <si>
    <t>450853</t>
  </si>
  <si>
    <t>450855</t>
  </si>
  <si>
    <t>450856</t>
  </si>
  <si>
    <t>450860</t>
  </si>
  <si>
    <t>450862</t>
  </si>
  <si>
    <t>450864</t>
  </si>
  <si>
    <t>450865</t>
  </si>
  <si>
    <t>450867</t>
  </si>
  <si>
    <t>450869</t>
  </si>
  <si>
    <t>450871</t>
  </si>
  <si>
    <t>450872</t>
  </si>
  <si>
    <t>450874</t>
  </si>
  <si>
    <t>450875</t>
  </si>
  <si>
    <t>450876</t>
  </si>
  <si>
    <t>450877</t>
  </si>
  <si>
    <t>450880</t>
  </si>
  <si>
    <t>450883</t>
  </si>
  <si>
    <t>450885</t>
  </si>
  <si>
    <t>450888</t>
  </si>
  <si>
    <t>450889</t>
  </si>
  <si>
    <t>450890</t>
  </si>
  <si>
    <t>450891</t>
  </si>
  <si>
    <t>450893</t>
  </si>
  <si>
    <t>460001</t>
  </si>
  <si>
    <t>460003</t>
  </si>
  <si>
    <t>460004</t>
  </si>
  <si>
    <t>460005</t>
  </si>
  <si>
    <t>460006</t>
  </si>
  <si>
    <t>460007</t>
  </si>
  <si>
    <t>460009</t>
  </si>
  <si>
    <t>460010</t>
  </si>
  <si>
    <t>460011</t>
  </si>
  <si>
    <t>460013</t>
  </si>
  <si>
    <t>460014</t>
  </si>
  <si>
    <t>460015</t>
  </si>
  <si>
    <t>460017</t>
  </si>
  <si>
    <t>460019</t>
  </si>
  <si>
    <t>460021</t>
  </si>
  <si>
    <t>460023</t>
  </si>
  <si>
    <t>460026</t>
  </si>
  <si>
    <t>460030</t>
  </si>
  <si>
    <t>460039</t>
  </si>
  <si>
    <t>460041</t>
  </si>
  <si>
    <t>460042</t>
  </si>
  <si>
    <t>460044</t>
  </si>
  <si>
    <t>460047</t>
  </si>
  <si>
    <t>460049</t>
  </si>
  <si>
    <t>460051</t>
  </si>
  <si>
    <t>460052</t>
  </si>
  <si>
    <t>460054</t>
  </si>
  <si>
    <t>460057</t>
  </si>
  <si>
    <t>460058</t>
  </si>
  <si>
    <t>460060</t>
  </si>
  <si>
    <t>460061</t>
  </si>
  <si>
    <t>470001</t>
  </si>
  <si>
    <t>470003</t>
  </si>
  <si>
    <t>470005</t>
  </si>
  <si>
    <t>470011</t>
  </si>
  <si>
    <t>470012</t>
  </si>
  <si>
    <t>470024</t>
  </si>
  <si>
    <t>490002</t>
  </si>
  <si>
    <t>490004</t>
  </si>
  <si>
    <t>490005</t>
  </si>
  <si>
    <t>490007</t>
  </si>
  <si>
    <t>490009</t>
  </si>
  <si>
    <t>490013</t>
  </si>
  <si>
    <t>490017</t>
  </si>
  <si>
    <t>490018</t>
  </si>
  <si>
    <t>490019</t>
  </si>
  <si>
    <t>490020</t>
  </si>
  <si>
    <t>490021</t>
  </si>
  <si>
    <t>490022</t>
  </si>
  <si>
    <t>490023</t>
  </si>
  <si>
    <t>490024</t>
  </si>
  <si>
    <t>490032</t>
  </si>
  <si>
    <t>490033</t>
  </si>
  <si>
    <t>490037</t>
  </si>
  <si>
    <t>490038</t>
  </si>
  <si>
    <t>490040</t>
  </si>
  <si>
    <t>490041</t>
  </si>
  <si>
    <t>490042</t>
  </si>
  <si>
    <t>490043</t>
  </si>
  <si>
    <t>490044</t>
  </si>
  <si>
    <t>490045</t>
  </si>
  <si>
    <t>490046</t>
  </si>
  <si>
    <t>490048</t>
  </si>
  <si>
    <t>490050</t>
  </si>
  <si>
    <t>490052</t>
  </si>
  <si>
    <t>490053</t>
  </si>
  <si>
    <t>490057</t>
  </si>
  <si>
    <t>490059</t>
  </si>
  <si>
    <t>490060</t>
  </si>
  <si>
    <t>490063</t>
  </si>
  <si>
    <t>490066</t>
  </si>
  <si>
    <t>490067</t>
  </si>
  <si>
    <t>490069</t>
  </si>
  <si>
    <t>490075</t>
  </si>
  <si>
    <t>490077</t>
  </si>
  <si>
    <t>490084</t>
  </si>
  <si>
    <t>490088</t>
  </si>
  <si>
    <t>490089</t>
  </si>
  <si>
    <t>490090</t>
  </si>
  <si>
    <t>490092</t>
  </si>
  <si>
    <t>490093</t>
  </si>
  <si>
    <t>490094</t>
  </si>
  <si>
    <t>490097</t>
  </si>
  <si>
    <t>490098</t>
  </si>
  <si>
    <t>490101</t>
  </si>
  <si>
    <t>490107</t>
  </si>
  <si>
    <t>490110</t>
  </si>
  <si>
    <t>490111</t>
  </si>
  <si>
    <t>490112</t>
  </si>
  <si>
    <t>490113</t>
  </si>
  <si>
    <t>490114</t>
  </si>
  <si>
    <t>490115</t>
  </si>
  <si>
    <t>490116</t>
  </si>
  <si>
    <t>490117</t>
  </si>
  <si>
    <t>490118</t>
  </si>
  <si>
    <t>490119</t>
  </si>
  <si>
    <t>490120</t>
  </si>
  <si>
    <t>490122</t>
  </si>
  <si>
    <t>490126</t>
  </si>
  <si>
    <t>490127</t>
  </si>
  <si>
    <t>490130</t>
  </si>
  <si>
    <t>490136</t>
  </si>
  <si>
    <t>490140</t>
  </si>
  <si>
    <t>490141</t>
  </si>
  <si>
    <t>490143</t>
  </si>
  <si>
    <t>490144</t>
  </si>
  <si>
    <t>490145</t>
  </si>
  <si>
    <t>500002</t>
  </si>
  <si>
    <t>500003</t>
  </si>
  <si>
    <t>500005</t>
  </si>
  <si>
    <t>500007</t>
  </si>
  <si>
    <t>500008</t>
  </si>
  <si>
    <t>500011</t>
  </si>
  <si>
    <t>500014</t>
  </si>
  <si>
    <t>500015</t>
  </si>
  <si>
    <t>500016</t>
  </si>
  <si>
    <t>500019</t>
  </si>
  <si>
    <t>500021</t>
  </si>
  <si>
    <t>500024</t>
  </si>
  <si>
    <t>500025</t>
  </si>
  <si>
    <t>500026</t>
  </si>
  <si>
    <t>500027</t>
  </si>
  <si>
    <t>500030</t>
  </si>
  <si>
    <t>500031</t>
  </si>
  <si>
    <t>500033</t>
  </si>
  <si>
    <t>500036</t>
  </si>
  <si>
    <t>500037</t>
  </si>
  <si>
    <t>500039</t>
  </si>
  <si>
    <t>500041</t>
  </si>
  <si>
    <t>500044</t>
  </si>
  <si>
    <t>500050</t>
  </si>
  <si>
    <t>500051</t>
  </si>
  <si>
    <t>500053</t>
  </si>
  <si>
    <t>500054</t>
  </si>
  <si>
    <t>500058</t>
  </si>
  <si>
    <t>500060</t>
  </si>
  <si>
    <t>500064</t>
  </si>
  <si>
    <t>500072</t>
  </si>
  <si>
    <t>500077</t>
  </si>
  <si>
    <t>500079</t>
  </si>
  <si>
    <t>500084</t>
  </si>
  <si>
    <t>500088</t>
  </si>
  <si>
    <t>500108</t>
  </si>
  <si>
    <t>500119</t>
  </si>
  <si>
    <t>500124</t>
  </si>
  <si>
    <t>500129</t>
  </si>
  <si>
    <t>500139</t>
  </si>
  <si>
    <t>500141</t>
  </si>
  <si>
    <t>500148</t>
  </si>
  <si>
    <t>500150</t>
  </si>
  <si>
    <t>500151</t>
  </si>
  <si>
    <t>500152</t>
  </si>
  <si>
    <t>500154</t>
  </si>
  <si>
    <t>510001</t>
  </si>
  <si>
    <t>510002</t>
  </si>
  <si>
    <t>510006</t>
  </si>
  <si>
    <t>510007</t>
  </si>
  <si>
    <t>510008</t>
  </si>
  <si>
    <t>510012</t>
  </si>
  <si>
    <t>510013</t>
  </si>
  <si>
    <t>510022</t>
  </si>
  <si>
    <t>510023</t>
  </si>
  <si>
    <t>510024</t>
  </si>
  <si>
    <t>510029</t>
  </si>
  <si>
    <t>510030</t>
  </si>
  <si>
    <t>510031</t>
  </si>
  <si>
    <t>510038</t>
  </si>
  <si>
    <t>510046</t>
  </si>
  <si>
    <t>510048</t>
  </si>
  <si>
    <t>510050</t>
  </si>
  <si>
    <t>510055</t>
  </si>
  <si>
    <t>510058</t>
  </si>
  <si>
    <t>510062</t>
  </si>
  <si>
    <t>510070</t>
  </si>
  <si>
    <t>510072</t>
  </si>
  <si>
    <t>510086</t>
  </si>
  <si>
    <t>510091</t>
  </si>
  <si>
    <t>520002</t>
  </si>
  <si>
    <t>520004</t>
  </si>
  <si>
    <t>520008</t>
  </si>
  <si>
    <t>520009</t>
  </si>
  <si>
    <t>520011</t>
  </si>
  <si>
    <t>520013</t>
  </si>
  <si>
    <t>520017</t>
  </si>
  <si>
    <t>520019</t>
  </si>
  <si>
    <t>520021</t>
  </si>
  <si>
    <t>520027</t>
  </si>
  <si>
    <t>520028</t>
  </si>
  <si>
    <t>520030</t>
  </si>
  <si>
    <t>520033</t>
  </si>
  <si>
    <t>520034</t>
  </si>
  <si>
    <t>520035</t>
  </si>
  <si>
    <t>520037</t>
  </si>
  <si>
    <t>520038</t>
  </si>
  <si>
    <t>520041</t>
  </si>
  <si>
    <t>520044</t>
  </si>
  <si>
    <t>520045</t>
  </si>
  <si>
    <t>520049</t>
  </si>
  <si>
    <t>520051</t>
  </si>
  <si>
    <t>520057</t>
  </si>
  <si>
    <t>520059</t>
  </si>
  <si>
    <t>520062</t>
  </si>
  <si>
    <t>520063</t>
  </si>
  <si>
    <t>520066</t>
  </si>
  <si>
    <t>520070</t>
  </si>
  <si>
    <t>520071</t>
  </si>
  <si>
    <t>520075</t>
  </si>
  <si>
    <t>520076</t>
  </si>
  <si>
    <t>520078</t>
  </si>
  <si>
    <t>520083</t>
  </si>
  <si>
    <t>520087</t>
  </si>
  <si>
    <t>520088</t>
  </si>
  <si>
    <t>520089</t>
  </si>
  <si>
    <t>520091</t>
  </si>
  <si>
    <t>520095</t>
  </si>
  <si>
    <t>520096</t>
  </si>
  <si>
    <t>520097</t>
  </si>
  <si>
    <t>520098</t>
  </si>
  <si>
    <t>520100</t>
  </si>
  <si>
    <t>520102</t>
  </si>
  <si>
    <t>520103</t>
  </si>
  <si>
    <t>520107</t>
  </si>
  <si>
    <t>520109</t>
  </si>
  <si>
    <t>520113</t>
  </si>
  <si>
    <t>520116</t>
  </si>
  <si>
    <t>520136</t>
  </si>
  <si>
    <t>520138</t>
  </si>
  <si>
    <t>520139</t>
  </si>
  <si>
    <t>520160</t>
  </si>
  <si>
    <t>520177</t>
  </si>
  <si>
    <t>520189</t>
  </si>
  <si>
    <t>520193</t>
  </si>
  <si>
    <t>520194</t>
  </si>
  <si>
    <t>520196</t>
  </si>
  <si>
    <t>520198</t>
  </si>
  <si>
    <t>520202</t>
  </si>
  <si>
    <t>520205</t>
  </si>
  <si>
    <t>520206</t>
  </si>
  <si>
    <t>520207</t>
  </si>
  <si>
    <t>520208</t>
  </si>
  <si>
    <t>520210</t>
  </si>
  <si>
    <t>520212</t>
  </si>
  <si>
    <t>520213</t>
  </si>
  <si>
    <t>530002</t>
  </si>
  <si>
    <t>530006</t>
  </si>
  <si>
    <t>530008</t>
  </si>
  <si>
    <t>530011</t>
  </si>
  <si>
    <t>530012</t>
  </si>
  <si>
    <t>530014</t>
  </si>
  <si>
    <t>530015</t>
  </si>
  <si>
    <t>530025</t>
  </si>
  <si>
    <t>530032</t>
  </si>
  <si>
    <t>530034</t>
  </si>
  <si>
    <t>670004</t>
  </si>
  <si>
    <t>670005</t>
  </si>
  <si>
    <t>670006</t>
  </si>
  <si>
    <t>670008</t>
  </si>
  <si>
    <t>670023</t>
  </si>
  <si>
    <t>670025</t>
  </si>
  <si>
    <t>670031</t>
  </si>
  <si>
    <t>670034</t>
  </si>
  <si>
    <t>670041</t>
  </si>
  <si>
    <t>670043</t>
  </si>
  <si>
    <t>670044</t>
  </si>
  <si>
    <t>670047</t>
  </si>
  <si>
    <t>670049</t>
  </si>
  <si>
    <t>670053</t>
  </si>
  <si>
    <t>670054</t>
  </si>
  <si>
    <t>670055</t>
  </si>
  <si>
    <t>670056</t>
  </si>
  <si>
    <t>670059</t>
  </si>
  <si>
    <t>670060</t>
  </si>
  <si>
    <t>670061</t>
  </si>
  <si>
    <t>670062</t>
  </si>
  <si>
    <t>670067</t>
  </si>
  <si>
    <t>670068</t>
  </si>
  <si>
    <t>670069</t>
  </si>
  <si>
    <t>670071</t>
  </si>
  <si>
    <t>670073</t>
  </si>
  <si>
    <t>670075</t>
  </si>
  <si>
    <t>670076</t>
  </si>
  <si>
    <t>670077</t>
  </si>
  <si>
    <t>670078</t>
  </si>
  <si>
    <t>670080</t>
  </si>
  <si>
    <t>670082</t>
  </si>
  <si>
    <t>670085</t>
  </si>
  <si>
    <t>670088</t>
  </si>
  <si>
    <t>670090</t>
  </si>
  <si>
    <t>670098</t>
  </si>
  <si>
    <t>670102</t>
  </si>
  <si>
    <t>670103</t>
  </si>
  <si>
    <t>670106</t>
  </si>
  <si>
    <t>670107</t>
  </si>
  <si>
    <t>670108</t>
  </si>
  <si>
    <t>670109</t>
  </si>
  <si>
    <t>670112</t>
  </si>
  <si>
    <t>670115</t>
  </si>
  <si>
    <t>670116</t>
  </si>
  <si>
    <t>670120</t>
  </si>
  <si>
    <t>670121</t>
  </si>
  <si>
    <t>670122</t>
  </si>
  <si>
    <t>670124</t>
  </si>
  <si>
    <t>670128</t>
  </si>
  <si>
    <t>670131</t>
  </si>
  <si>
    <t>670132</t>
  </si>
  <si>
    <t>670134</t>
  </si>
  <si>
    <t>670136</t>
  </si>
  <si>
    <t>670143</t>
  </si>
  <si>
    <t>670259</t>
  </si>
  <si>
    <t>670260</t>
  </si>
  <si>
    <t>670265</t>
  </si>
  <si>
    <t>670266</t>
  </si>
  <si>
    <t>670267</t>
  </si>
  <si>
    <t>670300</t>
  </si>
  <si>
    <t>670309</t>
  </si>
  <si>
    <t xml:space="preserve">*These factors are calculated using the peer grouping Hospital Readmissions </t>
  </si>
  <si>
    <t>Reduction Program payment methodology finalized in the IPPS/LTCH PPS</t>
  </si>
  <si>
    <t>rule. They are based on discharges between July 1, 2018 and December</t>
  </si>
  <si>
    <t>1, 2019 and July, 1 2020 to June 30, 2021 (that is, the data period used for the</t>
  </si>
  <si>
    <t>FY 2023 Hospital Readmissions Reduction Period).</t>
  </si>
  <si>
    <t>As discussed in the FY 2022 IPPS/LTCH PPS final rule, CMS will not use</t>
  </si>
  <si>
    <t>claims data representing quarter (Q)1 and Q2 2020 in its calculations for</t>
  </si>
  <si>
    <t>the Hospital Readmissions Reduction Program (86 FR 45260 - 45261).</t>
  </si>
  <si>
    <t>The performance period in this table has been updated to reflect this policy.</t>
  </si>
  <si>
    <t>The readmission measures used in the Hospital Readmissions Reduction</t>
  </si>
  <si>
    <t>Program identify readmissions within 30 days of each index stay; therefore,</t>
  </si>
  <si>
    <t>the performance period for the Hospital Readmissions Reduction Program</t>
  </si>
  <si>
    <t>will also not use claims data representing the 30 days before January 1,</t>
  </si>
  <si>
    <t>2020. The FY 2023 performance period for the Hospital Readmissions</t>
  </si>
  <si>
    <t>Reduction Program is July 1, 2018 to December 1, 2019 and July 1, 2020</t>
  </si>
  <si>
    <t>to June 30, 2021, so that no claims from Q1 and Q2 2020 are used</t>
  </si>
  <si>
    <t>in the measure or program calculations.</t>
  </si>
  <si>
    <t>As finalized in the FY 2022 IPPS/LTCH final rule, the pneumonia</t>
  </si>
  <si>
    <t>readmission measure is suppressed in FY 2023 Hospital Readmissions</t>
  </si>
  <si>
    <t>Reduction Program payment reduction calculations due to COVID-19's</t>
  </si>
  <si>
    <t>substantial impact on this measure (86 FR 45254-45256). The pneumonia</t>
  </si>
  <si>
    <t>readmission measure results do not contribute to FY 2023 Hospital</t>
  </si>
  <si>
    <t>Readmissions Reduction Program payment reduction calculations.</t>
  </si>
  <si>
    <t>Hospitals are sorted into five peer groups, or quintiles, based on the dual</t>
  </si>
  <si>
    <t>proportion. The dual proportion is the proportion of Medicare fee-for-service</t>
  </si>
  <si>
    <t>(FFS) and managed care stays in a specific hospital, where the patient was</t>
  </si>
  <si>
    <t>dually eligible for Medicare and full Medicaid benefits during the discharge</t>
  </si>
  <si>
    <t>month. For beneficiaries who die in the month of discharge, dual-eligibility</t>
  </si>
  <si>
    <t>status is determined using the previous month. Hospital performance is</t>
  </si>
  <si>
    <t>based on ERRs for five conditions or procedures:</t>
  </si>
  <si>
    <t>Acute Myocardial Infarction (AMI), Chronic Obstructive Pulmonary Disease</t>
  </si>
  <si>
    <t>(COPD), Heart Failure (HF), Coronary Artery Bypass Graft (CABG) surgery,</t>
  </si>
  <si>
    <t>and elective primary Total Hip/Total Knee Arthroplasty (THA/TKA).</t>
  </si>
  <si>
    <t>Hospital performance is determined based on its performance relative</t>
  </si>
  <si>
    <t>to its peer group median ERR. The payment adjustment factor</t>
  </si>
  <si>
    <t>corresponds to the percentage a hospital's payments will be reduced.</t>
  </si>
  <si>
    <t>The minimum payment adjustment factor is 0.97 (that is, 3%</t>
  </si>
  <si>
    <t>maximum payment reduction). The maximum payment adjustment</t>
  </si>
  <si>
    <t>factor is 1 (that is, no payment reduction). Hospitals with higher payment</t>
  </si>
  <si>
    <t>adjustment factors have lower payment reductions.</t>
  </si>
  <si>
    <t xml:space="preserve">Note: Although data from all subsection (d) and Maryland hospitals are </t>
  </si>
  <si>
    <t>used in calculations of the ERRs, Maryland hospitals are not included</t>
  </si>
  <si>
    <t xml:space="preserve">in this table since they are not subject to a payment reduction under the </t>
  </si>
  <si>
    <t xml:space="preserve">Hospital Readmissions Reduction Program. </t>
  </si>
  <si>
    <t>End of worksheet</t>
  </si>
  <si>
    <t>end of worksheet</t>
  </si>
  <si>
    <t>https://www.cms.gov/medicare/acute-inpatient-pps/fy-2023-ipps-final-rule-home-page#FinalRule</t>
  </si>
  <si>
    <t>CONCAT FORMULA = 01  (Quality Data = 0 and Meaningful E H R User=1)</t>
  </si>
  <si>
    <t>CONCAT FORMULA = 10  (Quality Data = 1 and Meaningful E H R User=0)</t>
  </si>
  <si>
    <t>CONCAT FORMULA = 11  (Quality Data = 1 and Meaningful E H R User=1)</t>
  </si>
  <si>
    <t xml:space="preserve">     </t>
  </si>
  <si>
    <r>
      <t xml:space="preserve">Source:  FY 2023 Federal Base Rate / FY 2023 CN Tables 1A-1E
</t>
    </r>
    <r>
      <rPr>
        <b/>
        <sz val="10"/>
        <rFont val="Arial"/>
        <family val="2"/>
      </rPr>
      <t>(Quality Data &amp; Meaningful EHR users)</t>
    </r>
  </si>
  <si>
    <t>CHECK AGAINST CDPHE # LIST TO MAKE SURE ALL HOSPITALS ACCOUNTED FOR (Confirms same Medicare ID)</t>
  </si>
  <si>
    <r>
      <rPr>
        <b/>
        <sz val="11"/>
        <rFont val="Calibri"/>
        <family val="2"/>
        <scheme val="minor"/>
      </rPr>
      <t xml:space="preserve">   FINAL RULE NATIONAL ADJUSTED OPERATING STANDARDIZED AMOUNTS - Medicare Non-labor Related Amount</t>
    </r>
    <r>
      <rPr>
        <sz val="11"/>
        <rFont val="Calibri"/>
        <family val="2"/>
        <scheme val="minor"/>
      </rPr>
      <t xml:space="preserve">
 </t>
    </r>
    <r>
      <rPr>
        <sz val="9"/>
        <rFont val="Calibri"/>
        <family val="2"/>
        <scheme val="minor"/>
      </rPr>
      <t>(Source: Table 1A-1E Final Rule and Correcting Amendment)</t>
    </r>
  </si>
  <si>
    <r>
      <rPr>
        <b/>
        <sz val="11"/>
        <rFont val="Calibri"/>
        <family val="2"/>
        <scheme val="minor"/>
      </rPr>
      <t xml:space="preserve">   FINAL RULE NATIONAL ADJUSTED OPERATING STANDARDIZED AMOUNTS - Medicare Labor-related amount</t>
    </r>
    <r>
      <rPr>
        <sz val="11"/>
        <rFont val="Calibri"/>
        <family val="2"/>
        <scheme val="minor"/>
      </rPr>
      <t xml:space="preserve">
</t>
    </r>
    <r>
      <rPr>
        <sz val="9"/>
        <rFont val="Calibri"/>
        <family val="2"/>
        <scheme val="minor"/>
      </rPr>
      <t xml:space="preserve"> (Source: Table 1A-1E Final Rule and Correcting Amendment)</t>
    </r>
  </si>
  <si>
    <r>
      <rPr>
        <b/>
        <sz val="11"/>
        <rFont val="Calibri"/>
        <family val="2"/>
        <scheme val="minor"/>
      </rPr>
      <t>Note:</t>
    </r>
    <r>
      <rPr>
        <sz val="11"/>
        <rFont val="Calibri"/>
        <family val="2"/>
        <scheme val="minor"/>
      </rPr>
      <t xml:space="preserve">  Non-PPS Hospitals are assumed to be Quality Data and be meaningful EHR users since no data exists to suggest otherwise.  PPS hospitals who have a Concatenated Formula of 01, 10 or 11 will receive the correspending Non-labor &amp; labor-related amounts below</t>
    </r>
  </si>
  <si>
    <t>fields used in concat formula</t>
  </si>
  <si>
    <t>IME OPERATING/CAPITAL COMBINED
(T+U)
Non-PPS Hospital totals entered here</t>
  </si>
  <si>
    <t>GME COST ADD-ON (10% of Medicaid Cost Per Discharge) 
 (FY23-24 Amounts)</t>
  </si>
  <si>
    <t>Open</t>
  </si>
  <si>
    <t xml:space="preserve">HCPF Created field </t>
  </si>
  <si>
    <r>
      <t xml:space="preserve">Concatenated Field: Proxy Quality Reduction &amp; Proxy E H R Reductions
</t>
    </r>
    <r>
      <rPr>
        <sz val="11"/>
        <color theme="1"/>
        <rFont val="Calibri"/>
        <family val="2"/>
        <scheme val="minor"/>
      </rPr>
      <t>(BEx+BFx)</t>
    </r>
  </si>
  <si>
    <t>Concatenated Field: Proxy Quality Reduction &amp; Proxy E H R Reductions
(BEx+BFx)</t>
  </si>
  <si>
    <t>INITIAL BUDGET NEUTRALITY FACTOR</t>
  </si>
  <si>
    <r>
      <rPr>
        <b/>
        <sz val="10"/>
        <rFont val="Calibri"/>
        <family val="2"/>
        <scheme val="minor"/>
      </rPr>
      <t>FINAL RATIO FOR BUDGET NEUTRALITY</t>
    </r>
    <r>
      <rPr>
        <sz val="10"/>
        <rFont val="Calibri"/>
        <family val="2"/>
        <scheme val="minor"/>
      </rPr>
      <t>, Round 5 Budget/Estimate ratio</t>
    </r>
  </si>
  <si>
    <t>FINAL BUDGET NEUTRALITY RATIO</t>
  </si>
  <si>
    <t>Low Discharge Cost Report Yrs</t>
  </si>
  <si>
    <t>Current Network / System Hospitals</t>
  </si>
  <si>
    <r>
      <t>System or Hospital Operating Cash Flow Margin % 
(whichever is higher)</t>
    </r>
    <r>
      <rPr>
        <sz val="11"/>
        <rFont val="Calibri"/>
        <family val="2"/>
        <scheme val="minor"/>
      </rPr>
      <t xml:space="preserve"> </t>
    </r>
    <r>
      <rPr>
        <sz val="8"/>
        <rFont val="Calibri"/>
        <family val="2"/>
        <scheme val="minor"/>
      </rPr>
      <t>Based on up to 3 yrs worth of Hospital Provided Data 2019-2021</t>
    </r>
  </si>
  <si>
    <t>FY21-22 Case Mix Index</t>
  </si>
  <si>
    <t>FY21-22 Base Rate (new hosp  get peer grp avg)</t>
  </si>
  <si>
    <t>FY22-23 Base Rate</t>
  </si>
  <si>
    <t>SBA FY23-24</t>
  </si>
  <si>
    <t>ending budget neutrality factor this year</t>
  </si>
  <si>
    <t>missing 2019 data</t>
  </si>
  <si>
    <t>PF ID [Provider Fee]</t>
  </si>
  <si>
    <t>MCR ID 5 Text</t>
  </si>
  <si>
    <t>MCR ID 5 #</t>
  </si>
  <si>
    <t>Hospital type</t>
  </si>
  <si>
    <t xml:space="preserve">2019 Total Operating Revenue </t>
  </si>
  <si>
    <t xml:space="preserve">2019 Total Operating Income </t>
  </si>
  <si>
    <t xml:space="preserve">2020 Total Operating Revenue </t>
  </si>
  <si>
    <t xml:space="preserve">2020 Total Operating Income </t>
  </si>
  <si>
    <t xml:space="preserve">2021 Total Operating Revenue </t>
  </si>
  <si>
    <t xml:space="preserve">2021 Total Operating Income </t>
  </si>
  <si>
    <t xml:space="preserve">System 2019 Total Operating Revenue </t>
  </si>
  <si>
    <t xml:space="preserve">System 2019 Total Operating Income </t>
  </si>
  <si>
    <t>System 2019 Depreciation Expense</t>
  </si>
  <si>
    <t xml:space="preserve">System 2020 Total Operating Revenue </t>
  </si>
  <si>
    <t xml:space="preserve">System 2020 Total Operating Income </t>
  </si>
  <si>
    <t>System 2020 Depreciation Expense</t>
  </si>
  <si>
    <t xml:space="preserve">System 2021 Total Operating Revenue </t>
  </si>
  <si>
    <t xml:space="preserve">System 2021 Total Operating Income </t>
  </si>
  <si>
    <t>System 2021 Depreciation Expense</t>
  </si>
  <si>
    <t>2019/2020/2021 Total Operating Revenue</t>
  </si>
  <si>
    <t>2019/2020/2021 Total Operating Net Income</t>
  </si>
  <si>
    <t>2019/2020/2021 Depreciation Expense</t>
  </si>
  <si>
    <t>System 2019/2020/2021 Total Operating Revenue</t>
  </si>
  <si>
    <t>System 2019/2020/2021 Total Operating Net Income</t>
  </si>
  <si>
    <t>System 2019/2020/2021 Depreciation Expense</t>
  </si>
  <si>
    <t>2019/2020/2021 Operating Cash Flow Margin</t>
  </si>
  <si>
    <t>System 2019/2020/2021 Operating Cash Flow Margin</t>
  </si>
  <si>
    <t>61336</t>
  </si>
  <si>
    <t>61324</t>
  </si>
  <si>
    <t>61302</t>
  </si>
  <si>
    <t>61312</t>
  </si>
  <si>
    <t>61317</t>
  </si>
  <si>
    <t>61320</t>
  </si>
  <si>
    <t>61304</t>
  </si>
  <si>
    <t>61322</t>
  </si>
  <si>
    <t>61343</t>
  </si>
  <si>
    <t>61313</t>
  </si>
  <si>
    <t>61306</t>
  </si>
  <si>
    <t>61305</t>
  </si>
  <si>
    <t>61314</t>
  </si>
  <si>
    <t>61318</t>
  </si>
  <si>
    <t>61321</t>
  </si>
  <si>
    <t>61328</t>
  </si>
  <si>
    <t>61325</t>
  </si>
  <si>
    <t>61323</t>
  </si>
  <si>
    <t>61307</t>
  </si>
  <si>
    <t>61301</t>
  </si>
  <si>
    <t>61310</t>
  </si>
  <si>
    <t>61311</t>
  </si>
  <si>
    <t>61327</t>
  </si>
  <si>
    <t>61316</t>
  </si>
  <si>
    <t>61319</t>
  </si>
  <si>
    <t>61300</t>
  </si>
  <si>
    <t>61309</t>
  </si>
  <si>
    <t>61315</t>
  </si>
  <si>
    <t>60117</t>
  </si>
  <si>
    <t>60027</t>
  </si>
  <si>
    <t>60054</t>
  </si>
  <si>
    <t>60071</t>
  </si>
  <si>
    <t>60006</t>
  </si>
  <si>
    <t>60107</t>
  </si>
  <si>
    <t>60020</t>
  </si>
  <si>
    <t>60096</t>
  </si>
  <si>
    <t>60075</t>
  </si>
  <si>
    <t>System Ownership for purpose of Solvency Metric</t>
  </si>
  <si>
    <r>
      <t xml:space="preserve">Up to 3 yr Avg Medicaid Payer Mix </t>
    </r>
    <r>
      <rPr>
        <sz val="10"/>
        <rFont val="Calibri"/>
        <family val="2"/>
        <scheme val="minor"/>
      </rPr>
      <t xml:space="preserve">(includes Psych/Rehab/Other subunits) </t>
    </r>
  </si>
  <si>
    <r>
      <t xml:space="preserve">Up to 3 yr Avg Discharges </t>
    </r>
    <r>
      <rPr>
        <sz val="10"/>
        <rFont val="Calibri"/>
        <family val="2"/>
        <scheme val="minor"/>
      </rPr>
      <t xml:space="preserve">(includes Psych/Rehab/Other subunits) </t>
    </r>
  </si>
  <si>
    <r>
      <t>System or Hospital Operating Cash Flow Margin % 
(whichever is higher)</t>
    </r>
    <r>
      <rPr>
        <sz val="10"/>
        <rFont val="Calibri"/>
        <family val="2"/>
        <scheme val="minor"/>
      </rPr>
      <t xml:space="preserve"> </t>
    </r>
    <r>
      <rPr>
        <sz val="9"/>
        <rFont val="Calibri"/>
        <family val="2"/>
        <scheme val="minor"/>
      </rPr>
      <t>Based on up to 3 yrs worth of Hospital Transparency Data Provided by Hospitals to the Dept. 2019-2021</t>
    </r>
  </si>
  <si>
    <t>Missing Data on Operating Cash Flow Margin %</t>
  </si>
  <si>
    <t>missing 2021 data</t>
  </si>
  <si>
    <t>Missing Solvency Metric Data</t>
  </si>
  <si>
    <t>Medicare ID without leading 0</t>
  </si>
  <si>
    <t>Hospital Type / CMS IMPACT File for SCH/MDH</t>
  </si>
  <si>
    <t>Lifepoints</t>
  </si>
  <si>
    <t>https://www.cms.gov/files/document/fy-2023-hac-reduction-program-fact-sheet.pdf</t>
  </si>
  <si>
    <t>Urban (0), Rural (1), Pediatric (2) based on HCPF definitions</t>
  </si>
  <si>
    <t>Any questions or concerns related to this model should be directed to Diana Lambe at diana.lambe@state.co.us</t>
  </si>
  <si>
    <t>4.  Non-PPS hospitals are defined as Pediatric and Critical Access Hospitals (CAH).</t>
  </si>
  <si>
    <t>About the FY 2023-24 Inpatient Hospital Base Rate Model</t>
  </si>
  <si>
    <t>back to IP Base Rate Data Sources page</t>
  </si>
  <si>
    <t>FY22-23 BUDGET CALCULATION (based on FY21-22 claims w/SBA &amp; Caseload growth applied)</t>
  </si>
  <si>
    <t>FY 22-23 Estimated Discharges (FY 21-22 discharges adjusted by  HCPF Budget Caseload Rate for FY 22-23)</t>
  </si>
  <si>
    <t xml:space="preserve">FY22-23
Estimated Payments using New Base Rates before budget neutrality or cooridor </t>
  </si>
  <si>
    <t>Claim Counts and Case Mix Index (CMI)</t>
  </si>
  <si>
    <t xml:space="preserve">This data is pulled directly from the Department's claim system for a prior fiscal year with ~9 months run out.  This data is not posted anywhere and we do modify the claim counts for HIPAA purposes for any hospital with 30 claims or under during the particular fiscal year.  </t>
  </si>
  <si>
    <t>10% Corridor</t>
  </si>
  <si>
    <t xml:space="preserve">The prior year's inpatient base rate is used to calculate what the rate would be at +10% and -10% so that the budget neutrality formula to set rates stays within those parameters.  The intent of the 10% corridor to to prevent any hospitals inpatient base rate from increasing or decreasing by more than 10% from year to year.  </t>
  </si>
  <si>
    <t>INPATIENT BASE RATE DATA SOURCES &amp; METHODS</t>
  </si>
  <si>
    <t>Specific Details regarding the data elements used in building Inpatient Hospital Base Rates and the methods to arrive at final rates</t>
  </si>
  <si>
    <t>FINAL STEP</t>
  </si>
  <si>
    <t>Assigning FY 23-24 SBA to final rates</t>
  </si>
  <si>
    <t>The last step in the process is to assign the SBA to the inpatient base rates after budget neutrality and corridor.  Please keep in mind, that the rates shown in this final process will be slightly different from posted rates since the Department has to disguise claim counts for hospitals with 30 or less claims in a fiscal year for HIPAA reasons.  Therefore, please go to the 30-day posted rates to review your finalized rate (see link below).  The difference in final rates should be minimal.</t>
  </si>
  <si>
    <t xml:space="preserve">PLEASE GO TO POSTED RATE DOCUMENT TO REVIEW ACTUAL INPATIENT HOSPITAL BASE RATES FOR FY 23-24.  There is a 30-day period to contact the Department if any data used in your rate calculation is incorrect.  </t>
  </si>
  <si>
    <r>
      <rPr>
        <b/>
        <sz val="12"/>
        <color theme="1"/>
        <rFont val="Calibri"/>
        <family val="2"/>
        <scheme val="minor"/>
      </rPr>
      <t>Medicare Labor-related amount</t>
    </r>
    <r>
      <rPr>
        <sz val="12"/>
        <color theme="1"/>
        <rFont val="Calibri"/>
        <family val="2"/>
        <scheme val="minor"/>
      </rPr>
      <t xml:space="preserve">  (Source: Table 1A-1E Final Rule and Correcting Amendment)</t>
    </r>
  </si>
  <si>
    <r>
      <rPr>
        <b/>
        <sz val="12"/>
        <rFont val="Calibri"/>
        <family val="2"/>
        <scheme val="minor"/>
      </rPr>
      <t>Wage Index</t>
    </r>
    <r>
      <rPr>
        <sz val="12"/>
        <rFont val="Calibri"/>
        <family val="2"/>
        <scheme val="minor"/>
      </rPr>
      <t xml:space="preserve"> (Source Impact File - Corrected Amendment Final Rule - Non_PPS Hospital Wage Index=1)</t>
    </r>
  </si>
  <si>
    <r>
      <rPr>
        <b/>
        <sz val="12"/>
        <color theme="1"/>
        <rFont val="Calibri"/>
        <family val="2"/>
        <scheme val="minor"/>
      </rPr>
      <t>Medicare Non-labor Related Amount</t>
    </r>
    <r>
      <rPr>
        <sz val="12"/>
        <color theme="1"/>
        <rFont val="Calibri"/>
        <family val="2"/>
        <scheme val="minor"/>
      </rPr>
      <t xml:space="preserve"> (Source: Table 1A-1E Final Rule and Correcting Amendment)</t>
    </r>
  </si>
  <si>
    <r>
      <rPr>
        <b/>
        <sz val="12"/>
        <rFont val="Calibri"/>
        <family val="2"/>
        <scheme val="minor"/>
      </rPr>
      <t>Federal Capital Rate</t>
    </r>
    <r>
      <rPr>
        <sz val="12"/>
        <rFont val="Calibri"/>
        <family val="2"/>
        <scheme val="minor"/>
      </rPr>
      <t xml:space="preserve"> (Source:  FY 2023 CN Tables 1A-1E)</t>
    </r>
  </si>
  <si>
    <r>
      <rPr>
        <b/>
        <sz val="12"/>
        <rFont val="Calibri"/>
        <family val="2"/>
        <scheme val="minor"/>
      </rPr>
      <t>Operating Indirect Medical Education (IME) %</t>
    </r>
    <r>
      <rPr>
        <sz val="12"/>
        <rFont val="Calibri"/>
        <family val="2"/>
        <scheme val="minor"/>
      </rPr>
      <t xml:space="preserve">  (Source Impact File -Corrected Amendment Final Rule: "TCHOP")</t>
    </r>
  </si>
  <si>
    <r>
      <rPr>
        <b/>
        <sz val="12"/>
        <rFont val="Calibri"/>
        <family val="2"/>
        <scheme val="minor"/>
      </rPr>
      <t>Capital IME %</t>
    </r>
    <r>
      <rPr>
        <sz val="12"/>
        <rFont val="Calibri"/>
        <family val="2"/>
        <scheme val="minor"/>
      </rPr>
      <t xml:space="preserve">  (Source Impact File - Corrected Amendment Final Rule:  "TCHCP")</t>
    </r>
  </si>
  <si>
    <r>
      <rPr>
        <b/>
        <u/>
        <sz val="12"/>
        <color theme="10"/>
        <rFont val="Calibri"/>
        <family val="2"/>
        <scheme val="minor"/>
      </rPr>
      <t xml:space="preserve">Value Based Purchasing (VBP) Adjustment Factor (Table 16B) </t>
    </r>
    <r>
      <rPr>
        <u/>
        <sz val="12"/>
        <color theme="10"/>
        <rFont val="Calibri"/>
        <family val="2"/>
        <scheme val="minor"/>
      </rPr>
      <t xml:space="preserve">  Hospital Value-Based Purchasing (VBP) Program Adjustment Factors: Note, this table is not necessary for FY 2023.</t>
    </r>
  </si>
  <si>
    <r>
      <rPr>
        <b/>
        <u/>
        <sz val="12"/>
        <color theme="10"/>
        <rFont val="Calibri"/>
        <family val="2"/>
        <scheme val="minor"/>
      </rPr>
      <t>Readmission Factor (Table 15) FY 2023 Hospital Readmissions Reduction Program Payment Adjustment Factors:</t>
    </r>
    <r>
      <rPr>
        <u/>
        <sz val="12"/>
        <color theme="10"/>
        <rFont val="Calibri"/>
        <family val="2"/>
        <scheme val="minor"/>
      </rPr>
      <t xml:space="preserve"> This table contains the final FY 2023 payment adjustment factors CMS applies to discharges occurring on or after October 1, 2022.</t>
    </r>
  </si>
  <si>
    <r>
      <rPr>
        <b/>
        <sz val="12"/>
        <color theme="1"/>
        <rFont val="Calibri"/>
        <family val="2"/>
        <scheme val="minor"/>
      </rPr>
      <t>Provider Type:</t>
    </r>
    <r>
      <rPr>
        <sz val="12"/>
        <color theme="1"/>
        <rFont val="Calibri"/>
        <family val="2"/>
        <scheme val="minor"/>
      </rPr>
      <t xml:space="preserve">  Specifically for SCH/MDH hospitals to apply SCH/MDH add-ons.</t>
    </r>
  </si>
  <si>
    <r>
      <rPr>
        <b/>
        <sz val="12"/>
        <rFont val="Calibri"/>
        <family val="2"/>
        <scheme val="minor"/>
      </rPr>
      <t xml:space="preserve">Proxy Quality Reduction: </t>
    </r>
    <r>
      <rPr>
        <sz val="12"/>
        <rFont val="Calibri"/>
        <family val="2"/>
        <scheme val="minor"/>
      </rPr>
      <t xml:space="preserve"> Value of '1' indicates a hospital that was found not to have successfully reported designated quality measures under the Hospital Inpatient Quality Reporting (IQR) Program as shown in the March 2022 update of the Provider Specific File (PSF), and therefore was modeled as receiving a reduction to the percentage increase in the market basket index for FY 2023 under §412.64(d)(2). (Note, this variable will not reflect any subsequent adjustments, if any, to this indicator made in the PSF, and may not reflect the hospital’s final determination under the hospital IQR program.)</t>
    </r>
  </si>
  <si>
    <r>
      <rPr>
        <b/>
        <sz val="12"/>
        <rFont val="Calibri"/>
        <family val="2"/>
        <scheme val="minor"/>
      </rPr>
      <t>Proxy EHR Reduction:</t>
    </r>
    <r>
      <rPr>
        <sz val="12"/>
        <rFont val="Calibri"/>
        <family val="2"/>
        <scheme val="minor"/>
      </rPr>
      <t xml:space="preserve">  Value of '1' indicates a hospital that was found not to be a meaningful electronic health record (EHR) user for the applicable EHR reporting period and did not receive an exception as shown in the March 2022 update of the Provider Specific File (PSF), and therefore was modeled as receiving a reduction to the percentage increase in the market basket index for FY 2023 under §§ 412.64(d)(3)-(4). (Note, this variable will not reflect any subsequent adjustments, if any, to this indicator made in the PSF, and may not reflect the hospital’s final determination under the Promoting Interoperability Program.)</t>
    </r>
  </si>
  <si>
    <r>
      <rPr>
        <b/>
        <sz val="12"/>
        <color theme="1"/>
        <rFont val="Calibri"/>
        <family val="2"/>
        <scheme val="minor"/>
      </rPr>
      <t xml:space="preserve">Hospital-Acquired Condition (HAC) Payment Reduction </t>
    </r>
    <r>
      <rPr>
        <sz val="12"/>
        <color theme="1"/>
        <rFont val="Calibri"/>
        <family val="2"/>
        <scheme val="minor"/>
      </rPr>
      <t xml:space="preserve">
(CMS.gov Data Set) </t>
    </r>
  </si>
  <si>
    <r>
      <rPr>
        <b/>
        <sz val="12"/>
        <color theme="1"/>
        <rFont val="Calibri"/>
        <family val="2"/>
        <scheme val="minor"/>
      </rPr>
      <t>Mutually exclusive add-on 1</t>
    </r>
    <r>
      <rPr>
        <sz val="12"/>
        <color theme="1"/>
        <rFont val="Calibri"/>
        <family val="2"/>
        <scheme val="minor"/>
      </rPr>
      <t xml:space="preserve">:  Critical Access Hospital (CAH) (Hospitals with first 4 digit in CCN = 0613.  Excludes SCH/MDH, Low Discharge &amp; Pediatric) </t>
    </r>
  </si>
  <si>
    <r>
      <rPr>
        <b/>
        <sz val="12"/>
        <color theme="1"/>
        <rFont val="Calibri"/>
        <family val="2"/>
        <scheme val="minor"/>
      </rPr>
      <t>Mutually exclusive add-on 2:</t>
    </r>
    <r>
      <rPr>
        <sz val="12"/>
        <color theme="1"/>
        <rFont val="Calibri"/>
        <family val="2"/>
        <scheme val="minor"/>
      </rPr>
      <t xml:space="preserve">  Sole Community Hospital (SCH)/Mediare Dependent Hospital (MDH) (excludes CAH, Low Discharge &amp; Pediatric)</t>
    </r>
  </si>
  <si>
    <r>
      <rPr>
        <b/>
        <sz val="12"/>
        <color theme="1"/>
        <rFont val="Calibri"/>
        <family val="2"/>
        <scheme val="minor"/>
      </rPr>
      <t>Mututally exclusive add-on 4:</t>
    </r>
    <r>
      <rPr>
        <sz val="12"/>
        <color theme="1"/>
        <rFont val="Calibri"/>
        <family val="2"/>
        <scheme val="minor"/>
      </rPr>
      <t xml:space="preserve">  Pediatric hospital add-on (Hospitals with first 4 digit in CCN = 0633. excludes CAH, SCH/MDH &amp; Low Discharge)</t>
    </r>
  </si>
  <si>
    <r>
      <t xml:space="preserve">Link to the left will take you to the Inpatient Hospital Payment webpage where the worksheet that details how GME/IME for Non-PPS Hospitals is calculated for the current year. </t>
    </r>
    <r>
      <rPr>
        <b/>
        <sz val="12"/>
        <color theme="1"/>
        <rFont val="Calibri"/>
        <family val="2"/>
        <scheme val="minor"/>
      </rPr>
      <t xml:space="preserve"> Name of FY23-24 file:   "GME/IME for Non-PPS/IPPS IMPACT File FY23-24".</t>
    </r>
    <r>
      <rPr>
        <sz val="12"/>
        <color theme="1"/>
        <rFont val="Calibri"/>
        <family val="2"/>
        <scheme val="minor"/>
      </rPr>
      <t xml:space="preserve">   Below are the portions in the Colorado Code of Regulations that detail the requirements to have IME for Non-PPS Hospitals calculated along with what is required for GME Cost Add-ons:
</t>
    </r>
    <r>
      <rPr>
        <b/>
        <sz val="12"/>
        <color theme="1"/>
        <rFont val="Calibri"/>
        <family val="2"/>
        <scheme val="minor"/>
      </rPr>
      <t>8.300.5.A.3.b.2</t>
    </r>
    <r>
      <rPr>
        <sz val="12"/>
        <color theme="1"/>
        <rFont val="Calibri"/>
        <family val="2"/>
        <scheme val="minor"/>
      </rPr>
      <t xml:space="preserve">:  For non-PPS hospitals, Operating &amp; Capital IME % are not calculated in the IMPACT File so the Department’s Contractor will compute their Operating and Capital IME using the most recently available cost report as of January 1 in rebasing years and will require that hospitals have a CMS approved teaching program as detailed in Section 8.300.5.A.3.e. 
</t>
    </r>
    <r>
      <rPr>
        <b/>
        <sz val="12"/>
        <color theme="1"/>
        <rFont val="Calibri"/>
        <family val="2"/>
        <scheme val="minor"/>
      </rPr>
      <t>8.300.5.A.3.e:</t>
    </r>
    <r>
      <rPr>
        <sz val="12"/>
        <color theme="1"/>
        <rFont val="Calibri"/>
        <family val="2"/>
        <scheme val="minor"/>
      </rPr>
      <t xml:space="preserve">  The GME Medicaid hospital-specific cost add-on shall be an estimate of the cost per discharge for GME based on: Medicare approved GME program where legitimate GME expenses have been reported in accordance with Medicare's rules detailed in 42 C.F.R. § 413.75, et. seq.  GME will be calculated when the following two criteria are met:  
  i.    Hospitals that appear on the most recent list as of January 1 of CMS qualified teaching hospitals on the CMS Open Payments website or the hospital will need to provide documentation to the State by proving Medicare approval of the GME program.  
  ii.   Have countable GME costs in the most recent cost report available as of January 1 of rebasing years in worksheet B, part 1 and discharges from worksheet S-3, part I. </t>
    </r>
  </si>
  <si>
    <r>
      <rPr>
        <b/>
        <u/>
        <sz val="12"/>
        <color theme="10"/>
        <rFont val="Calibri"/>
        <family val="2"/>
        <scheme val="minor"/>
      </rPr>
      <t>FY 2022-23 Supplemental Requests and FY 2023-24 Budget Amendments</t>
    </r>
    <r>
      <rPr>
        <u/>
        <sz val="12"/>
        <color theme="10"/>
        <rFont val="Calibri"/>
        <family val="2"/>
        <scheme val="minor"/>
      </rPr>
      <t>- (Informational Only) Caseload and Per Capita Cost Adjustments- 02/15/2023, then go to Exhibit B:  Medicaid Caseload Forecast</t>
    </r>
  </si>
  <si>
    <r>
      <t xml:space="preserve">Data Point / Series of Calculations
</t>
    </r>
    <r>
      <rPr>
        <sz val="11"/>
        <color theme="1"/>
        <rFont val="Calibri"/>
        <family val="2"/>
        <scheme val="minor"/>
      </rPr>
      <t>(Live Link to Source where applicable)</t>
    </r>
  </si>
  <si>
    <t>Value Based Purchasing Adjustment Factor
(Table 16B)</t>
  </si>
  <si>
    <t>READMISSION FACTOR
(Table 15)</t>
  </si>
  <si>
    <t>HAC $ REDUCTION
Calculation = P*AB</t>
  </si>
  <si>
    <t>FY 2023 CMS Impact File CA</t>
  </si>
  <si>
    <r>
      <rPr>
        <b/>
        <sz val="12"/>
        <rFont val="Calibri"/>
        <family val="2"/>
        <scheme val="minor"/>
      </rPr>
      <t>HCPF Created Field</t>
    </r>
    <r>
      <rPr>
        <sz val="12"/>
        <rFont val="Calibri"/>
        <family val="2"/>
        <scheme val="minor"/>
      </rPr>
      <t xml:space="preserve"> which concatenates the two Proxy Quality Reduction &amp; Proxy E H R Reduction fields together to assign Table 1A-IE for PPS hospitals who failed to provide quality data and quality Electronic Health Records
(Columns BE+BF in worksheet "FY 2023 IMPACT FILE CA")</t>
    </r>
  </si>
  <si>
    <r>
      <rPr>
        <b/>
        <sz val="12"/>
        <rFont val="Calibri"/>
        <family val="2"/>
        <scheme val="minor"/>
      </rPr>
      <t>Geographic Adjustment Factor (GAF)</t>
    </r>
    <r>
      <rPr>
        <sz val="12"/>
        <rFont val="Calibri"/>
        <family val="2"/>
        <scheme val="minor"/>
      </rPr>
      <t xml:space="preserve">  (Source Impact File - Corrected Amendment Final Rule)
Non-PPS Hopital GAF=1</t>
    </r>
  </si>
  <si>
    <r>
      <rPr>
        <b/>
        <sz val="12"/>
        <rFont val="Calibri"/>
        <family val="2"/>
        <scheme val="minor"/>
      </rPr>
      <t>Solvency Metric</t>
    </r>
    <r>
      <rPr>
        <sz val="12"/>
        <rFont val="Calibri"/>
        <family val="2"/>
        <scheme val="minor"/>
      </rPr>
      <t>:  Operating Cash Flow Margin Percent Add-on (also known as solvency metric) is set at 20% with a ceiling of 8% and floor of 0%. The source for this data is up to 3 years of Hospital Transparency Data that is generated by each hospital and sent into the Department.   The Operating Cash Flow Margin Percent Add-on is calculated for all hospitals and is based on the maximum of the hospital or the hospital system’s operating cash flow margin percent.   System hospital list can be found on the Department's website in this model document.  Operating Cash Flow Margin Percent is calculated by taking (Total Operating Net Income +  Depreciation Expense) / Total Operating Revenue.</t>
    </r>
  </si>
  <si>
    <r>
      <rPr>
        <b/>
        <u/>
        <sz val="12"/>
        <color theme="10"/>
        <rFont val="Calibri"/>
        <family val="2"/>
        <scheme val="minor"/>
      </rPr>
      <t xml:space="preserve">Payer mix add-on </t>
    </r>
    <r>
      <rPr>
        <u/>
        <sz val="12"/>
        <color theme="10"/>
        <rFont val="Calibri"/>
        <family val="2"/>
        <scheme val="minor"/>
      </rPr>
      <t xml:space="preserve"> (Source:  3 yr avg Medicaid Payer Mix based on cost reports available as of Jan 1 of rebasing years)
 </t>
    </r>
    <r>
      <rPr>
        <b/>
        <u/>
        <sz val="12"/>
        <color theme="10"/>
        <rFont val="Calibri"/>
        <family val="2"/>
        <scheme val="minor"/>
      </rPr>
      <t xml:space="preserve">   Medicaid Days</t>
    </r>
    <r>
      <rPr>
        <u/>
        <sz val="12"/>
        <color theme="10"/>
        <rFont val="Calibri"/>
        <family val="2"/>
        <scheme val="minor"/>
      </rPr>
      <t xml:space="preserve">:   From Hospital Form 2552-10, Worksheet S-3, Part I, Col. 7_Lines 2, 14, 16 (Psych) and 17 (Rehab), and 18 (other subunits) divided by
    </t>
    </r>
    <r>
      <rPr>
        <b/>
        <u/>
        <sz val="12"/>
        <color theme="10"/>
        <rFont val="Calibri"/>
        <family val="2"/>
        <scheme val="minor"/>
      </rPr>
      <t>Total Days:</t>
    </r>
    <r>
      <rPr>
        <u/>
        <sz val="12"/>
        <color theme="10"/>
        <rFont val="Calibri"/>
        <family val="2"/>
        <scheme val="minor"/>
      </rPr>
      <t>   From Hospital Form 2552-10, Worksheet S-3, Part I, Col. 8_Lines 14, 16 and 17, and 18.
See "Characteristics" tab for data totals and cost report years used.</t>
    </r>
  </si>
  <si>
    <r>
      <rPr>
        <b/>
        <u/>
        <sz val="12"/>
        <color theme="10"/>
        <rFont val="Calibri"/>
        <family val="2"/>
        <scheme val="minor"/>
      </rPr>
      <t>Mutually exclusive add-on 3:  Low discharge add-on</t>
    </r>
    <r>
      <rPr>
        <u/>
        <sz val="12"/>
        <color theme="10"/>
        <rFont val="Calibri"/>
        <family val="2"/>
        <scheme val="minor"/>
      </rPr>
      <t xml:space="preserve"> (Source:  3 yr avg Total Discharges based on cost reports available as of Jan 1 of rebasing years Total Discharges - includes psych and rehab unit &amp; other subunit discharges for hospitals with those subunits) (excludes CAH, SCH/MDH &amp; Pediatric)
  </t>
    </r>
    <r>
      <rPr>
        <b/>
        <u/>
        <sz val="12"/>
        <color theme="10"/>
        <rFont val="Calibri"/>
        <family val="2"/>
        <scheme val="minor"/>
      </rPr>
      <t>Total Discharges:</t>
    </r>
    <r>
      <rPr>
        <u/>
        <sz val="12"/>
        <color theme="10"/>
        <rFont val="Calibri"/>
        <family val="2"/>
        <scheme val="minor"/>
      </rPr>
      <t>  From Hospital Form 2552-10, Worksheet S-3, Part I, Col. 15_Lines 14, 16 and 17, and 18
See "Characteristics" tab for data totals and cost report years used.</t>
    </r>
  </si>
  <si>
    <t>5 digit Medicare ID</t>
  </si>
  <si>
    <t>Urban Avg</t>
  </si>
  <si>
    <t>Rural Avg</t>
  </si>
  <si>
    <t>OOS Urban Avg</t>
  </si>
  <si>
    <t>00S Rural Avg</t>
  </si>
  <si>
    <t>Slides from 11/2022 Hosp Eng Mtg where the timeline was first presented</t>
  </si>
  <si>
    <r>
      <rPr>
        <b/>
        <sz val="12"/>
        <color theme="1"/>
        <rFont val="Calibri"/>
        <family val="2"/>
        <scheme val="minor"/>
      </rPr>
      <t>Estimating the Budget Amount (how much can be spent (aka budget neutrality):</t>
    </r>
    <r>
      <rPr>
        <sz val="12"/>
        <color theme="1"/>
        <rFont val="Calibri"/>
        <family val="2"/>
        <scheme val="minor"/>
      </rPr>
      <t xml:space="preserve">
The function of budget neutrality is to estimate the budget for the prior fiscal year using updated figures, thereby working within the limit allotted to us through state and federal authorities. 1) For FY 22-23, the Department pulls claim counts for FY 21-22 (with minimum 6 month run-out) and uses the volume inflator for FY 22-23 to estimate the expected claims counts.  2) The Case Mix Index (CMI = total DRG weight / claim count) is calculated for each hospital for FY 21-22.  The budget for FY 22-23 is calculated by taking the claim count in step 1 and multipling it by the CMI (2) along with the hospital's inpatient base rate to get an estimated budget for FY 22-23.    
</t>
    </r>
    <r>
      <rPr>
        <b/>
        <sz val="12"/>
        <color theme="1"/>
        <rFont val="Calibri"/>
        <family val="2"/>
        <scheme val="minor"/>
      </rPr>
      <t xml:space="preserve">The Iterative Budget Neutrality Calculation:
</t>
    </r>
    <r>
      <rPr>
        <sz val="12"/>
        <color theme="1"/>
        <rFont val="Calibri"/>
        <family val="2"/>
        <scheme val="minor"/>
      </rPr>
      <t xml:space="preserve">The newly estimated budget figure for FY 22-23 is then compared against the new base rate calculations after add-ons.  This results in a ratio of how much we can spend of that new base rate calculation and it is the first step in an iterative budget neutrality process.  The first round budget neutrality ratio is applied against each hospital's newly calculated base rate and then compared against the +/-10% corridor to see what hospitals are outside the capped rates.  Those rates are then capped and that rate and will not be subject to further refinement of the ratio.  After capping the rate, the residual dollars are thrown back into the mix to be distributed to other hospitals that have not yet had their rate capped.  This process continues until the new rates are adjusted and the total spend equal the budget neutrality spend.  A final check is done to ensure the process is complete.  The Department currently made this a 5-round process but can and will expand it in future years to more rounds if necessary.  </t>
    </r>
  </si>
  <si>
    <r>
      <rPr>
        <b/>
        <sz val="12"/>
        <color theme="1"/>
        <rFont val="Calibri"/>
        <family val="2"/>
        <scheme val="minor"/>
      </rPr>
      <t>Budget Neutrality</t>
    </r>
    <r>
      <rPr>
        <sz val="12"/>
        <color theme="1"/>
        <rFont val="Calibri"/>
        <family val="2"/>
        <scheme val="minor"/>
      </rPr>
      <t xml:space="preserve"> (How much money can be spent among all hospitals and how the final base rates fit within the 10% corridor)</t>
    </r>
  </si>
  <si>
    <t>2019 Depreciation Expense</t>
  </si>
  <si>
    <t>2021 Depreciation Expense</t>
  </si>
  <si>
    <t>2020 Depreciation Expense</t>
  </si>
  <si>
    <t>HIPAA ADJUSTED CLM CTS</t>
  </si>
  <si>
    <t>HIPAA check - no claim counts less than 30</t>
  </si>
  <si>
    <r>
      <rPr>
        <b/>
        <sz val="12"/>
        <rFont val="Calibri"/>
        <family val="2"/>
        <scheme val="minor"/>
      </rPr>
      <t>3% provider rate increase</t>
    </r>
    <r>
      <rPr>
        <sz val="12"/>
        <rFont val="Calibri"/>
        <family val="2"/>
        <scheme val="minor"/>
      </rPr>
      <t>.  Link to the left leads to Long Bill Narrative for S.B. 23-214, see top of page 61 for the 3% Community provider rate increase.</t>
    </r>
  </si>
  <si>
    <r>
      <t xml:space="preserve">FY22-23 Base Rate </t>
    </r>
    <r>
      <rPr>
        <sz val="8"/>
        <rFont val="Calibri"/>
        <family val="2"/>
        <scheme val="minor"/>
      </rPr>
      <t>(New Hosp get Peer Group Avg)</t>
    </r>
  </si>
  <si>
    <t>5.  This is Version 1.0 for Inpatient Hospital Base Rate Model HIPAA Version, posted 5.26.2023</t>
  </si>
  <si>
    <t>FINAL MODEL RATES AFTER APPLYING SBA</t>
  </si>
  <si>
    <t>3.  Please access "INPATIENT HOSPITAL BASE RATES FY23-24" document for the 30-day review of Inpatient Hospital Base Rates.  The rates listed in this document will be what hospitals are paid in FY 2023-24.</t>
  </si>
  <si>
    <t>1.  The model is meant to provide transparency to our hospital stakeholders so they know exactly how their rates are calculated.</t>
  </si>
  <si>
    <r>
      <t xml:space="preserve">2.  Hospitals Discharges of less than or equal to 30 are masked to adhere to HIPAA rules. </t>
    </r>
    <r>
      <rPr>
        <i/>
        <sz val="14"/>
        <color theme="1"/>
        <rFont val="Calibri"/>
        <family val="2"/>
        <scheme val="minor"/>
      </rPr>
      <t xml:space="preserve"> </t>
    </r>
    <r>
      <rPr>
        <i/>
        <sz val="14"/>
        <color rgb="FFFF0000"/>
        <rFont val="Calibri"/>
        <family val="2"/>
        <scheme val="minor"/>
      </rPr>
      <t>Therefore, draft rates presented in this model and all future models will differ slightly from actual rates.  Actual rates are, on average, 20 cents higher than HIPAA version of rates in this model.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</si>
</sst>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0_);\(#,##0.0000\)"/>
    <numFmt numFmtId="166" formatCode="0.0000"/>
    <numFmt numFmtId="167" formatCode="&quot;$&quot;#,##0.00"/>
    <numFmt numFmtId="168" formatCode="0.00000"/>
    <numFmt numFmtId="169" formatCode="#,###;\(#,###\)"/>
    <numFmt numFmtId="170" formatCode="0.000"/>
    <numFmt numFmtId="171" formatCode="&quot;$&quot;#,##0.000"/>
    <numFmt numFmtId="172" formatCode="0.000000"/>
    <numFmt numFmtId="173" formatCode="0.000000000"/>
    <numFmt numFmtId="174" formatCode="_(&quot;$&quot;* #,##0_);_(&quot;$&quot;* \(#,##0\);_(&quot;$&quot;* &quot;-&quot;??_);_(@_)"/>
  </numFmts>
  <fonts count="102" x14ac:knownFonts="1">
    <font>
      <sz val="11"/>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9"/>
      <color indexed="81"/>
      <name val="Tahoma"/>
      <family val="2"/>
    </font>
    <font>
      <b/>
      <sz val="9"/>
      <color indexed="81"/>
      <name val="Tahoma"/>
      <family val="2"/>
    </font>
    <font>
      <i/>
      <sz val="10"/>
      <color rgb="FF0000CC"/>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name val="Calibri"/>
      <family val="2"/>
      <scheme val="minor"/>
    </font>
    <font>
      <b/>
      <sz val="11"/>
      <color rgb="FFFF0000"/>
      <name val="Calibri"/>
      <family val="2"/>
      <scheme val="minor"/>
    </font>
    <font>
      <b/>
      <sz val="8"/>
      <name val="Calibri"/>
      <family val="2"/>
      <scheme val="minor"/>
    </font>
    <font>
      <b/>
      <sz val="9"/>
      <name val="Calibri"/>
      <family val="2"/>
      <scheme val="minor"/>
    </font>
    <font>
      <sz val="11"/>
      <name val="Calibri"/>
      <family val="2"/>
      <scheme val="minor"/>
    </font>
    <font>
      <b/>
      <sz val="16"/>
      <name val="Calibri"/>
      <family val="2"/>
      <scheme val="minor"/>
    </font>
    <font>
      <b/>
      <sz val="12"/>
      <name val="Calibri"/>
      <family val="2"/>
      <scheme val="minor"/>
    </font>
    <font>
      <sz val="10"/>
      <name val="Calibri"/>
      <family val="2"/>
      <scheme val="minor"/>
    </font>
    <font>
      <sz val="8"/>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i/>
      <sz val="10"/>
      <color rgb="FFFF0000"/>
      <name val="Calibri"/>
      <family val="2"/>
      <scheme val="minor"/>
    </font>
    <font>
      <sz val="10"/>
      <name val="Times New Roman"/>
      <family val="1"/>
    </font>
    <font>
      <u/>
      <sz val="10"/>
      <color theme="10"/>
      <name val="Times New Roman"/>
      <family val="1"/>
    </font>
    <font>
      <u/>
      <sz val="10"/>
      <color theme="10"/>
      <name val="Calibri"/>
      <family val="2"/>
      <scheme val="minor"/>
    </font>
    <font>
      <sz val="9"/>
      <name val="Calibri"/>
      <family val="2"/>
      <scheme val="minor"/>
    </font>
    <font>
      <sz val="11"/>
      <name val="Calibri"/>
      <family val="2"/>
    </font>
    <font>
      <sz val="9"/>
      <color theme="1"/>
      <name val="Calibri"/>
      <family val="2"/>
      <scheme val="minor"/>
    </font>
    <font>
      <b/>
      <sz val="10"/>
      <color theme="0"/>
      <name val="Calibri"/>
      <family val="2"/>
      <scheme val="minor"/>
    </font>
    <font>
      <sz val="10"/>
      <color rgb="FF7030A0"/>
      <name val="Calibri"/>
      <family val="2"/>
      <scheme val="minor"/>
    </font>
    <font>
      <sz val="10"/>
      <color rgb="FF002060"/>
      <name val="Calibri"/>
      <family val="2"/>
      <scheme val="minor"/>
    </font>
    <font>
      <b/>
      <u/>
      <sz val="10"/>
      <color rgb="FF0000CC"/>
      <name val="Calibri"/>
      <family val="2"/>
      <scheme val="minor"/>
    </font>
    <font>
      <sz val="10"/>
      <color rgb="FF0000CC"/>
      <name val="Calibri"/>
      <family val="2"/>
      <scheme val="minor"/>
    </font>
    <font>
      <sz val="8"/>
      <color theme="1"/>
      <name val="Calibri"/>
      <family val="2"/>
      <scheme val="minor"/>
    </font>
    <font>
      <i/>
      <sz val="9"/>
      <color rgb="FF0000CC"/>
      <name val="Calibri"/>
      <family val="2"/>
      <scheme val="minor"/>
    </font>
    <font>
      <b/>
      <u/>
      <sz val="16"/>
      <color theme="10"/>
      <name val="Calibri"/>
      <family val="2"/>
      <scheme val="minor"/>
    </font>
    <font>
      <sz val="11"/>
      <color rgb="FFFF0000"/>
      <name val="Calibri"/>
      <family val="2"/>
      <scheme val="minor"/>
    </font>
    <font>
      <b/>
      <u/>
      <sz val="10"/>
      <name val="Calibri"/>
      <family val="2"/>
      <scheme val="minor"/>
    </font>
    <font>
      <sz val="12"/>
      <color theme="1"/>
      <name val="Calibri"/>
      <family val="2"/>
      <scheme val="minor"/>
    </font>
    <font>
      <b/>
      <sz val="18"/>
      <color theme="1"/>
      <name val="Calibri"/>
      <family val="2"/>
      <scheme val="minor"/>
    </font>
    <font>
      <sz val="10"/>
      <color rgb="FF222222"/>
      <name val="Calibri"/>
      <family val="2"/>
      <scheme val="minor"/>
    </font>
    <font>
      <b/>
      <sz val="11"/>
      <color theme="0"/>
      <name val="Calibri"/>
      <family val="2"/>
      <scheme val="minor"/>
    </font>
    <font>
      <sz val="12"/>
      <name val="Calibri"/>
      <family val="2"/>
      <scheme val="minor"/>
    </font>
    <font>
      <b/>
      <sz val="14"/>
      <color theme="1"/>
      <name val="Calibri"/>
      <family val="2"/>
      <scheme val="minor"/>
    </font>
    <font>
      <b/>
      <sz val="12"/>
      <color theme="1"/>
      <name val="Calibri"/>
      <family val="2"/>
      <scheme val="minor"/>
    </font>
    <font>
      <b/>
      <sz val="10"/>
      <color rgb="FF0000CC"/>
      <name val="Calibri"/>
      <family val="2"/>
      <scheme val="minor"/>
    </font>
    <font>
      <b/>
      <sz val="10"/>
      <color rgb="FF00B0F0"/>
      <name val="Calibri"/>
      <family val="2"/>
      <scheme val="minor"/>
    </font>
    <font>
      <sz val="9"/>
      <color rgb="FF282829"/>
      <name val="Segoe UI"/>
      <family val="2"/>
    </font>
    <font>
      <b/>
      <i/>
      <sz val="8"/>
      <color theme="0"/>
      <name val="Calibri"/>
      <family val="2"/>
      <scheme val="minor"/>
    </font>
    <font>
      <u/>
      <sz val="14"/>
      <color theme="10"/>
      <name val="Calibri"/>
      <family val="2"/>
      <scheme val="minor"/>
    </font>
    <font>
      <sz val="14"/>
      <color theme="1"/>
      <name val="Calibri"/>
      <family val="2"/>
      <scheme val="minor"/>
    </font>
    <font>
      <i/>
      <sz val="10"/>
      <name val="Calibri"/>
      <family val="2"/>
      <scheme val="minor"/>
    </font>
    <font>
      <b/>
      <u/>
      <sz val="11"/>
      <color theme="1"/>
      <name val="Calibri"/>
      <family val="2"/>
      <scheme val="minor"/>
    </font>
    <font>
      <b/>
      <sz val="14"/>
      <name val="Arial"/>
      <family val="2"/>
    </font>
    <font>
      <b/>
      <sz val="11"/>
      <name val="Arial"/>
      <family val="2"/>
    </font>
    <font>
      <sz val="11"/>
      <name val="Arial"/>
      <family val="2"/>
    </font>
    <font>
      <sz val="12"/>
      <name val="Arial"/>
      <family val="2"/>
    </font>
    <font>
      <sz val="10"/>
      <name val="Arial"/>
      <family val="2"/>
    </font>
    <font>
      <b/>
      <sz val="12"/>
      <name val="Arial"/>
      <family val="2"/>
    </font>
    <font>
      <b/>
      <sz val="10"/>
      <name val="Arial"/>
      <family val="2"/>
    </font>
    <font>
      <sz val="12"/>
      <name val="Times New Roman"/>
      <family val="1"/>
    </font>
    <font>
      <sz val="11"/>
      <color rgb="FF000000"/>
      <name val="Calibri"/>
      <family val="2"/>
      <scheme val="minor"/>
    </font>
    <font>
      <vertAlign val="superscript"/>
      <sz val="11"/>
      <name val="Calibri"/>
      <family val="2"/>
      <scheme val="minor"/>
    </font>
    <font>
      <sz val="11"/>
      <color rgb="FF333333"/>
      <name val="Calibri"/>
      <family val="2"/>
      <scheme val="minor"/>
    </font>
    <font>
      <b/>
      <sz val="14"/>
      <color theme="0"/>
      <name val="Calibri"/>
      <family val="2"/>
      <scheme val="minor"/>
    </font>
    <font>
      <b/>
      <sz val="13"/>
      <color rgb="FFFFFFFF"/>
      <name val="Arial"/>
      <family val="2"/>
    </font>
    <font>
      <b/>
      <sz val="9"/>
      <color rgb="FFFFFFFF"/>
      <name val="Arial"/>
      <family val="2"/>
    </font>
    <font>
      <b/>
      <sz val="9"/>
      <color rgb="FF17365D"/>
      <name val="Arial"/>
      <family val="2"/>
    </font>
    <font>
      <sz val="9"/>
      <color rgb="FF000000"/>
      <name val="Arial"/>
      <family val="2"/>
    </font>
    <font>
      <sz val="8"/>
      <color rgb="FF000000"/>
      <name val="Calibri"/>
      <family val="2"/>
      <scheme val="minor"/>
    </font>
    <font>
      <sz val="11"/>
      <color rgb="FF0070C0"/>
      <name val="Calibri"/>
      <family val="2"/>
      <scheme val="minor"/>
    </font>
    <font>
      <sz val="10"/>
      <color theme="1"/>
      <name val="Arial"/>
      <family val="2"/>
    </font>
    <font>
      <u/>
      <sz val="12"/>
      <color theme="10"/>
      <name val="Calibri"/>
      <family val="2"/>
      <scheme val="minor"/>
    </font>
    <font>
      <b/>
      <strike/>
      <sz val="11"/>
      <color theme="1"/>
      <name val="Calibri"/>
      <family val="2"/>
      <scheme val="minor"/>
    </font>
    <font>
      <sz val="11"/>
      <color rgb="FF00B050"/>
      <name val="Calibri"/>
      <family val="2"/>
      <scheme val="minor"/>
    </font>
    <font>
      <b/>
      <sz val="12"/>
      <color theme="0"/>
      <name val="Arial Bold"/>
    </font>
    <font>
      <b/>
      <sz val="12"/>
      <color rgb="FFFFFFFF"/>
      <name val="Arial Bold"/>
    </font>
    <font>
      <sz val="11"/>
      <color rgb="FF00B050"/>
      <name val="Arial"/>
      <family val="2"/>
    </font>
    <font>
      <b/>
      <sz val="11"/>
      <color rgb="FF00B050"/>
      <name val="Calibri"/>
      <family val="2"/>
      <scheme val="minor"/>
    </font>
    <font>
      <b/>
      <sz val="9"/>
      <color rgb="FF0070C0"/>
      <name val="Calibri"/>
      <family val="2"/>
      <scheme val="minor"/>
    </font>
    <font>
      <b/>
      <i/>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rgb="FF9C6500"/>
      <name val="Calibri"/>
      <family val="2"/>
      <scheme val="minor"/>
    </font>
    <font>
      <sz val="14"/>
      <color rgb="FFFF0000"/>
      <name val="Calibri"/>
      <family val="2"/>
      <scheme val="minor"/>
    </font>
    <font>
      <b/>
      <sz val="20"/>
      <color theme="1"/>
      <name val="Calibri"/>
      <family val="2"/>
      <scheme val="minor"/>
    </font>
    <font>
      <b/>
      <u/>
      <sz val="12"/>
      <color theme="10"/>
      <name val="Calibri"/>
      <family val="2"/>
      <scheme val="minor"/>
    </font>
    <font>
      <i/>
      <sz val="14"/>
      <color theme="1"/>
      <name val="Calibri"/>
      <family val="2"/>
      <scheme val="minor"/>
    </font>
    <font>
      <sz val="9"/>
      <name val="Arial"/>
      <family val="2"/>
    </font>
    <font>
      <b/>
      <sz val="10"/>
      <color rgb="FF0070C0"/>
      <name val="Calibri"/>
      <family val="2"/>
      <scheme val="minor"/>
    </font>
    <font>
      <b/>
      <sz val="11"/>
      <color rgb="FF0070C0"/>
      <name val="Calibri"/>
      <family val="2"/>
      <scheme val="minor"/>
    </font>
    <font>
      <i/>
      <sz val="14"/>
      <color rgb="FFFF0000"/>
      <name val="Calibri"/>
      <family val="2"/>
      <scheme val="minor"/>
    </font>
  </fonts>
  <fills count="6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B79EC"/>
        <bgColor indexed="64"/>
      </patternFill>
    </fill>
    <fill>
      <patternFill patternType="solid">
        <fgColor rgb="FF00B050"/>
        <bgColor indexed="64"/>
      </patternFill>
    </fill>
    <fill>
      <patternFill patternType="solid">
        <fgColor rgb="FFFF0000"/>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00B0F0"/>
        <bgColor indexed="64"/>
      </patternFill>
    </fill>
    <fill>
      <patternFill patternType="solid">
        <fgColor theme="1"/>
        <bgColor indexed="64"/>
      </patternFill>
    </fill>
    <fill>
      <patternFill patternType="solid">
        <fgColor indexed="8"/>
        <bgColor indexed="64"/>
      </patternFill>
    </fill>
    <fill>
      <patternFill patternType="solid">
        <fgColor rgb="FF000000"/>
        <bgColor indexed="64"/>
      </patternFill>
    </fill>
    <fill>
      <patternFill patternType="solid">
        <fgColor rgb="FFA6A6A6"/>
        <bgColor indexed="64"/>
      </patternFill>
    </fill>
    <fill>
      <patternFill patternType="solid">
        <fgColor rgb="FFDDEBF7"/>
        <bgColor indexed="64"/>
      </patternFill>
    </fill>
    <fill>
      <patternFill patternType="solid">
        <fgColor rgb="FFFFFFCC"/>
      </patternFill>
    </fill>
    <fill>
      <patternFill patternType="solid">
        <fgColor theme="9" tint="0.39997558519241921"/>
        <bgColor indexed="64"/>
      </patternFill>
    </fill>
    <fill>
      <patternFill patternType="solid">
        <fgColor theme="2"/>
        <bgColor indexed="64"/>
      </patternFill>
    </fill>
    <fill>
      <patternFill patternType="solid">
        <fgColor rgb="FFFF99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rgb="FF000000"/>
      </left>
      <right/>
      <top/>
      <bottom style="medium">
        <color rgb="FF000000"/>
      </bottom>
      <diagonal/>
    </border>
    <border>
      <left style="medium">
        <color rgb="FF000000"/>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s>
  <cellStyleXfs count="60">
    <xf numFmtId="0" fontId="0" fillId="0" borderId="0"/>
    <xf numFmtId="9" fontId="3"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23" fillId="0" borderId="0"/>
    <xf numFmtId="0" fontId="24" fillId="0" borderId="0" applyNumberFormat="0" applyFill="0" applyBorder="0" applyAlignment="0" applyProtection="0"/>
    <xf numFmtId="0" fontId="23" fillId="0" borderId="0"/>
    <xf numFmtId="169" fontId="23" fillId="0" borderId="0" applyFont="0" applyFill="0" applyBorder="0" applyAlignment="0" applyProtection="0"/>
    <xf numFmtId="0" fontId="58" fillId="0" borderId="0"/>
    <xf numFmtId="0" fontId="3" fillId="0" borderId="0"/>
    <xf numFmtId="0" fontId="58" fillId="0" borderId="0"/>
    <xf numFmtId="14" fontId="72" fillId="6" borderId="0" applyFont="0" applyFill="0" applyBorder="0" applyProtection="0">
      <alignment horizontal="center" vertical="center"/>
    </xf>
    <xf numFmtId="0" fontId="72" fillId="0" borderId="0"/>
    <xf numFmtId="0" fontId="9" fillId="0" borderId="0" applyNumberFormat="0" applyFont="0" applyFill="0" applyBorder="0" applyAlignment="0" applyProtection="0"/>
    <xf numFmtId="0" fontId="27" fillId="0" borderId="0"/>
    <xf numFmtId="0" fontId="3" fillId="0" borderId="0"/>
    <xf numFmtId="0" fontId="3" fillId="0" borderId="0"/>
    <xf numFmtId="0" fontId="58" fillId="25" borderId="0">
      <alignment horizontal="center" vertical="center" wrapText="1"/>
    </xf>
    <xf numFmtId="0" fontId="3" fillId="26" borderId="42" applyNumberFormat="0" applyFont="0" applyAlignment="0" applyProtection="0"/>
    <xf numFmtId="0" fontId="82" fillId="0" borderId="0" applyNumberFormat="0" applyFill="0" applyBorder="0" applyAlignment="0" applyProtection="0"/>
    <xf numFmtId="0" fontId="83" fillId="0" borderId="43" applyNumberFormat="0" applyFill="0" applyAlignment="0" applyProtection="0"/>
    <xf numFmtId="0" fontId="84" fillId="0" borderId="44" applyNumberFormat="0" applyFill="0" applyAlignment="0" applyProtection="0"/>
    <xf numFmtId="0" fontId="85" fillId="0" borderId="45" applyNumberFormat="0" applyFill="0" applyAlignment="0" applyProtection="0"/>
    <xf numFmtId="0" fontId="85" fillId="0" borderId="0" applyNumberFormat="0" applyFill="0" applyBorder="0" applyAlignment="0" applyProtection="0"/>
    <xf numFmtId="0" fontId="86" fillId="30" borderId="0" applyNumberFormat="0" applyBorder="0" applyAlignment="0" applyProtection="0"/>
    <xf numFmtId="0" fontId="87" fillId="31" borderId="0" applyNumberFormat="0" applyBorder="0" applyAlignment="0" applyProtection="0"/>
    <xf numFmtId="0" fontId="88" fillId="33" borderId="46" applyNumberFormat="0" applyAlignment="0" applyProtection="0"/>
    <xf numFmtId="0" fontId="89" fillId="34" borderId="47" applyNumberFormat="0" applyAlignment="0" applyProtection="0"/>
    <xf numFmtId="0" fontId="90" fillId="34" borderId="46" applyNumberFormat="0" applyAlignment="0" applyProtection="0"/>
    <xf numFmtId="0" fontId="91" fillId="0" borderId="48" applyNumberFormat="0" applyFill="0" applyAlignment="0" applyProtection="0"/>
    <xf numFmtId="0" fontId="42" fillId="35" borderId="49" applyNumberFormat="0" applyAlignment="0" applyProtection="0"/>
    <xf numFmtId="0" fontId="37" fillId="0" borderId="0" applyNumberFormat="0" applyFill="0" applyBorder="0" applyAlignment="0" applyProtection="0"/>
    <xf numFmtId="0" fontId="92" fillId="0" borderId="0" applyNumberFormat="0" applyFill="0" applyBorder="0" applyAlignment="0" applyProtection="0"/>
    <xf numFmtId="0" fontId="7" fillId="0" borderId="50" applyNumberFormat="0" applyFill="0" applyAlignment="0" applyProtection="0"/>
    <xf numFmtId="0" fontId="8"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8"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8"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8"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8"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8"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93" fillId="32" borderId="0" applyNumberFormat="0" applyBorder="0" applyAlignment="0" applyProtection="0"/>
    <xf numFmtId="0" fontId="8" fillId="39" borderId="0" applyNumberFormat="0" applyBorder="0" applyAlignment="0" applyProtection="0"/>
    <xf numFmtId="0" fontId="8" fillId="43" borderId="0" applyNumberFormat="0" applyBorder="0" applyAlignment="0" applyProtection="0"/>
    <xf numFmtId="0" fontId="8" fillId="47" borderId="0" applyNumberFormat="0" applyBorder="0" applyAlignment="0" applyProtection="0"/>
    <xf numFmtId="0" fontId="8" fillId="51"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cellStyleXfs>
  <cellXfs count="694">
    <xf numFmtId="0" fontId="0" fillId="0" borderId="0" xfId="0"/>
    <xf numFmtId="0" fontId="1" fillId="0" borderId="0" xfId="0" applyFont="1" applyAlignment="1">
      <alignment horizontal="center"/>
    </xf>
    <xf numFmtId="0" fontId="1" fillId="0" borderId="0" xfId="0" applyFont="1"/>
    <xf numFmtId="37" fontId="1" fillId="0" borderId="0" xfId="0" applyNumberFormat="1" applyFont="1"/>
    <xf numFmtId="37" fontId="1" fillId="0" borderId="0" xfId="0" applyNumberFormat="1" applyFont="1" applyAlignment="1">
      <alignment horizontal="center"/>
    </xf>
    <xf numFmtId="0" fontId="6" fillId="0" borderId="0" xfId="0" applyFont="1"/>
    <xf numFmtId="37" fontId="6" fillId="0" borderId="0" xfId="0" applyNumberFormat="1" applyFont="1"/>
    <xf numFmtId="37" fontId="6" fillId="0" borderId="0" xfId="0" applyNumberFormat="1" applyFont="1" applyAlignment="1">
      <alignment horizontal="center"/>
    </xf>
    <xf numFmtId="9" fontId="6" fillId="0" borderId="0" xfId="1" applyFont="1" applyAlignment="1">
      <alignment horizontal="center"/>
    </xf>
    <xf numFmtId="0" fontId="0" fillId="6" borderId="0" xfId="0" applyFill="1"/>
    <xf numFmtId="0" fontId="1" fillId="0" borderId="0" xfId="0" applyFont="1" applyAlignment="1">
      <alignment horizontal="left"/>
    </xf>
    <xf numFmtId="0" fontId="10" fillId="7" borderId="1" xfId="0" applyFont="1" applyFill="1" applyBorder="1" applyAlignment="1">
      <alignment horizontal="left" vertical="center"/>
    </xf>
    <xf numFmtId="0" fontId="14" fillId="6" borderId="1" xfId="0" applyFont="1" applyFill="1" applyBorder="1" applyAlignment="1">
      <alignment horizontal="left" vertical="center"/>
    </xf>
    <xf numFmtId="0" fontId="17" fillId="0" borderId="0" xfId="0" applyFont="1"/>
    <xf numFmtId="0" fontId="14" fillId="0" borderId="0" xfId="0" applyFont="1"/>
    <xf numFmtId="2" fontId="14" fillId="6" borderId="0" xfId="0" applyNumberFormat="1" applyFont="1" applyFill="1"/>
    <xf numFmtId="0" fontId="14" fillId="6" borderId="0" xfId="0" applyFont="1" applyFill="1" applyAlignment="1">
      <alignment vertical="center"/>
    </xf>
    <xf numFmtId="49" fontId="14" fillId="6" borderId="0" xfId="0" applyNumberFormat="1" applyFont="1" applyFill="1" applyAlignment="1">
      <alignment vertical="center"/>
    </xf>
    <xf numFmtId="0" fontId="14" fillId="6" borderId="0" xfId="0" applyFont="1" applyFill="1" applyAlignment="1">
      <alignment horizontal="center"/>
    </xf>
    <xf numFmtId="0" fontId="14" fillId="6" borderId="1" xfId="0" applyFont="1" applyFill="1" applyBorder="1" applyAlignment="1">
      <alignment horizontal="center" vertical="center"/>
    </xf>
    <xf numFmtId="2" fontId="14" fillId="6" borderId="8" xfId="0" applyNumberFormat="1" applyFont="1" applyFill="1" applyBorder="1"/>
    <xf numFmtId="0" fontId="14" fillId="6" borderId="8" xfId="0" applyFont="1" applyFill="1" applyBorder="1" applyAlignment="1">
      <alignment vertical="center"/>
    </xf>
    <xf numFmtId="2" fontId="14"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49" fontId="14" fillId="7" borderId="1" xfId="0" applyNumberFormat="1" applyFont="1" applyFill="1" applyBorder="1" applyAlignment="1">
      <alignment horizontal="center" vertical="center" wrapText="1"/>
    </xf>
    <xf numFmtId="0" fontId="14" fillId="6" borderId="6" xfId="0" applyFont="1" applyFill="1" applyBorder="1" applyAlignment="1">
      <alignment horizontal="center" vertical="center" wrapText="1"/>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8"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0" xfId="0" applyFont="1" applyFill="1" applyAlignment="1">
      <alignment horizontal="center" vertical="center"/>
    </xf>
    <xf numFmtId="49" fontId="14" fillId="6" borderId="1" xfId="0" applyNumberFormat="1" applyFont="1" applyFill="1" applyBorder="1" applyAlignment="1">
      <alignment horizontal="left" vertical="center" wrapText="1"/>
    </xf>
    <xf numFmtId="49" fontId="14" fillId="6" borderId="1" xfId="0" applyNumberFormat="1" applyFont="1" applyFill="1" applyBorder="1" applyAlignment="1">
      <alignment horizontal="center" vertical="center"/>
    </xf>
    <xf numFmtId="1" fontId="14" fillId="6" borderId="1" xfId="0" applyNumberFormat="1" applyFont="1" applyFill="1" applyBorder="1" applyAlignment="1">
      <alignment horizontal="center" vertical="center"/>
    </xf>
    <xf numFmtId="167" fontId="14" fillId="6" borderId="1" xfId="2" applyNumberFormat="1" applyFont="1" applyFill="1" applyBorder="1" applyAlignment="1">
      <alignment horizontal="left" vertical="center"/>
    </xf>
    <xf numFmtId="49" fontId="14" fillId="6" borderId="1" xfId="0" quotePrefix="1" applyNumberFormat="1" applyFont="1" applyFill="1" applyBorder="1" applyAlignment="1">
      <alignment horizontal="center" vertical="center" wrapText="1"/>
    </xf>
    <xf numFmtId="2" fontId="10" fillId="6" borderId="0" xfId="0" applyNumberFormat="1" applyFont="1" applyFill="1" applyAlignment="1">
      <alignment horizontal="center" vertical="center"/>
    </xf>
    <xf numFmtId="0" fontId="10" fillId="6" borderId="0" xfId="0" applyFont="1" applyFill="1" applyAlignment="1">
      <alignment horizontal="center" vertical="center"/>
    </xf>
    <xf numFmtId="49" fontId="10" fillId="6" borderId="0" xfId="0" applyNumberFormat="1" applyFont="1" applyFill="1" applyAlignment="1">
      <alignment horizontal="center" vertical="center"/>
    </xf>
    <xf numFmtId="0" fontId="14" fillId="6" borderId="0" xfId="0" applyFont="1" applyFill="1" applyAlignment="1">
      <alignment horizontal="center" vertical="center" wrapText="1"/>
    </xf>
    <xf numFmtId="0" fontId="10" fillId="6" borderId="0" xfId="0" applyFont="1" applyFill="1" applyAlignment="1">
      <alignment horizontal="left" vertical="center"/>
    </xf>
    <xf numFmtId="0" fontId="10" fillId="6" borderId="0" xfId="0" applyFont="1" applyFill="1" applyAlignment="1">
      <alignment horizontal="right" vertical="center"/>
    </xf>
    <xf numFmtId="0" fontId="14" fillId="6" borderId="0" xfId="0" applyFont="1" applyFill="1" applyAlignment="1">
      <alignment horizontal="left"/>
    </xf>
    <xf numFmtId="0" fontId="14" fillId="6" borderId="0" xfId="0" applyFont="1" applyFill="1" applyAlignment="1">
      <alignment horizontal="right" vertical="center"/>
    </xf>
    <xf numFmtId="0" fontId="13" fillId="6" borderId="0" xfId="0" applyFont="1" applyFill="1" applyAlignment="1">
      <alignment horizontal="center" vertical="center"/>
    </xf>
    <xf numFmtId="0" fontId="14" fillId="6" borderId="0" xfId="0" applyFont="1" applyFill="1"/>
    <xf numFmtId="166" fontId="14" fillId="6" borderId="0" xfId="0" applyNumberFormat="1" applyFont="1" applyFill="1" applyAlignment="1">
      <alignment horizontal="center" vertical="center"/>
    </xf>
    <xf numFmtId="167" fontId="14" fillId="6" borderId="0" xfId="0" applyNumberFormat="1" applyFont="1" applyFill="1" applyAlignment="1">
      <alignment horizontal="center" vertical="center"/>
    </xf>
    <xf numFmtId="9" fontId="10" fillId="6" borderId="0" xfId="1" applyFont="1" applyFill="1" applyAlignment="1">
      <alignment horizontal="center" vertical="center"/>
    </xf>
    <xf numFmtId="9" fontId="14" fillId="6" borderId="0" xfId="1" applyFont="1" applyFill="1" applyAlignment="1">
      <alignment horizontal="center" vertical="center"/>
    </xf>
    <xf numFmtId="2" fontId="10" fillId="7" borderId="1" xfId="0" applyNumberFormat="1"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7" fontId="2" fillId="3" borderId="1" xfId="0" applyNumberFormat="1" applyFont="1" applyFill="1" applyBorder="1" applyAlignment="1">
      <alignment horizontal="center" vertical="center" wrapText="1"/>
    </xf>
    <xf numFmtId="0" fontId="1" fillId="0" borderId="0" xfId="0" applyFont="1" applyAlignment="1">
      <alignment vertical="center"/>
    </xf>
    <xf numFmtId="0" fontId="7" fillId="2" borderId="1" xfId="0" applyFont="1" applyFill="1" applyBorder="1" applyAlignment="1">
      <alignment horizontal="center"/>
    </xf>
    <xf numFmtId="37" fontId="6" fillId="0" borderId="0" xfId="0" quotePrefix="1" applyNumberFormat="1" applyFont="1"/>
    <xf numFmtId="0" fontId="17" fillId="0" borderId="0" xfId="0" applyFont="1" applyAlignment="1">
      <alignment horizontal="center"/>
    </xf>
    <xf numFmtId="0" fontId="6" fillId="6" borderId="0" xfId="0" applyFont="1" applyFill="1"/>
    <xf numFmtId="0" fontId="17" fillId="6" borderId="0" xfId="0" applyFont="1" applyFill="1" applyAlignment="1">
      <alignment horizontal="center"/>
    </xf>
    <xf numFmtId="0" fontId="17" fillId="6" borderId="0" xfId="0" applyFont="1" applyFill="1"/>
    <xf numFmtId="7" fontId="17" fillId="6" borderId="0" xfId="0" applyNumberFormat="1" applyFont="1" applyFill="1"/>
    <xf numFmtId="37" fontId="2" fillId="3" borderId="6" xfId="0" applyNumberFormat="1" applyFont="1" applyFill="1" applyBorder="1" applyAlignment="1">
      <alignment horizontal="center" vertical="center" wrapText="1"/>
    </xf>
    <xf numFmtId="37" fontId="2" fillId="2" borderId="1" xfId="0" applyNumberFormat="1" applyFont="1" applyFill="1" applyBorder="1" applyAlignment="1">
      <alignment horizontal="center" vertical="center" wrapText="1"/>
    </xf>
    <xf numFmtId="0" fontId="19" fillId="10" borderId="13" xfId="0" applyFont="1" applyFill="1" applyBorder="1" applyAlignment="1">
      <alignment vertical="center"/>
    </xf>
    <xf numFmtId="0" fontId="19" fillId="10" borderId="16" xfId="0" applyFont="1" applyFill="1" applyBorder="1" applyAlignment="1">
      <alignment vertical="center" wrapText="1"/>
    </xf>
    <xf numFmtId="0" fontId="19" fillId="10" borderId="14" xfId="0" applyFont="1" applyFill="1" applyBorder="1" applyAlignment="1">
      <alignment vertical="center" wrapText="1"/>
    </xf>
    <xf numFmtId="0" fontId="20" fillId="6" borderId="0" xfId="0" applyFont="1" applyFill="1" applyAlignment="1">
      <alignment horizontal="center" vertical="center"/>
    </xf>
    <xf numFmtId="0" fontId="20" fillId="6" borderId="0" xfId="0" applyFont="1" applyFill="1" applyAlignment="1">
      <alignment vertical="center"/>
    </xf>
    <xf numFmtId="0" fontId="20" fillId="6" borderId="0" xfId="0" applyFont="1" applyFill="1"/>
    <xf numFmtId="0" fontId="20" fillId="6" borderId="0" xfId="0" applyFont="1" applyFill="1" applyAlignment="1">
      <alignment horizontal="center"/>
    </xf>
    <xf numFmtId="10" fontId="19" fillId="10" borderId="15" xfId="1" applyNumberFormat="1" applyFont="1" applyFill="1" applyBorder="1" applyAlignment="1">
      <alignment horizontal="center"/>
    </xf>
    <xf numFmtId="10" fontId="29" fillId="14" borderId="15" xfId="1" applyNumberFormat="1" applyFont="1" applyFill="1" applyBorder="1" applyAlignment="1">
      <alignment horizontal="center"/>
    </xf>
    <xf numFmtId="167" fontId="17" fillId="6" borderId="0" xfId="0" quotePrefix="1" applyNumberFormat="1" applyFont="1" applyFill="1" applyAlignment="1">
      <alignment horizontal="center" vertical="center"/>
    </xf>
    <xf numFmtId="0" fontId="17" fillId="6" borderId="0" xfId="0" quotePrefix="1" applyFont="1" applyFill="1" applyAlignment="1">
      <alignment horizontal="center" vertical="center"/>
    </xf>
    <xf numFmtId="44" fontId="17" fillId="6" borderId="0" xfId="4" quotePrefix="1" applyFont="1" applyFill="1" applyBorder="1" applyAlignment="1">
      <alignment horizontal="center" vertical="center"/>
    </xf>
    <xf numFmtId="0" fontId="17" fillId="6" borderId="0" xfId="4" quotePrefix="1" applyNumberFormat="1" applyFont="1" applyFill="1" applyBorder="1" applyAlignment="1">
      <alignment horizontal="center" vertical="center"/>
    </xf>
    <xf numFmtId="0" fontId="19" fillId="12" borderId="8" xfId="0" applyFont="1" applyFill="1" applyBorder="1" applyAlignment="1">
      <alignment horizontal="center" vertical="center" wrapText="1"/>
    </xf>
    <xf numFmtId="0" fontId="19" fillId="12" borderId="0" xfId="0" applyFont="1" applyFill="1" applyAlignment="1">
      <alignment horizontal="center" vertical="center" wrapText="1"/>
    </xf>
    <xf numFmtId="0" fontId="19" fillId="7" borderId="4"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1" xfId="0" applyFont="1" applyFill="1" applyBorder="1" applyAlignment="1">
      <alignment horizontal="center" vertical="top" wrapText="1"/>
    </xf>
    <xf numFmtId="0" fontId="19" fillId="9"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167" fontId="17" fillId="6" borderId="1" xfId="0" applyNumberFormat="1" applyFont="1" applyFill="1" applyBorder="1" applyAlignment="1">
      <alignment horizontal="center" vertical="center"/>
    </xf>
    <xf numFmtId="167" fontId="17" fillId="6" borderId="11" xfId="0" applyNumberFormat="1" applyFont="1" applyFill="1" applyBorder="1" applyAlignment="1">
      <alignment horizontal="center" vertical="center"/>
    </xf>
    <xf numFmtId="167" fontId="17" fillId="6" borderId="8" xfId="0" applyNumberFormat="1" applyFont="1" applyFill="1" applyBorder="1" applyAlignment="1">
      <alignment horizontal="center" vertical="center"/>
    </xf>
    <xf numFmtId="3" fontId="17" fillId="6" borderId="11" xfId="0" applyNumberFormat="1" applyFont="1" applyFill="1" applyBorder="1" applyAlignment="1">
      <alignment horizontal="center" vertical="center"/>
    </xf>
    <xf numFmtId="4" fontId="17" fillId="6" borderId="11" xfId="0" applyNumberFormat="1" applyFont="1" applyFill="1" applyBorder="1" applyAlignment="1">
      <alignment horizontal="center" vertical="center"/>
    </xf>
    <xf numFmtId="167" fontId="17" fillId="6" borderId="5" xfId="0" applyNumberFormat="1" applyFont="1" applyFill="1" applyBorder="1" applyAlignment="1">
      <alignment horizontal="center" vertical="center"/>
    </xf>
    <xf numFmtId="0" fontId="17" fillId="6" borderId="1" xfId="0" applyFont="1" applyFill="1" applyBorder="1" applyAlignment="1">
      <alignment horizontal="center" vertical="center"/>
    </xf>
    <xf numFmtId="167" fontId="17" fillId="6" borderId="1" xfId="4" applyNumberFormat="1" applyFont="1" applyFill="1" applyBorder="1" applyAlignment="1">
      <alignment horizontal="center" vertical="center"/>
    </xf>
    <xf numFmtId="0" fontId="17" fillId="6" borderId="1" xfId="4" applyNumberFormat="1" applyFont="1" applyFill="1" applyBorder="1" applyAlignment="1">
      <alignment horizontal="center" vertical="center"/>
    </xf>
    <xf numFmtId="0" fontId="17" fillId="6" borderId="0" xfId="0" applyFont="1" applyFill="1" applyAlignment="1">
      <alignment horizontal="center" vertical="center"/>
    </xf>
    <xf numFmtId="44" fontId="17" fillId="6" borderId="1" xfId="4" applyFont="1" applyFill="1" applyBorder="1" applyAlignment="1">
      <alignment horizontal="center" vertical="center"/>
    </xf>
    <xf numFmtId="10" fontId="17" fillId="6" borderId="1" xfId="1" applyNumberFormat="1" applyFont="1" applyFill="1" applyBorder="1" applyAlignment="1">
      <alignment horizontal="center" vertical="center"/>
    </xf>
    <xf numFmtId="9" fontId="30" fillId="6" borderId="0" xfId="1" applyFont="1" applyFill="1" applyAlignment="1">
      <alignment horizontal="center" vertical="center"/>
    </xf>
    <xf numFmtId="9" fontId="31" fillId="6" borderId="0" xfId="1" applyFont="1" applyFill="1" applyAlignment="1">
      <alignment horizontal="center" vertical="center"/>
    </xf>
    <xf numFmtId="9" fontId="17" fillId="6" borderId="0" xfId="1" applyFont="1" applyFill="1" applyAlignment="1">
      <alignment horizontal="center" vertical="center"/>
    </xf>
    <xf numFmtId="9" fontId="20" fillId="6" borderId="0" xfId="1" applyFont="1" applyFill="1" applyAlignment="1">
      <alignment horizontal="center" vertical="center"/>
    </xf>
    <xf numFmtId="171" fontId="17" fillId="6" borderId="1" xfId="0" applyNumberFormat="1" applyFont="1" applyFill="1" applyBorder="1" applyAlignment="1">
      <alignment horizontal="center" vertical="center"/>
    </xf>
    <xf numFmtId="167" fontId="17" fillId="6" borderId="2" xfId="0" applyNumberFormat="1" applyFont="1" applyFill="1" applyBorder="1" applyAlignment="1">
      <alignment horizontal="center" vertical="center"/>
    </xf>
    <xf numFmtId="0" fontId="21" fillId="6" borderId="0" xfId="0" applyFont="1" applyFill="1" applyAlignment="1">
      <alignment horizontal="center" vertical="center"/>
    </xf>
    <xf numFmtId="3" fontId="19" fillId="9" borderId="11" xfId="0" applyNumberFormat="1" applyFont="1" applyFill="1" applyBorder="1" applyAlignment="1">
      <alignment horizontal="center" vertical="center"/>
    </xf>
    <xf numFmtId="4" fontId="19" fillId="9" borderId="11" xfId="0" applyNumberFormat="1" applyFont="1" applyFill="1" applyBorder="1" applyAlignment="1">
      <alignment horizontal="center" vertical="center"/>
    </xf>
    <xf numFmtId="167" fontId="19" fillId="9" borderId="5" xfId="0" applyNumberFormat="1" applyFont="1" applyFill="1" applyBorder="1" applyAlignment="1">
      <alignment horizontal="center" vertical="center"/>
    </xf>
    <xf numFmtId="167" fontId="17" fillId="6" borderId="0" xfId="0" applyNumberFormat="1" applyFont="1" applyFill="1" applyAlignment="1">
      <alignment horizontal="center"/>
    </xf>
    <xf numFmtId="37" fontId="19" fillId="3" borderId="1" xfId="0" applyNumberFormat="1" applyFont="1" applyFill="1" applyBorder="1" applyAlignment="1">
      <alignment horizontal="center" vertical="center" wrapText="1"/>
    </xf>
    <xf numFmtId="9" fontId="6" fillId="0" borderId="0" xfId="1" applyFont="1" applyFill="1" applyAlignment="1">
      <alignment horizontal="center"/>
    </xf>
    <xf numFmtId="164" fontId="6" fillId="0" borderId="0" xfId="1" applyNumberFormat="1" applyFont="1" applyFill="1" applyAlignment="1">
      <alignment horizontal="center"/>
    </xf>
    <xf numFmtId="49" fontId="10" fillId="13" borderId="1" xfId="0" applyNumberFormat="1"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37" fontId="2" fillId="5"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0" borderId="6"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2" fontId="6" fillId="6" borderId="0" xfId="0" applyNumberFormat="1" applyFont="1" applyFill="1"/>
    <xf numFmtId="2" fontId="17" fillId="6" borderId="0" xfId="1" applyNumberFormat="1" applyFont="1" applyFill="1" applyBorder="1" applyAlignment="1">
      <alignment horizontal="center" vertical="center"/>
    </xf>
    <xf numFmtId="2" fontId="20" fillId="6" borderId="0" xfId="0" applyNumberFormat="1" applyFont="1" applyFill="1" applyAlignment="1">
      <alignment horizontal="center"/>
    </xf>
    <xf numFmtId="0" fontId="29" fillId="14" borderId="14" xfId="0" applyFont="1" applyFill="1" applyBorder="1" applyAlignment="1">
      <alignment horizontal="center" vertical="center" wrapText="1"/>
    </xf>
    <xf numFmtId="0" fontId="1" fillId="6" borderId="0" xfId="0" applyFont="1" applyFill="1"/>
    <xf numFmtId="0" fontId="1" fillId="6" borderId="0" xfId="0" applyFont="1" applyFill="1" applyAlignment="1">
      <alignment vertical="center"/>
    </xf>
    <xf numFmtId="0" fontId="13" fillId="6" borderId="7" xfId="0" applyFont="1" applyFill="1" applyBorder="1" applyAlignment="1">
      <alignment horizontal="center" vertical="center" wrapText="1"/>
    </xf>
    <xf numFmtId="0" fontId="17" fillId="6" borderId="0" xfId="0" applyFont="1" applyFill="1" applyAlignment="1">
      <alignment horizontal="right"/>
    </xf>
    <xf numFmtId="164" fontId="6" fillId="0" borderId="0" xfId="1" quotePrefix="1" applyNumberFormat="1" applyFont="1" applyFill="1" applyAlignment="1">
      <alignment horizontal="center"/>
    </xf>
    <xf numFmtId="37" fontId="2" fillId="2" borderId="5" xfId="0" applyNumberFormat="1"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14" fillId="0" borderId="0" xfId="0" applyFont="1" applyAlignment="1">
      <alignment vertical="center"/>
    </xf>
    <xf numFmtId="167" fontId="0" fillId="6" borderId="0" xfId="0" applyNumberFormat="1" applyFill="1" applyAlignment="1">
      <alignment horizontal="center"/>
    </xf>
    <xf numFmtId="0" fontId="19"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 fillId="6" borderId="0" xfId="0" applyFont="1" applyFill="1" applyAlignment="1">
      <alignment horizontal="center"/>
    </xf>
    <xf numFmtId="0" fontId="1" fillId="6" borderId="1" xfId="0" applyFont="1" applyFill="1" applyBorder="1"/>
    <xf numFmtId="164" fontId="1" fillId="0" borderId="0" xfId="0" applyNumberFormat="1" applyFont="1" applyAlignment="1">
      <alignment horizontal="center"/>
    </xf>
    <xf numFmtId="0" fontId="29" fillId="6" borderId="7" xfId="0" applyFont="1" applyFill="1" applyBorder="1" applyAlignment="1">
      <alignment vertical="center"/>
    </xf>
    <xf numFmtId="0" fontId="37" fillId="6" borderId="0" xfId="0" applyFont="1" applyFill="1"/>
    <xf numFmtId="0" fontId="39" fillId="6" borderId="0" xfId="0" applyFont="1" applyFill="1"/>
    <xf numFmtId="0" fontId="7" fillId="7" borderId="1" xfId="0" applyFont="1" applyFill="1" applyBorder="1" applyAlignment="1">
      <alignment horizontal="center" vertical="center"/>
    </xf>
    <xf numFmtId="0" fontId="0" fillId="0" borderId="0" xfId="0" applyFill="1"/>
    <xf numFmtId="167" fontId="20" fillId="6" borderId="0" xfId="0" applyNumberFormat="1" applyFont="1" applyFill="1" applyAlignment="1">
      <alignment horizontal="center"/>
    </xf>
    <xf numFmtId="167" fontId="19" fillId="6" borderId="1" xfId="0" applyNumberFormat="1" applyFont="1" applyFill="1" applyBorder="1" applyAlignment="1">
      <alignment horizontal="center" vertical="center"/>
    </xf>
    <xf numFmtId="167" fontId="19" fillId="6" borderId="2" xfId="0" applyNumberFormat="1" applyFont="1" applyFill="1" applyBorder="1" applyAlignment="1">
      <alignment horizontal="center" vertical="center"/>
    </xf>
    <xf numFmtId="0" fontId="14" fillId="0" borderId="0" xfId="0" applyFont="1" applyFill="1"/>
    <xf numFmtId="0" fontId="10" fillId="7" borderId="1" xfId="0" applyFont="1" applyFill="1" applyBorder="1" applyAlignment="1">
      <alignment horizontal="center" vertical="center" wrapText="1"/>
    </xf>
    <xf numFmtId="167" fontId="0" fillId="0" borderId="0" xfId="0" applyNumberFormat="1"/>
    <xf numFmtId="0" fontId="0" fillId="0" borderId="0" xfId="0" applyAlignment="1">
      <alignment horizontal="center"/>
    </xf>
    <xf numFmtId="167" fontId="1" fillId="6" borderId="1" xfId="0" applyNumberFormat="1" applyFont="1" applyFill="1" applyBorder="1" applyAlignment="1">
      <alignment horizontal="center"/>
    </xf>
    <xf numFmtId="167" fontId="1" fillId="6" borderId="0" xfId="0" applyNumberFormat="1" applyFont="1" applyFill="1" applyBorder="1" applyAlignment="1">
      <alignment horizontal="center"/>
    </xf>
    <xf numFmtId="0" fontId="29" fillId="6" borderId="0" xfId="0" applyFont="1" applyFill="1" applyBorder="1" applyAlignment="1">
      <alignment horizontal="center"/>
    </xf>
    <xf numFmtId="0" fontId="29" fillId="20" borderId="1" xfId="0" applyFont="1" applyFill="1" applyBorder="1" applyAlignment="1">
      <alignment horizontal="center" vertical="center" wrapText="1"/>
    </xf>
    <xf numFmtId="0" fontId="6" fillId="6" borderId="0" xfId="0" applyFont="1" applyFill="1" applyBorder="1"/>
    <xf numFmtId="167" fontId="1" fillId="6" borderId="0" xfId="0" applyNumberFormat="1" applyFont="1" applyFill="1" applyBorder="1"/>
    <xf numFmtId="0" fontId="1" fillId="6" borderId="0" xfId="0" applyFont="1" applyFill="1" applyBorder="1"/>
    <xf numFmtId="0" fontId="29" fillId="20" borderId="1" xfId="0" applyFont="1" applyFill="1" applyBorder="1" applyAlignment="1">
      <alignment horizontal="center" vertical="center"/>
    </xf>
    <xf numFmtId="49" fontId="48" fillId="0" borderId="0" xfId="0" quotePrefix="1" applyNumberFormat="1" applyFont="1"/>
    <xf numFmtId="0" fontId="0" fillId="4" borderId="0" xfId="0" applyFill="1"/>
    <xf numFmtId="0" fontId="1" fillId="4" borderId="1" xfId="0" applyFont="1" applyFill="1" applyBorder="1"/>
    <xf numFmtId="0" fontId="37" fillId="0" borderId="0" xfId="0" applyFont="1" applyFill="1"/>
    <xf numFmtId="0" fontId="17" fillId="6" borderId="1" xfId="0" applyFont="1" applyFill="1" applyBorder="1"/>
    <xf numFmtId="167" fontId="17" fillId="6" borderId="1" xfId="0" applyNumberFormat="1" applyFont="1" applyFill="1" applyBorder="1" applyAlignment="1">
      <alignment horizontal="center"/>
    </xf>
    <xf numFmtId="0" fontId="32" fillId="6" borderId="0" xfId="0" applyFont="1" applyFill="1"/>
    <xf numFmtId="37" fontId="32" fillId="6" borderId="0" xfId="0" applyNumberFormat="1" applyFont="1" applyFill="1" applyAlignment="1">
      <alignment horizontal="center"/>
    </xf>
    <xf numFmtId="37" fontId="1" fillId="6" borderId="0" xfId="0" applyNumberFormat="1" applyFont="1" applyFill="1"/>
    <xf numFmtId="37" fontId="33" fillId="6" borderId="0" xfId="0" applyNumberFormat="1" applyFont="1" applyFill="1"/>
    <xf numFmtId="7" fontId="1" fillId="6" borderId="0" xfId="0" applyNumberFormat="1" applyFont="1" applyFill="1"/>
    <xf numFmtId="0" fontId="29" fillId="6" borderId="13" xfId="0" applyFont="1" applyFill="1" applyBorder="1"/>
    <xf numFmtId="0" fontId="33" fillId="6" borderId="0" xfId="0" applyFont="1" applyFill="1"/>
    <xf numFmtId="39" fontId="33" fillId="6" borderId="0" xfId="0" applyNumberFormat="1" applyFont="1" applyFill="1"/>
    <xf numFmtId="37" fontId="33" fillId="6" borderId="0" xfId="0" quotePrefix="1" applyNumberFormat="1" applyFont="1" applyFill="1"/>
    <xf numFmtId="165" fontId="33" fillId="6" borderId="0" xfId="0" quotePrefix="1" applyNumberFormat="1" applyFont="1" applyFill="1"/>
    <xf numFmtId="7" fontId="33" fillId="6" borderId="0" xfId="0" applyNumberFormat="1" applyFont="1" applyFill="1"/>
    <xf numFmtId="0" fontId="33" fillId="6" borderId="0" xfId="0" applyFont="1" applyFill="1" applyBorder="1"/>
    <xf numFmtId="7" fontId="33" fillId="6" borderId="0" xfId="0" quotePrefix="1" applyNumberFormat="1" applyFont="1" applyFill="1" applyBorder="1"/>
    <xf numFmtId="37" fontId="1" fillId="6" borderId="0" xfId="0" applyNumberFormat="1" applyFont="1" applyFill="1" applyBorder="1"/>
    <xf numFmtId="37" fontId="1" fillId="6" borderId="0" xfId="0" applyNumberFormat="1" applyFont="1" applyFill="1" applyAlignment="1">
      <alignment horizontal="center"/>
    </xf>
    <xf numFmtId="0" fontId="46" fillId="6" borderId="0" xfId="0" applyFont="1" applyFill="1" applyBorder="1" applyAlignment="1">
      <alignment horizontal="left"/>
    </xf>
    <xf numFmtId="7" fontId="46" fillId="6" borderId="0" xfId="0" applyNumberFormat="1" applyFont="1" applyFill="1" applyBorder="1"/>
    <xf numFmtId="0" fontId="20" fillId="6" borderId="0" xfId="0" applyFont="1" applyFill="1" applyAlignment="1">
      <alignment horizontal="left"/>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51" fillId="6" borderId="0" xfId="0" applyFont="1" applyFill="1"/>
    <xf numFmtId="0" fontId="1" fillId="0" borderId="0" xfId="0" applyFont="1" applyAlignment="1">
      <alignment horizontal="center"/>
    </xf>
    <xf numFmtId="0" fontId="1" fillId="0" borderId="0" xfId="0" applyFont="1"/>
    <xf numFmtId="37" fontId="1" fillId="0" borderId="0" xfId="0" applyNumberFormat="1" applyFont="1"/>
    <xf numFmtId="0" fontId="17" fillId="6" borderId="0" xfId="0" applyFont="1" applyFill="1"/>
    <xf numFmtId="0" fontId="17" fillId="6" borderId="0" xfId="0" applyFont="1" applyFill="1" applyAlignment="1">
      <alignment vertical="center"/>
    </xf>
    <xf numFmtId="167" fontId="17" fillId="6" borderId="5" xfId="2" applyNumberFormat="1" applyFont="1" applyFill="1" applyBorder="1" applyAlignment="1">
      <alignment horizontal="center" vertical="center" wrapText="1"/>
    </xf>
    <xf numFmtId="0" fontId="19" fillId="6" borderId="0" xfId="0" applyFont="1" applyFill="1" applyAlignment="1">
      <alignment horizontal="center" vertical="center"/>
    </xf>
    <xf numFmtId="0" fontId="19" fillId="6" borderId="1" xfId="0" applyFont="1" applyFill="1" applyBorder="1" applyAlignment="1">
      <alignment horizontal="center" vertical="center" wrapText="1"/>
    </xf>
    <xf numFmtId="0" fontId="1" fillId="6" borderId="1" xfId="0" applyFont="1" applyFill="1" applyBorder="1" applyAlignment="1">
      <alignment horizontal="center"/>
    </xf>
    <xf numFmtId="37" fontId="6" fillId="0" borderId="0" xfId="0" quotePrefix="1" applyNumberFormat="1" applyFont="1" applyFill="1"/>
    <xf numFmtId="164" fontId="17" fillId="6" borderId="1" xfId="1" applyNumberFormat="1" applyFont="1" applyFill="1" applyBorder="1" applyAlignment="1">
      <alignment horizontal="center" vertical="center"/>
    </xf>
    <xf numFmtId="167" fontId="17" fillId="6" borderId="0" xfId="0" applyNumberFormat="1" applyFont="1" applyFill="1"/>
    <xf numFmtId="0" fontId="52" fillId="6" borderId="0" xfId="0" applyFont="1" applyFill="1"/>
    <xf numFmtId="167" fontId="29" fillId="14" borderId="1" xfId="0" applyNumberFormat="1" applyFont="1" applyFill="1" applyBorder="1" applyAlignment="1">
      <alignment horizontal="center" vertical="center" wrapText="1"/>
    </xf>
    <xf numFmtId="7" fontId="17" fillId="6" borderId="1" xfId="0" applyNumberFormat="1" applyFont="1" applyFill="1" applyBorder="1"/>
    <xf numFmtId="0" fontId="17" fillId="6" borderId="1" xfId="0" applyFont="1" applyFill="1" applyBorder="1" applyAlignment="1">
      <alignment horizontal="center"/>
    </xf>
    <xf numFmtId="170" fontId="47" fillId="6" borderId="1" xfId="0" applyNumberFormat="1" applyFont="1" applyFill="1" applyBorder="1" applyAlignment="1">
      <alignment horizontal="center"/>
    </xf>
    <xf numFmtId="0" fontId="55" fillId="3" borderId="1" xfId="0" applyFont="1" applyFill="1" applyBorder="1" applyAlignment="1">
      <alignment horizontal="center" vertical="center"/>
    </xf>
    <xf numFmtId="0" fontId="55" fillId="7" borderId="1" xfId="0" applyFont="1" applyFill="1" applyBorder="1" applyAlignment="1">
      <alignment horizontal="center" vertical="center"/>
    </xf>
    <xf numFmtId="0" fontId="56" fillId="6" borderId="1" xfId="0" applyFont="1" applyFill="1" applyBorder="1" applyAlignment="1">
      <alignment vertical="center"/>
    </xf>
    <xf numFmtId="167" fontId="56" fillId="6" borderId="1" xfId="0" applyNumberFormat="1" applyFont="1" applyFill="1" applyBorder="1" applyAlignment="1">
      <alignment horizontal="center" vertical="center"/>
    </xf>
    <xf numFmtId="8" fontId="56" fillId="6" borderId="1" xfId="0" applyNumberFormat="1" applyFont="1" applyFill="1" applyBorder="1" applyAlignment="1">
      <alignment horizontal="center" vertical="center"/>
    </xf>
    <xf numFmtId="0" fontId="55" fillId="9" borderId="1" xfId="0" applyFont="1" applyFill="1" applyBorder="1" applyAlignment="1">
      <alignment vertical="center"/>
    </xf>
    <xf numFmtId="167" fontId="55" fillId="9" borderId="1" xfId="0" applyNumberFormat="1" applyFont="1" applyFill="1" applyBorder="1" applyAlignment="1">
      <alignment horizontal="center" vertical="center"/>
    </xf>
    <xf numFmtId="8" fontId="14" fillId="6" borderId="0" xfId="0" applyNumberFormat="1" applyFont="1" applyFill="1" applyAlignment="1">
      <alignment horizontal="center" vertical="center"/>
    </xf>
    <xf numFmtId="0" fontId="60" fillId="11" borderId="22" xfId="9" applyFont="1" applyFill="1" applyBorder="1" applyAlignment="1">
      <alignment horizontal="center" wrapText="1"/>
    </xf>
    <xf numFmtId="0" fontId="60" fillId="11" borderId="1" xfId="9" applyFont="1" applyFill="1" applyBorder="1" applyAlignment="1">
      <alignment horizontal="center" wrapText="1"/>
    </xf>
    <xf numFmtId="0" fontId="60" fillId="0" borderId="1" xfId="9" applyFont="1" applyBorder="1" applyAlignment="1">
      <alignment horizontal="center" wrapText="1"/>
    </xf>
    <xf numFmtId="167" fontId="61" fillId="11" borderId="1" xfId="9" applyNumberFormat="1" applyFont="1" applyFill="1" applyBorder="1" applyAlignment="1">
      <alignment horizontal="center"/>
    </xf>
    <xf numFmtId="0" fontId="58" fillId="21" borderId="0" xfId="9" applyFill="1"/>
    <xf numFmtId="0" fontId="58" fillId="22" borderId="0" xfId="9" applyFill="1"/>
    <xf numFmtId="0" fontId="58" fillId="0" borderId="0" xfId="9"/>
    <xf numFmtId="0" fontId="58" fillId="0" borderId="1" xfId="9" applyBorder="1" applyAlignment="1">
      <alignment wrapText="1"/>
    </xf>
    <xf numFmtId="8" fontId="58" fillId="0" borderId="1" xfId="9" applyNumberFormat="1" applyBorder="1" applyAlignment="1">
      <alignment horizontal="center" wrapText="1"/>
    </xf>
    <xf numFmtId="0" fontId="58" fillId="0" borderId="1" xfId="9" applyBorder="1" applyAlignment="1">
      <alignment horizontal="center" wrapText="1"/>
    </xf>
    <xf numFmtId="0" fontId="58" fillId="11" borderId="1" xfId="9" applyFill="1" applyBorder="1" applyAlignment="1">
      <alignment wrapText="1"/>
    </xf>
    <xf numFmtId="8" fontId="58" fillId="11" borderId="1" xfId="9" applyNumberFormat="1" applyFill="1" applyBorder="1" applyAlignment="1">
      <alignment horizontal="center" wrapText="1"/>
    </xf>
    <xf numFmtId="8" fontId="58" fillId="0" borderId="1" xfId="9" applyNumberFormat="1" applyBorder="1"/>
    <xf numFmtId="0" fontId="10" fillId="0" borderId="22" xfId="0" applyFont="1" applyBorder="1" applyAlignment="1">
      <alignment horizontal="center" wrapText="1"/>
    </xf>
    <xf numFmtId="0" fontId="10" fillId="0" borderId="1" xfId="0" applyFont="1" applyBorder="1" applyAlignment="1">
      <alignment horizontal="center" wrapText="1"/>
    </xf>
    <xf numFmtId="0" fontId="10" fillId="0" borderId="23" xfId="0" applyFont="1" applyBorder="1" applyAlignment="1">
      <alignment horizontal="center" wrapText="1"/>
    </xf>
    <xf numFmtId="8" fontId="62" fillId="0" borderId="15" xfId="0" applyNumberFormat="1" applyFont="1" applyBorder="1" applyAlignment="1">
      <alignment horizontal="right" vertical="center"/>
    </xf>
    <xf numFmtId="0" fontId="14" fillId="21" borderId="0" xfId="0" applyFont="1" applyFill="1"/>
    <xf numFmtId="0" fontId="14" fillId="22" borderId="0" xfId="0" applyFont="1" applyFill="1"/>
    <xf numFmtId="0" fontId="14" fillId="0" borderId="1" xfId="0" applyFont="1" applyBorder="1" applyAlignment="1">
      <alignment wrapText="1"/>
    </xf>
    <xf numFmtId="8" fontId="14" fillId="0" borderId="1" xfId="0" applyNumberFormat="1" applyFont="1" applyBorder="1" applyAlignment="1">
      <alignment horizontal="center" wrapText="1"/>
    </xf>
    <xf numFmtId="8" fontId="62" fillId="0" borderId="24" xfId="0" applyNumberFormat="1" applyFont="1" applyBorder="1" applyAlignment="1">
      <alignment horizontal="center" vertical="center" wrapText="1"/>
    </xf>
    <xf numFmtId="8" fontId="64" fillId="0" borderId="24" xfId="0" applyNumberFormat="1" applyFont="1" applyBorder="1" applyAlignment="1">
      <alignment horizontal="center" vertical="center" wrapText="1"/>
    </xf>
    <xf numFmtId="0" fontId="14" fillId="0" borderId="22" xfId="0" applyFont="1" applyBorder="1" applyAlignment="1">
      <alignment horizontal="center" wrapText="1"/>
    </xf>
    <xf numFmtId="0" fontId="14" fillId="0" borderId="22" xfId="0" applyFont="1" applyBorder="1" applyAlignment="1">
      <alignment wrapText="1"/>
    </xf>
    <xf numFmtId="8" fontId="58" fillId="0" borderId="27" xfId="0" applyNumberFormat="1" applyFont="1" applyBorder="1" applyAlignment="1">
      <alignment horizontal="center" wrapText="1"/>
    </xf>
    <xf numFmtId="0" fontId="10" fillId="0" borderId="23" xfId="0" applyFont="1" applyBorder="1" applyAlignment="1">
      <alignment wrapText="1"/>
    </xf>
    <xf numFmtId="8" fontId="14" fillId="0" borderId="1" xfId="0" applyNumberFormat="1" applyFont="1" applyBorder="1"/>
    <xf numFmtId="8" fontId="14" fillId="0" borderId="23" xfId="0" applyNumberFormat="1" applyFont="1" applyBorder="1"/>
    <xf numFmtId="49" fontId="65" fillId="21" borderId="1" xfId="0" applyNumberFormat="1" applyFont="1" applyFill="1" applyBorder="1"/>
    <xf numFmtId="0" fontId="8" fillId="21" borderId="1" xfId="0" applyFont="1" applyFill="1" applyBorder="1"/>
    <xf numFmtId="0" fontId="8" fillId="21" borderId="1" xfId="0" applyFont="1" applyFill="1" applyBorder="1" applyAlignment="1">
      <alignment horizontal="right"/>
    </xf>
    <xf numFmtId="49" fontId="8" fillId="21" borderId="1" xfId="0" applyNumberFormat="1" applyFont="1" applyFill="1" applyBorder="1" applyAlignment="1">
      <alignment horizontal="left"/>
    </xf>
    <xf numFmtId="49" fontId="8" fillId="21" borderId="1" xfId="0" applyNumberFormat="1" applyFont="1" applyFill="1" applyBorder="1" applyAlignment="1">
      <alignment horizontal="right"/>
    </xf>
    <xf numFmtId="0" fontId="8" fillId="21" borderId="1" xfId="0" applyFont="1" applyFill="1" applyBorder="1" applyAlignment="1">
      <alignment horizontal="center"/>
    </xf>
    <xf numFmtId="49" fontId="7" fillId="18" borderId="1" xfId="0" applyNumberFormat="1" applyFont="1" applyFill="1" applyBorder="1" applyAlignment="1">
      <alignment horizontal="center" wrapText="1"/>
    </xf>
    <xf numFmtId="0" fontId="7" fillId="18" borderId="1" xfId="0" applyFont="1" applyFill="1" applyBorder="1" applyAlignment="1">
      <alignment horizontal="center" wrapText="1"/>
    </xf>
    <xf numFmtId="49" fontId="0" fillId="0" borderId="0" xfId="0" applyNumberFormat="1"/>
    <xf numFmtId="1" fontId="0" fillId="0" borderId="0" xfId="0" applyNumberFormat="1"/>
    <xf numFmtId="2" fontId="0" fillId="0" borderId="0" xfId="0" applyNumberFormat="1"/>
    <xf numFmtId="166" fontId="0" fillId="0" borderId="0" xfId="0" applyNumberFormat="1"/>
    <xf numFmtId="0" fontId="68" fillId="0" borderId="31" xfId="0" applyFont="1" applyBorder="1" applyAlignment="1">
      <alignment vertical="center" wrapText="1"/>
    </xf>
    <xf numFmtId="0" fontId="69" fillId="0" borderId="32" xfId="0" applyFont="1" applyBorder="1" applyAlignment="1">
      <alignment vertical="center" wrapText="1"/>
    </xf>
    <xf numFmtId="0" fontId="68" fillId="0" borderId="15" xfId="0" applyFont="1" applyBorder="1" applyAlignment="1">
      <alignment vertical="center" wrapText="1"/>
    </xf>
    <xf numFmtId="0" fontId="69" fillId="0" borderId="14" xfId="0" applyFont="1" applyBorder="1" applyAlignment="1">
      <alignment vertical="center" wrapText="1"/>
    </xf>
    <xf numFmtId="0" fontId="68" fillId="0" borderId="17" xfId="0" applyFont="1" applyBorder="1" applyAlignment="1">
      <alignment vertical="center" wrapText="1"/>
    </xf>
    <xf numFmtId="0" fontId="69" fillId="0" borderId="24" xfId="0" applyFont="1" applyBorder="1" applyAlignment="1">
      <alignment vertical="center" wrapText="1"/>
    </xf>
    <xf numFmtId="0" fontId="68" fillId="0" borderId="33" xfId="0" applyFont="1" applyBorder="1" applyAlignment="1">
      <alignment vertical="center" wrapText="1"/>
    </xf>
    <xf numFmtId="0" fontId="69" fillId="0" borderId="17" xfId="0" applyFont="1" applyBorder="1" applyAlignment="1">
      <alignment vertical="center" wrapText="1"/>
    </xf>
    <xf numFmtId="0" fontId="68" fillId="0" borderId="34" xfId="0" applyFont="1" applyBorder="1" applyAlignment="1">
      <alignment vertical="center" wrapText="1"/>
    </xf>
    <xf numFmtId="0" fontId="68" fillId="0" borderId="35" xfId="0" applyFont="1" applyBorder="1" applyAlignment="1">
      <alignment vertical="center" wrapText="1"/>
    </xf>
    <xf numFmtId="0" fontId="0" fillId="0" borderId="0" xfId="0" applyAlignment="1">
      <alignment vertical="center"/>
    </xf>
    <xf numFmtId="9" fontId="10" fillId="5" borderId="5" xfId="1" applyFont="1" applyFill="1" applyBorder="1" applyAlignment="1">
      <alignment horizontal="center" vertical="center" wrapText="1"/>
    </xf>
    <xf numFmtId="0" fontId="68" fillId="11" borderId="33" xfId="0" applyFont="1" applyFill="1" applyBorder="1" applyAlignment="1">
      <alignment vertical="center" wrapText="1"/>
    </xf>
    <xf numFmtId="0" fontId="69" fillId="11" borderId="17" xfId="0" applyFont="1" applyFill="1" applyBorder="1" applyAlignment="1">
      <alignment vertical="center" wrapText="1"/>
    </xf>
    <xf numFmtId="0" fontId="68" fillId="11" borderId="34" xfId="0" applyFont="1" applyFill="1" applyBorder="1" applyAlignment="1">
      <alignment vertical="center" wrapText="1"/>
    </xf>
    <xf numFmtId="0" fontId="68" fillId="11" borderId="17" xfId="0" applyFont="1" applyFill="1" applyBorder="1" applyAlignment="1">
      <alignment vertical="center" wrapText="1"/>
    </xf>
    <xf numFmtId="0" fontId="69" fillId="11" borderId="24" xfId="0" applyFont="1" applyFill="1" applyBorder="1" applyAlignment="1">
      <alignment vertical="center" wrapText="1"/>
    </xf>
    <xf numFmtId="0" fontId="9" fillId="0" borderId="0" xfId="3"/>
    <xf numFmtId="17" fontId="40" fillId="6" borderId="0" xfId="0" applyNumberFormat="1" applyFont="1" applyFill="1"/>
    <xf numFmtId="0" fontId="9" fillId="6" borderId="0" xfId="3" applyFill="1"/>
    <xf numFmtId="0" fontId="7" fillId="5" borderId="1" xfId="0" applyFont="1" applyFill="1" applyBorder="1" applyAlignment="1">
      <alignment horizontal="center" vertical="center" wrapText="1"/>
    </xf>
    <xf numFmtId="0" fontId="0" fillId="5" borderId="0" xfId="0" applyFill="1" applyAlignment="1">
      <alignment horizontal="center" vertical="center" wrapText="1"/>
    </xf>
    <xf numFmtId="10" fontId="10" fillId="4" borderId="1" xfId="1" applyNumberFormat="1" applyFont="1" applyFill="1" applyBorder="1" applyAlignment="1">
      <alignment horizontal="center" vertical="center" wrapText="1"/>
    </xf>
    <xf numFmtId="0" fontId="10" fillId="4" borderId="1" xfId="3" applyFont="1" applyFill="1" applyBorder="1" applyAlignment="1">
      <alignment horizontal="center" vertical="center" wrapText="1"/>
    </xf>
    <xf numFmtId="0" fontId="0" fillId="6" borderId="0" xfId="0" applyFont="1" applyFill="1" applyAlignment="1">
      <alignment horizontal="left"/>
    </xf>
    <xf numFmtId="0" fontId="0" fillId="6" borderId="0" xfId="0" applyFont="1" applyFill="1" applyAlignment="1">
      <alignment horizontal="left" wrapText="1"/>
    </xf>
    <xf numFmtId="49" fontId="0" fillId="0" borderId="0" xfId="0" applyNumberFormat="1" applyAlignment="1">
      <alignment horizontal="center"/>
    </xf>
    <xf numFmtId="0" fontId="0" fillId="0" borderId="0" xfId="0" applyAlignment="1">
      <alignment horizontal="left" vertical="center"/>
    </xf>
    <xf numFmtId="0" fontId="0" fillId="0" borderId="0" xfId="0" applyAlignment="1">
      <alignment horizontal="left"/>
    </xf>
    <xf numFmtId="0" fontId="0" fillId="0" borderId="0" xfId="0" quotePrefix="1"/>
    <xf numFmtId="0" fontId="0" fillId="0" borderId="0" xfId="0" quotePrefix="1" applyAlignment="1">
      <alignment horizontal="left" vertical="center"/>
    </xf>
    <xf numFmtId="0" fontId="22" fillId="6" borderId="0" xfId="0" applyFont="1" applyFill="1"/>
    <xf numFmtId="0" fontId="20" fillId="0" borderId="0" xfId="0" applyFont="1"/>
    <xf numFmtId="0" fontId="68" fillId="0" borderId="17" xfId="0" applyFont="1" applyFill="1" applyBorder="1" applyAlignment="1">
      <alignment vertical="center" wrapText="1"/>
    </xf>
    <xf numFmtId="0" fontId="69" fillId="0" borderId="24" xfId="0" applyFont="1" applyFill="1" applyBorder="1" applyAlignment="1">
      <alignment vertical="center" wrapText="1"/>
    </xf>
    <xf numFmtId="2" fontId="71" fillId="6" borderId="0" xfId="0" applyNumberFormat="1" applyFont="1" applyFill="1" applyBorder="1" applyAlignment="1">
      <alignment horizontal="center" vertical="center" wrapText="1"/>
    </xf>
    <xf numFmtId="0" fontId="14" fillId="6" borderId="0" xfId="0" applyFont="1" applyFill="1" applyBorder="1" applyAlignment="1">
      <alignment horizontal="left"/>
    </xf>
    <xf numFmtId="0" fontId="19" fillId="3" borderId="37" xfId="0" applyFont="1" applyFill="1" applyBorder="1" applyAlignment="1">
      <alignment horizontal="center" vertical="center" wrapText="1"/>
    </xf>
    <xf numFmtId="44" fontId="0" fillId="6" borderId="0" xfId="4" applyFont="1" applyFill="1"/>
    <xf numFmtId="44" fontId="0" fillId="6" borderId="0" xfId="0" applyNumberFormat="1" applyFill="1"/>
    <xf numFmtId="10" fontId="0" fillId="6" borderId="0" xfId="0" applyNumberFormat="1" applyFill="1"/>
    <xf numFmtId="0" fontId="60" fillId="0" borderId="1" xfId="9" applyFont="1" applyBorder="1" applyAlignment="1">
      <alignment horizontal="center" wrapText="1"/>
    </xf>
    <xf numFmtId="0" fontId="14" fillId="6" borderId="0" xfId="0" quotePrefix="1" applyFont="1" applyFill="1" applyAlignment="1">
      <alignment horizontal="right"/>
    </xf>
    <xf numFmtId="0" fontId="38" fillId="6" borderId="0" xfId="0" applyFont="1" applyFill="1" applyBorder="1"/>
    <xf numFmtId="37" fontId="38" fillId="6" borderId="0" xfId="0" applyNumberFormat="1" applyFont="1" applyFill="1" applyBorder="1" applyAlignment="1">
      <alignment horizontal="center"/>
    </xf>
    <xf numFmtId="0" fontId="17" fillId="6" borderId="0" xfId="0" applyFont="1" applyFill="1" applyBorder="1"/>
    <xf numFmtId="39" fontId="17" fillId="6" borderId="0" xfId="0" applyNumberFormat="1" applyFont="1" applyFill="1" applyBorder="1"/>
    <xf numFmtId="37" fontId="17" fillId="6" borderId="0" xfId="0" applyNumberFormat="1" applyFont="1" applyFill="1" applyBorder="1"/>
    <xf numFmtId="165" fontId="17" fillId="6" borderId="0" xfId="0" applyNumberFormat="1" applyFont="1" applyFill="1" applyBorder="1"/>
    <xf numFmtId="7" fontId="17" fillId="6" borderId="0" xfId="0" applyNumberFormat="1" applyFont="1" applyFill="1" applyBorder="1"/>
    <xf numFmtId="7" fontId="20" fillId="6" borderId="0" xfId="0" applyNumberFormat="1" applyFont="1" applyFill="1" applyBorder="1"/>
    <xf numFmtId="167" fontId="0" fillId="6" borderId="0" xfId="0" applyNumberFormat="1" applyFill="1" applyBorder="1" applyAlignment="1">
      <alignment horizontal="center"/>
    </xf>
    <xf numFmtId="167" fontId="37" fillId="6" borderId="0" xfId="0" applyNumberFormat="1" applyFont="1" applyFill="1" applyBorder="1" applyAlignment="1">
      <alignment horizontal="center"/>
    </xf>
    <xf numFmtId="3" fontId="10" fillId="9" borderId="8" xfId="7" applyNumberFormat="1" applyFont="1" applyFill="1" applyBorder="1" applyAlignment="1">
      <alignment horizontal="center" wrapText="1"/>
    </xf>
    <xf numFmtId="0" fontId="0" fillId="0" borderId="1" xfId="0" applyBorder="1"/>
    <xf numFmtId="0" fontId="75" fillId="0" borderId="0" xfId="0" applyFont="1"/>
    <xf numFmtId="166" fontId="56" fillId="0" borderId="0" xfId="0" applyNumberFormat="1" applyFont="1" applyAlignment="1">
      <alignment horizontal="center"/>
    </xf>
    <xf numFmtId="0" fontId="0" fillId="6" borderId="39" xfId="0" applyFill="1" applyBorder="1" applyAlignment="1">
      <alignment vertical="center" wrapText="1"/>
    </xf>
    <xf numFmtId="0" fontId="60" fillId="5" borderId="1" xfId="9" applyFont="1" applyFill="1" applyBorder="1" applyAlignment="1">
      <alignment horizontal="center" wrapText="1"/>
    </xf>
    <xf numFmtId="0" fontId="60" fillId="5" borderId="23" xfId="9" applyFont="1" applyFill="1" applyBorder="1" applyAlignment="1">
      <alignment horizontal="center" wrapText="1"/>
    </xf>
    <xf numFmtId="167" fontId="61" fillId="5" borderId="1" xfId="9" applyNumberFormat="1" applyFont="1" applyFill="1" applyBorder="1" applyAlignment="1">
      <alignment horizontal="center"/>
    </xf>
    <xf numFmtId="0" fontId="60" fillId="10" borderId="1" xfId="9" applyFont="1" applyFill="1" applyBorder="1" applyAlignment="1">
      <alignment horizontal="center" wrapText="1"/>
    </xf>
    <xf numFmtId="0" fontId="60" fillId="10" borderId="23" xfId="9" applyFont="1" applyFill="1" applyBorder="1" applyAlignment="1">
      <alignment horizontal="center" wrapText="1"/>
    </xf>
    <xf numFmtId="8" fontId="61" fillId="10" borderId="1" xfId="9" applyNumberFormat="1" applyFont="1" applyFill="1" applyBorder="1" applyAlignment="1">
      <alignment horizontal="center" wrapText="1"/>
    </xf>
    <xf numFmtId="167" fontId="61" fillId="10" borderId="1" xfId="9" applyNumberFormat="1" applyFont="1" applyFill="1" applyBorder="1" applyAlignment="1">
      <alignment horizontal="center"/>
    </xf>
    <xf numFmtId="0" fontId="60" fillId="2" borderId="1" xfId="9" applyFont="1" applyFill="1" applyBorder="1" applyAlignment="1">
      <alignment horizontal="center" wrapText="1"/>
    </xf>
    <xf numFmtId="0" fontId="60" fillId="2" borderId="23" xfId="9" applyFont="1" applyFill="1" applyBorder="1" applyAlignment="1">
      <alignment horizontal="center" wrapText="1"/>
    </xf>
    <xf numFmtId="167" fontId="61" fillId="2" borderId="1" xfId="9" applyNumberFormat="1" applyFont="1" applyFill="1" applyBorder="1" applyAlignment="1">
      <alignment horizontal="center"/>
    </xf>
    <xf numFmtId="0" fontId="79" fillId="6" borderId="0" xfId="0" applyFont="1" applyFill="1" applyAlignment="1">
      <alignment horizontal="center" vertical="center"/>
    </xf>
    <xf numFmtId="0" fontId="14" fillId="5" borderId="0" xfId="0" applyFont="1" applyFill="1" applyAlignment="1">
      <alignment horizontal="center" vertical="center" wrapText="1"/>
    </xf>
    <xf numFmtId="0" fontId="55" fillId="3" borderId="1" xfId="0" applyFont="1" applyFill="1" applyBorder="1" applyAlignment="1">
      <alignment horizontal="center" vertical="center" wrapText="1"/>
    </xf>
    <xf numFmtId="8" fontId="61" fillId="0" borderId="1" xfId="9" applyNumberFormat="1" applyFont="1" applyBorder="1" applyAlignment="1">
      <alignment horizontal="center" vertical="center" wrapText="1"/>
    </xf>
    <xf numFmtId="0" fontId="60" fillId="0" borderId="1" xfId="9" applyFont="1" applyBorder="1" applyAlignment="1">
      <alignment horizontal="center" vertical="center" wrapText="1"/>
    </xf>
    <xf numFmtId="0" fontId="60" fillId="0" borderId="1" xfId="9" applyFont="1" applyBorder="1" applyAlignment="1">
      <alignment vertical="center" wrapText="1"/>
    </xf>
    <xf numFmtId="0" fontId="9" fillId="5" borderId="1" xfId="3" applyFill="1" applyBorder="1" applyAlignment="1">
      <alignment horizontal="center" vertical="center" wrapText="1"/>
    </xf>
    <xf numFmtId="0" fontId="9" fillId="3" borderId="1" xfId="3" applyFill="1" applyBorder="1" applyAlignment="1">
      <alignment horizontal="center" vertical="center" wrapText="1"/>
    </xf>
    <xf numFmtId="0" fontId="7" fillId="2" borderId="1" xfId="0" applyFont="1" applyFill="1" applyBorder="1" applyAlignment="1">
      <alignment horizontal="center" wrapText="1"/>
    </xf>
    <xf numFmtId="0" fontId="0" fillId="6" borderId="0" xfId="0" applyFill="1" applyBorder="1" applyAlignment="1">
      <alignment vertical="center" wrapText="1"/>
    </xf>
    <xf numFmtId="10" fontId="29" fillId="14" borderId="1" xfId="1" applyNumberFormat="1" applyFont="1" applyFill="1" applyBorder="1" applyAlignment="1">
      <alignment horizontal="center" vertical="center" wrapText="1"/>
    </xf>
    <xf numFmtId="0" fontId="25" fillId="3" borderId="1" xfId="3" applyFont="1" applyFill="1" applyBorder="1" applyAlignment="1">
      <alignment horizontal="center" vertical="center" wrapText="1"/>
    </xf>
    <xf numFmtId="0" fontId="19" fillId="3" borderId="40" xfId="0" applyFont="1" applyFill="1" applyBorder="1" applyAlignment="1">
      <alignment horizontal="center" vertical="center" wrapText="1"/>
    </xf>
    <xf numFmtId="37" fontId="1" fillId="0" borderId="0" xfId="0" quotePrefix="1" applyNumberFormat="1" applyFont="1" applyAlignment="1">
      <alignment horizontal="center" wrapText="1"/>
    </xf>
    <xf numFmtId="37" fontId="2" fillId="8" borderId="37" xfId="0" applyNumberFormat="1" applyFont="1" applyFill="1" applyBorder="1" applyAlignment="1">
      <alignment horizontal="center" vertical="center" wrapText="1"/>
    </xf>
    <xf numFmtId="37" fontId="2" fillId="8" borderId="41" xfId="0" applyNumberFormat="1" applyFont="1" applyFill="1" applyBorder="1" applyAlignment="1">
      <alignment horizontal="center" vertical="center" wrapText="1"/>
    </xf>
    <xf numFmtId="37" fontId="2" fillId="8" borderId="38" xfId="0" applyNumberFormat="1" applyFont="1" applyFill="1" applyBorder="1" applyAlignment="1">
      <alignment horizontal="center" vertical="center" wrapText="1"/>
    </xf>
    <xf numFmtId="164" fontId="0" fillId="0" borderId="0" xfId="1" applyNumberFormat="1" applyFont="1" applyAlignment="1">
      <alignment horizontal="center"/>
    </xf>
    <xf numFmtId="0" fontId="0" fillId="0" borderId="0" xfId="0" applyAlignment="1">
      <alignment horizontal="center" vertical="center"/>
    </xf>
    <xf numFmtId="0" fontId="0" fillId="0" borderId="0" xfId="0" applyFill="1" applyAlignment="1">
      <alignment horizontal="center" vertical="center"/>
    </xf>
    <xf numFmtId="0" fontId="10" fillId="3" borderId="1" xfId="0" applyFont="1" applyFill="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xf>
    <xf numFmtId="0" fontId="80" fillId="12" borderId="1" xfId="0" applyFont="1" applyFill="1" applyBorder="1" applyAlignment="1">
      <alignment horizontal="right" vertical="center" wrapText="1"/>
    </xf>
    <xf numFmtId="0" fontId="2" fillId="6" borderId="0" xfId="0" applyFont="1" applyFill="1" applyBorder="1"/>
    <xf numFmtId="0" fontId="17" fillId="6" borderId="0" xfId="0" applyFont="1" applyFill="1" applyBorder="1" applyAlignment="1">
      <alignment horizontal="right"/>
    </xf>
    <xf numFmtId="0" fontId="17" fillId="6" borderId="0" xfId="0" applyFont="1" applyFill="1" applyBorder="1" applyAlignment="1">
      <alignment horizontal="right" vertical="center" wrapText="1"/>
    </xf>
    <xf numFmtId="170" fontId="47" fillId="6" borderId="9" xfId="0" applyNumberFormat="1" applyFont="1" applyFill="1" applyBorder="1" applyAlignment="1">
      <alignment horizontal="center"/>
    </xf>
    <xf numFmtId="167" fontId="1" fillId="6" borderId="6" xfId="0" applyNumberFormat="1" applyFont="1" applyFill="1" applyBorder="1" applyAlignment="1">
      <alignment horizontal="center"/>
    </xf>
    <xf numFmtId="0" fontId="49" fillId="6" borderId="0" xfId="0" applyFont="1" applyFill="1" applyAlignment="1">
      <alignment vertical="center" wrapText="1"/>
    </xf>
    <xf numFmtId="0" fontId="29" fillId="6" borderId="0" xfId="0" applyFont="1" applyFill="1" applyBorder="1" applyAlignment="1">
      <alignment horizontal="center" vertical="center"/>
    </xf>
    <xf numFmtId="0" fontId="29" fillId="15" borderId="1" xfId="0" applyFont="1" applyFill="1" applyBorder="1" applyAlignment="1">
      <alignment horizontal="center" vertical="center"/>
    </xf>
    <xf numFmtId="2" fontId="80" fillId="12" borderId="5" xfId="0" applyNumberFormat="1" applyFont="1" applyFill="1" applyBorder="1" applyAlignment="1">
      <alignment horizontal="center"/>
    </xf>
    <xf numFmtId="0" fontId="29" fillId="14" borderId="16" xfId="0" applyFont="1" applyFill="1" applyBorder="1" applyAlignment="1">
      <alignment horizontal="center"/>
    </xf>
    <xf numFmtId="0" fontId="20" fillId="0" borderId="1" xfId="0" applyFont="1" applyBorder="1"/>
    <xf numFmtId="0" fontId="20" fillId="6" borderId="0" xfId="0" applyFont="1" applyFill="1" applyBorder="1" applyAlignment="1">
      <alignment horizontal="center"/>
    </xf>
    <xf numFmtId="10" fontId="29" fillId="14" borderId="14" xfId="1" applyNumberFormat="1" applyFont="1" applyFill="1" applyBorder="1" applyAlignment="1">
      <alignment horizontal="center" vertical="center" wrapText="1"/>
    </xf>
    <xf numFmtId="0" fontId="10" fillId="2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174" fontId="14" fillId="0" borderId="0" xfId="4" applyNumberFormat="1" applyFont="1"/>
    <xf numFmtId="174" fontId="0" fillId="0" borderId="0" xfId="4" applyNumberFormat="1" applyFont="1"/>
    <xf numFmtId="174" fontId="0" fillId="0" borderId="0" xfId="0" applyNumberFormat="1"/>
    <xf numFmtId="164" fontId="0" fillId="0" borderId="0" xfId="0" applyNumberFormat="1" applyAlignment="1">
      <alignment horizontal="center"/>
    </xf>
    <xf numFmtId="0" fontId="0" fillId="0" borderId="0" xfId="19" applyFont="1" applyFill="1" applyBorder="1"/>
    <xf numFmtId="174" fontId="14" fillId="4" borderId="0" xfId="4" applyNumberFormat="1" applyFont="1" applyFill="1"/>
    <xf numFmtId="0" fontId="0" fillId="0" borderId="0" xfId="19" applyNumberFormat="1" applyFont="1" applyFill="1" applyBorder="1"/>
    <xf numFmtId="0" fontId="0" fillId="4" borderId="0" xfId="0" applyFill="1" applyAlignment="1">
      <alignment horizontal="center" vertical="center"/>
    </xf>
    <xf numFmtId="0" fontId="14" fillId="4" borderId="0" xfId="0" applyFont="1" applyFill="1"/>
    <xf numFmtId="0" fontId="0" fillId="4" borderId="0" xfId="0" applyFill="1" applyAlignment="1">
      <alignment horizontal="left" vertical="center"/>
    </xf>
    <xf numFmtId="0" fontId="14" fillId="0" borderId="0" xfId="0" quotePrefix="1" applyFont="1"/>
    <xf numFmtId="0" fontId="19" fillId="3" borderId="5" xfId="0" applyFont="1" applyFill="1" applyBorder="1" applyAlignment="1">
      <alignment horizontal="center" vertical="center" wrapText="1"/>
    </xf>
    <xf numFmtId="37" fontId="17" fillId="0" borderId="1" xfId="0" applyNumberFormat="1" applyFont="1" applyBorder="1" applyAlignment="1">
      <alignment horizontal="center"/>
    </xf>
    <xf numFmtId="164" fontId="17" fillId="0" borderId="1" xfId="1" applyNumberFormat="1" applyFont="1" applyBorder="1" applyAlignment="1">
      <alignment horizontal="center"/>
    </xf>
    <xf numFmtId="37" fontId="17" fillId="6" borderId="1" xfId="0" applyNumberFormat="1" applyFont="1" applyFill="1" applyBorder="1" applyAlignment="1">
      <alignment horizontal="center"/>
    </xf>
    <xf numFmtId="37" fontId="17" fillId="0" borderId="1" xfId="0" applyNumberFormat="1" applyFont="1" applyFill="1" applyBorder="1" applyAlignment="1">
      <alignment horizontal="center"/>
    </xf>
    <xf numFmtId="164" fontId="17" fillId="0" borderId="1" xfId="1" applyNumberFormat="1" applyFont="1" applyFill="1" applyBorder="1" applyAlignment="1">
      <alignment horizontal="center"/>
    </xf>
    <xf numFmtId="0" fontId="19" fillId="27" borderId="1" xfId="0" applyFont="1" applyFill="1" applyBorder="1" applyAlignment="1">
      <alignment horizontal="center" vertical="center" wrapText="1"/>
    </xf>
    <xf numFmtId="0" fontId="14" fillId="0" borderId="1" xfId="0" applyFont="1" applyBorder="1"/>
    <xf numFmtId="0" fontId="19" fillId="29" borderId="1" xfId="0" applyFont="1" applyFill="1" applyBorder="1" applyAlignment="1">
      <alignment horizontal="center" vertical="center" wrapText="1"/>
    </xf>
    <xf numFmtId="0" fontId="0" fillId="0" borderId="0" xfId="0" applyFill="1" applyAlignment="1">
      <alignment horizontal="left" vertical="center"/>
    </xf>
    <xf numFmtId="174" fontId="14" fillId="0" borderId="0" xfId="4" applyNumberFormat="1" applyFont="1" applyFill="1"/>
    <xf numFmtId="0" fontId="81" fillId="6" borderId="0" xfId="0" applyFont="1" applyFill="1" applyAlignment="1">
      <alignment vertical="center" wrapText="1"/>
    </xf>
    <xf numFmtId="0" fontId="17" fillId="6" borderId="6" xfId="0" applyFont="1" applyFill="1" applyBorder="1" applyAlignment="1">
      <alignment horizontal="center"/>
    </xf>
    <xf numFmtId="174" fontId="0" fillId="4" borderId="0" xfId="4" applyNumberFormat="1" applyFont="1" applyFill="1"/>
    <xf numFmtId="174" fontId="0" fillId="4" borderId="0" xfId="0" applyNumberFormat="1" applyFill="1"/>
    <xf numFmtId="164" fontId="0" fillId="4" borderId="0" xfId="1" applyNumberFormat="1" applyFont="1" applyFill="1" applyAlignment="1">
      <alignment horizontal="center"/>
    </xf>
    <xf numFmtId="164" fontId="0" fillId="4" borderId="0" xfId="0" applyNumberFormat="1" applyFill="1" applyAlignment="1">
      <alignment horizontal="center"/>
    </xf>
    <xf numFmtId="0" fontId="0" fillId="0" borderId="0" xfId="0" quotePrefix="1" applyFill="1"/>
    <xf numFmtId="0" fontId="10" fillId="4" borderId="18" xfId="0" applyFont="1" applyFill="1" applyBorder="1" applyAlignment="1">
      <alignment horizontal="center" vertical="center" wrapText="1"/>
    </xf>
    <xf numFmtId="0" fontId="19" fillId="4" borderId="1" xfId="0" applyFont="1" applyFill="1" applyBorder="1" applyAlignment="1">
      <alignment horizontal="center" vertical="center" wrapText="1"/>
    </xf>
    <xf numFmtId="7" fontId="17" fillId="6" borderId="1" xfId="0" quotePrefix="1" applyNumberFormat="1" applyFont="1" applyFill="1" applyBorder="1"/>
    <xf numFmtId="0" fontId="37" fillId="4" borderId="0" xfId="0" applyFont="1" applyFill="1"/>
    <xf numFmtId="37" fontId="1" fillId="6" borderId="0" xfId="0" applyNumberFormat="1" applyFont="1" applyFill="1" applyAlignment="1">
      <alignment wrapText="1"/>
    </xf>
    <xf numFmtId="49" fontId="1" fillId="0" borderId="1" xfId="0" applyNumberFormat="1" applyFont="1" applyFill="1" applyBorder="1" applyAlignment="1">
      <alignment horizontal="center"/>
    </xf>
    <xf numFmtId="49" fontId="1" fillId="6" borderId="1" xfId="0" applyNumberFormat="1" applyFont="1" applyFill="1" applyBorder="1" applyAlignment="1">
      <alignment horizontal="center"/>
    </xf>
    <xf numFmtId="49" fontId="1" fillId="0" borderId="1" xfId="0" applyNumberFormat="1" applyFont="1" applyBorder="1" applyAlignment="1">
      <alignment horizontal="center"/>
    </xf>
    <xf numFmtId="0" fontId="1" fillId="0" borderId="1" xfId="0" applyNumberFormat="1" applyFont="1" applyBorder="1" applyAlignment="1">
      <alignment horizontal="center"/>
    </xf>
    <xf numFmtId="0" fontId="37" fillId="0" borderId="0" xfId="19" applyFont="1" applyFill="1" applyBorder="1"/>
    <xf numFmtId="0" fontId="53" fillId="6" borderId="0" xfId="0" applyFont="1" applyFill="1"/>
    <xf numFmtId="0" fontId="11" fillId="28" borderId="1" xfId="0" applyFont="1" applyFill="1" applyBorder="1" applyAlignment="1">
      <alignment horizontal="center" vertical="center" wrapText="1"/>
    </xf>
    <xf numFmtId="0" fontId="20" fillId="0" borderId="1" xfId="0" applyFont="1" applyFill="1" applyBorder="1"/>
    <xf numFmtId="0" fontId="20" fillId="6" borderId="1" xfId="0" applyFont="1" applyFill="1" applyBorder="1"/>
    <xf numFmtId="0" fontId="41" fillId="6" borderId="0" xfId="0" applyFont="1" applyFill="1" applyAlignment="1">
      <alignment vertical="center" readingOrder="1"/>
    </xf>
    <xf numFmtId="0" fontId="14" fillId="0" borderId="1" xfId="0" applyFont="1" applyBorder="1" applyAlignment="1">
      <alignment vertical="center" wrapText="1"/>
    </xf>
    <xf numFmtId="0" fontId="0" fillId="0" borderId="0" xfId="0" applyAlignment="1">
      <alignment horizontal="center"/>
    </xf>
    <xf numFmtId="0" fontId="37" fillId="0" borderId="0" xfId="0" applyFont="1"/>
    <xf numFmtId="0" fontId="0" fillId="0" borderId="0" xfId="0" applyAlignment="1">
      <alignment horizontal="center" vertical="center"/>
    </xf>
    <xf numFmtId="0" fontId="0" fillId="4" borderId="0" xfId="0" quotePrefix="1" applyFill="1"/>
    <xf numFmtId="0" fontId="0" fillId="0" borderId="0" xfId="0" applyAlignment="1">
      <alignment wrapText="1"/>
    </xf>
    <xf numFmtId="0" fontId="7" fillId="5" borderId="1" xfId="0" applyFont="1" applyFill="1" applyBorder="1" applyAlignment="1">
      <alignment vertical="center" wrapText="1"/>
    </xf>
    <xf numFmtId="166" fontId="0" fillId="0" borderId="1" xfId="0" applyNumberFormat="1" applyBorder="1" applyAlignment="1">
      <alignment horizontal="center"/>
    </xf>
    <xf numFmtId="166" fontId="56" fillId="0" borderId="2" xfId="0" applyNumberFormat="1" applyFont="1" applyBorder="1" applyAlignment="1">
      <alignment horizontal="center"/>
    </xf>
    <xf numFmtId="0" fontId="56" fillId="0" borderId="0" xfId="0" applyFont="1" applyAlignment="1">
      <alignment horizontal="center" vertical="top"/>
    </xf>
    <xf numFmtId="0" fontId="78" fillId="0" borderId="0" xfId="0" applyFont="1" applyAlignment="1">
      <alignment horizontal="center" vertical="top"/>
    </xf>
    <xf numFmtId="166" fontId="56" fillId="0" borderId="0" xfId="0" applyNumberFormat="1" applyFont="1" applyAlignment="1">
      <alignment horizontal="center" vertical="top"/>
    </xf>
    <xf numFmtId="166" fontId="14" fillId="0" borderId="0" xfId="0" applyNumberFormat="1" applyFont="1" applyAlignment="1">
      <alignment horizontal="center" vertical="top"/>
    </xf>
    <xf numFmtId="166" fontId="0" fillId="0" borderId="0" xfId="0" applyNumberFormat="1" applyAlignment="1">
      <alignment horizontal="center"/>
    </xf>
    <xf numFmtId="0" fontId="0" fillId="0" borderId="1" xfId="0" applyBorder="1" applyAlignment="1">
      <alignment horizontal="center"/>
    </xf>
    <xf numFmtId="0" fontId="56" fillId="0" borderId="2" xfId="0" applyFont="1" applyBorder="1" applyAlignment="1">
      <alignment horizontal="center"/>
    </xf>
    <xf numFmtId="0" fontId="56" fillId="0" borderId="0" xfId="0" applyFont="1" applyAlignment="1">
      <alignment horizontal="center"/>
    </xf>
    <xf numFmtId="0" fontId="8" fillId="0" borderId="0" xfId="0" applyFont="1" applyAlignment="1">
      <alignment horizontal="center" vertical="top"/>
    </xf>
    <xf numFmtId="0" fontId="9" fillId="6" borderId="1" xfId="3" applyFill="1" applyBorder="1" applyAlignment="1">
      <alignment horizontal="center" vertical="center" wrapText="1"/>
    </xf>
    <xf numFmtId="0" fontId="94" fillId="6" borderId="0" xfId="0" applyFont="1" applyFill="1"/>
    <xf numFmtId="49" fontId="0" fillId="0" borderId="0" xfId="0" applyNumberFormat="1" applyFill="1"/>
    <xf numFmtId="0" fontId="0" fillId="0" borderId="0" xfId="0" applyFill="1" applyAlignment="1">
      <alignment horizontal="center"/>
    </xf>
    <xf numFmtId="49" fontId="0" fillId="0" borderId="0" xfId="0" applyNumberFormat="1" applyFill="1" applyAlignment="1">
      <alignment horizontal="center"/>
    </xf>
    <xf numFmtId="1" fontId="0" fillId="0" borderId="0" xfId="0" applyNumberFormat="1" applyFill="1"/>
    <xf numFmtId="2" fontId="0" fillId="0" borderId="0" xfId="0" applyNumberFormat="1" applyFill="1"/>
    <xf numFmtId="166" fontId="0" fillId="0" borderId="0" xfId="0" applyNumberFormat="1" applyFill="1"/>
    <xf numFmtId="2" fontId="14" fillId="6" borderId="8" xfId="0" applyNumberFormat="1" applyFont="1" applyFill="1" applyBorder="1" applyAlignment="1">
      <alignment horizontal="center" vertical="center" wrapText="1"/>
    </xf>
    <xf numFmtId="2" fontId="14" fillId="11" borderId="8" xfId="0" applyNumberFormat="1" applyFont="1" applyFill="1" applyBorder="1" applyAlignment="1">
      <alignment horizontal="center" vertical="center" wrapText="1"/>
    </xf>
    <xf numFmtId="1" fontId="14" fillId="6" borderId="8" xfId="0" applyNumberFormat="1" applyFont="1" applyFill="1" applyBorder="1" applyAlignment="1">
      <alignment horizontal="center" vertical="center" wrapText="1"/>
    </xf>
    <xf numFmtId="167" fontId="14" fillId="6" borderId="8" xfId="0" applyNumberFormat="1" applyFont="1" applyFill="1" applyBorder="1" applyAlignment="1">
      <alignment horizontal="center" vertical="center" wrapText="1"/>
    </xf>
    <xf numFmtId="0" fontId="14" fillId="6" borderId="8" xfId="0" applyFont="1" applyFill="1" applyBorder="1" applyAlignment="1">
      <alignment horizontal="center" vertical="center" wrapText="1"/>
    </xf>
    <xf numFmtId="8" fontId="14" fillId="6" borderId="8" xfId="0" applyNumberFormat="1" applyFont="1" applyFill="1" applyBorder="1" applyAlignment="1">
      <alignment horizontal="center" vertical="center" wrapText="1"/>
    </xf>
    <xf numFmtId="167" fontId="14" fillId="6" borderId="9" xfId="0" applyNumberFormat="1" applyFont="1" applyFill="1" applyBorder="1" applyAlignment="1">
      <alignment horizontal="center" vertical="center" wrapText="1"/>
    </xf>
    <xf numFmtId="167" fontId="14" fillId="6" borderId="1" xfId="2" applyNumberFormat="1" applyFont="1" applyFill="1" applyBorder="1" applyAlignment="1">
      <alignment horizontal="center" vertical="center" wrapText="1"/>
    </xf>
    <xf numFmtId="167" fontId="14" fillId="11" borderId="8" xfId="0" applyNumberFormat="1" applyFont="1" applyFill="1" applyBorder="1" applyAlignment="1">
      <alignment horizontal="center" vertical="center" wrapText="1"/>
    </xf>
    <xf numFmtId="167" fontId="14" fillId="0" borderId="8" xfId="0" applyNumberFormat="1" applyFont="1" applyBorder="1" applyAlignment="1">
      <alignment horizontal="center" vertical="center" wrapText="1"/>
    </xf>
    <xf numFmtId="167" fontId="14" fillId="0" borderId="9" xfId="0" applyNumberFormat="1" applyFont="1" applyBorder="1" applyAlignment="1">
      <alignment horizontal="center" vertical="center" wrapText="1"/>
    </xf>
    <xf numFmtId="166" fontId="14" fillId="6" borderId="1" xfId="0" applyNumberFormat="1" applyFont="1" applyFill="1" applyBorder="1" applyAlignment="1">
      <alignment horizontal="center" vertical="center"/>
    </xf>
    <xf numFmtId="168" fontId="14" fillId="6" borderId="1" xfId="0" applyNumberFormat="1" applyFont="1" applyFill="1" applyBorder="1" applyAlignment="1">
      <alignment horizontal="center" vertical="center"/>
    </xf>
    <xf numFmtId="167" fontId="14" fillId="0" borderId="1" xfId="0" applyNumberFormat="1" applyFont="1" applyBorder="1" applyAlignment="1">
      <alignment horizontal="center"/>
    </xf>
    <xf numFmtId="167" fontId="14" fillId="6" borderId="1" xfId="0" applyNumberFormat="1" applyFont="1" applyFill="1" applyBorder="1" applyAlignment="1">
      <alignment horizontal="center" vertical="center"/>
    </xf>
    <xf numFmtId="9" fontId="14" fillId="6" borderId="5" xfId="1" applyFont="1" applyFill="1" applyBorder="1" applyAlignment="1">
      <alignment horizontal="center" vertical="center"/>
    </xf>
    <xf numFmtId="167" fontId="14" fillId="0" borderId="1" xfId="0" applyNumberFormat="1" applyFont="1" applyBorder="1" applyAlignment="1">
      <alignment horizontal="center" vertical="center"/>
    </xf>
    <xf numFmtId="9" fontId="14" fillId="6" borderId="1" xfId="1" applyFont="1" applyFill="1" applyBorder="1" applyAlignment="1">
      <alignment horizontal="center" vertical="center"/>
    </xf>
    <xf numFmtId="9" fontId="14" fillId="0" borderId="1" xfId="1" applyFont="1" applyFill="1" applyBorder="1" applyAlignment="1">
      <alignment horizontal="center" vertical="center"/>
    </xf>
    <xf numFmtId="167" fontId="14" fillId="11" borderId="1" xfId="0" applyNumberFormat="1" applyFont="1" applyFill="1" applyBorder="1" applyAlignment="1">
      <alignment horizontal="center"/>
    </xf>
    <xf numFmtId="7" fontId="17" fillId="0" borderId="1" xfId="0" applyNumberFormat="1" applyFont="1" applyBorder="1"/>
    <xf numFmtId="7" fontId="17" fillId="0" borderId="8" xfId="0" applyNumberFormat="1" applyFont="1" applyBorder="1"/>
    <xf numFmtId="167" fontId="17" fillId="0" borderId="8" xfId="0" quotePrefix="1" applyNumberFormat="1" applyFont="1" applyBorder="1" applyAlignment="1">
      <alignment horizontal="center" wrapText="1"/>
    </xf>
    <xf numFmtId="7" fontId="17" fillId="0" borderId="1" xfId="0" quotePrefix="1" applyNumberFormat="1" applyFont="1" applyBorder="1"/>
    <xf numFmtId="7" fontId="17" fillId="11" borderId="1" xfId="0" applyNumberFormat="1" applyFont="1" applyFill="1" applyBorder="1"/>
    <xf numFmtId="37" fontId="17" fillId="6" borderId="0" xfId="0" applyNumberFormat="1" applyFont="1" applyFill="1"/>
    <xf numFmtId="37" fontId="17" fillId="6" borderId="0" xfId="0" applyNumberFormat="1" applyFont="1" applyFill="1" applyAlignment="1">
      <alignment wrapText="1"/>
    </xf>
    <xf numFmtId="167" fontId="19" fillId="14" borderId="14" xfId="0" applyNumberFormat="1" applyFont="1" applyFill="1" applyBorder="1" applyAlignment="1">
      <alignment horizontal="center" vertical="center" wrapText="1"/>
    </xf>
    <xf numFmtId="0" fontId="21" fillId="6" borderId="0" xfId="0" applyFont="1" applyFill="1" applyBorder="1" applyAlignment="1">
      <alignment horizontal="center"/>
    </xf>
    <xf numFmtId="0" fontId="20" fillId="6" borderId="0" xfId="0" applyFont="1" applyFill="1" applyBorder="1"/>
    <xf numFmtId="9" fontId="21" fillId="6" borderId="0" xfId="1" applyFont="1" applyFill="1" applyBorder="1" applyAlignment="1">
      <alignment horizontal="center"/>
    </xf>
    <xf numFmtId="9" fontId="20" fillId="6" borderId="1" xfId="1" applyFont="1" applyFill="1" applyBorder="1" applyAlignment="1">
      <alignment horizontal="center" vertical="center"/>
    </xf>
    <xf numFmtId="9" fontId="20" fillId="6" borderId="0" xfId="1" applyFont="1" applyFill="1" applyBorder="1" applyAlignment="1">
      <alignment horizontal="center" vertical="center"/>
    </xf>
    <xf numFmtId="9" fontId="20" fillId="6" borderId="11" xfId="1" applyFont="1" applyFill="1" applyBorder="1" applyAlignment="1">
      <alignment horizontal="center" vertical="center"/>
    </xf>
    <xf numFmtId="0" fontId="7" fillId="11" borderId="1" xfId="0" applyFont="1" applyFill="1" applyBorder="1" applyAlignment="1">
      <alignment horizontal="center" vertical="center" wrapText="1"/>
    </xf>
    <xf numFmtId="166" fontId="7" fillId="18" borderId="1" xfId="0" applyNumberFormat="1" applyFont="1" applyFill="1" applyBorder="1" applyAlignment="1">
      <alignment horizontal="center" vertical="center" wrapText="1"/>
    </xf>
    <xf numFmtId="0" fontId="7" fillId="18" borderId="1" xfId="0" applyFont="1" applyFill="1" applyBorder="1" applyAlignment="1">
      <alignment horizontal="center" vertical="center" wrapText="1"/>
    </xf>
    <xf numFmtId="173" fontId="7" fillId="18" borderId="1" xfId="0" applyNumberFormat="1" applyFont="1" applyFill="1" applyBorder="1" applyAlignment="1">
      <alignment horizontal="center" vertical="center" wrapText="1"/>
    </xf>
    <xf numFmtId="2" fontId="7" fillId="18" borderId="1" xfId="0" applyNumberFormat="1" applyFont="1" applyFill="1" applyBorder="1" applyAlignment="1">
      <alignment horizontal="center" vertical="center" wrapText="1"/>
    </xf>
    <xf numFmtId="173" fontId="10" fillId="18" borderId="1" xfId="0" applyNumberFormat="1" applyFont="1" applyFill="1" applyBorder="1" applyAlignment="1">
      <alignment horizontal="center" vertical="center" wrapText="1"/>
    </xf>
    <xf numFmtId="170" fontId="7" fillId="18" borderId="1" xfId="0" applyNumberFormat="1" applyFont="1" applyFill="1" applyBorder="1" applyAlignment="1">
      <alignment horizontal="center" vertical="center" wrapText="1"/>
    </xf>
    <xf numFmtId="166" fontId="7" fillId="11" borderId="1" xfId="0" applyNumberFormat="1" applyFont="1" applyFill="1" applyBorder="1" applyAlignment="1">
      <alignment horizontal="center" vertical="center" wrapText="1"/>
    </xf>
    <xf numFmtId="168" fontId="7" fillId="18" borderId="1" xfId="0" applyNumberFormat="1" applyFont="1" applyFill="1" applyBorder="1" applyAlignment="1">
      <alignment horizontal="center" vertical="center" wrapText="1"/>
    </xf>
    <xf numFmtId="168" fontId="74" fillId="16" borderId="1" xfId="0" applyNumberFormat="1" applyFont="1" applyFill="1" applyBorder="1" applyAlignment="1">
      <alignment horizontal="center" vertical="center" wrapText="1"/>
    </xf>
    <xf numFmtId="166" fontId="74" fillId="16"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7" fillId="18" borderId="1" xfId="0" applyFont="1" applyFill="1" applyBorder="1" applyAlignment="1">
      <alignment horizontal="center" vertical="center"/>
    </xf>
    <xf numFmtId="0" fontId="79" fillId="0" borderId="0" xfId="0" applyFont="1"/>
    <xf numFmtId="167" fontId="79" fillId="0" borderId="0" xfId="0" applyNumberFormat="1" applyFont="1" applyAlignment="1">
      <alignment horizontal="center"/>
    </xf>
    <xf numFmtId="167" fontId="79" fillId="0" borderId="0" xfId="0" applyNumberFormat="1" applyFont="1"/>
    <xf numFmtId="0" fontId="44" fillId="11" borderId="1" xfId="0" applyFont="1" applyFill="1" applyBorder="1" applyAlignment="1">
      <alignment vertical="center" wrapText="1"/>
    </xf>
    <xf numFmtId="0" fontId="73" fillId="9" borderId="1" xfId="3" applyFont="1" applyFill="1" applyBorder="1" applyAlignment="1">
      <alignment horizontal="left" vertical="center" wrapText="1"/>
    </xf>
    <xf numFmtId="37" fontId="73" fillId="9" borderId="1" xfId="3" applyNumberFormat="1" applyFont="1" applyFill="1" applyBorder="1" applyAlignment="1">
      <alignment vertical="center" wrapText="1"/>
    </xf>
    <xf numFmtId="0" fontId="73" fillId="9" borderId="1" xfId="3" applyFont="1" applyFill="1" applyBorder="1" applyAlignment="1">
      <alignment wrapText="1"/>
    </xf>
    <xf numFmtId="0" fontId="45" fillId="9" borderId="1" xfId="0" applyFont="1" applyFill="1" applyBorder="1" applyAlignment="1">
      <alignment horizontal="left" vertical="center" wrapText="1"/>
    </xf>
    <xf numFmtId="0" fontId="39" fillId="9" borderId="1" xfId="0" applyFont="1" applyFill="1" applyBorder="1" applyAlignment="1">
      <alignment horizontal="left" vertical="center" wrapText="1"/>
    </xf>
    <xf numFmtId="0" fontId="44" fillId="12" borderId="2" xfId="0" applyFont="1" applyFill="1" applyBorder="1" applyAlignment="1">
      <alignment horizontal="left" vertical="center" wrapText="1"/>
    </xf>
    <xf numFmtId="0" fontId="44" fillId="12" borderId="2" xfId="0" applyFont="1" applyFill="1" applyBorder="1" applyAlignment="1">
      <alignment horizontal="center" vertical="center" wrapText="1"/>
    </xf>
    <xf numFmtId="0" fontId="1" fillId="4" borderId="0" xfId="0" applyFont="1" applyFill="1"/>
    <xf numFmtId="37" fontId="1" fillId="0" borderId="1" xfId="0" applyNumberFormat="1" applyFont="1" applyBorder="1" applyAlignment="1">
      <alignment horizontal="center"/>
    </xf>
    <xf numFmtId="0" fontId="1" fillId="0" borderId="1" xfId="0" applyNumberFormat="1" applyFont="1" applyBorder="1" applyAlignment="1">
      <alignment horizontal="left"/>
    </xf>
    <xf numFmtId="164" fontId="1" fillId="0" borderId="8" xfId="1" applyNumberFormat="1" applyFont="1" applyBorder="1" applyAlignment="1">
      <alignment horizontal="center"/>
    </xf>
    <xf numFmtId="3" fontId="1" fillId="0" borderId="8" xfId="1" applyNumberFormat="1" applyFont="1" applyBorder="1" applyAlignment="1">
      <alignment horizontal="center"/>
    </xf>
    <xf numFmtId="164" fontId="1" fillId="0" borderId="1" xfId="1" quotePrefix="1" applyNumberFormat="1" applyFont="1" applyBorder="1" applyAlignment="1">
      <alignment horizontal="center"/>
    </xf>
    <xf numFmtId="164" fontId="1" fillId="0" borderId="1" xfId="1" applyNumberFormat="1" applyFont="1" applyBorder="1" applyAlignment="1">
      <alignment horizontal="center"/>
    </xf>
    <xf numFmtId="37" fontId="1" fillId="6" borderId="1" xfId="0" applyNumberFormat="1" applyFont="1" applyFill="1" applyBorder="1" applyAlignment="1">
      <alignment horizontal="center"/>
    </xf>
    <xf numFmtId="164" fontId="1" fillId="4" borderId="1" xfId="1" quotePrefix="1" applyNumberFormat="1" applyFont="1" applyFill="1" applyBorder="1" applyAlignment="1">
      <alignment horizontal="center"/>
    </xf>
    <xf numFmtId="37" fontId="1" fillId="4" borderId="1" xfId="0" applyNumberFormat="1" applyFont="1" applyFill="1" applyBorder="1" applyAlignment="1">
      <alignment horizontal="center"/>
    </xf>
    <xf numFmtId="164" fontId="1" fillId="0" borderId="1" xfId="1" applyNumberFormat="1" applyFont="1" applyFill="1" applyBorder="1" applyAlignment="1">
      <alignment horizontal="center"/>
    </xf>
    <xf numFmtId="164" fontId="1" fillId="4" borderId="8" xfId="1" applyNumberFormat="1" applyFont="1" applyFill="1" applyBorder="1" applyAlignment="1">
      <alignment horizontal="center"/>
    </xf>
    <xf numFmtId="3" fontId="1" fillId="4" borderId="8" xfId="1" applyNumberFormat="1" applyFont="1" applyFill="1" applyBorder="1" applyAlignment="1">
      <alignment horizontal="center"/>
    </xf>
    <xf numFmtId="164" fontId="1" fillId="4" borderId="1" xfId="1" quotePrefix="1" applyNumberFormat="1" applyFont="1" applyFill="1" applyBorder="1" applyAlignment="1">
      <alignment horizontal="left"/>
    </xf>
    <xf numFmtId="37" fontId="1" fillId="0" borderId="1" xfId="0" applyNumberFormat="1" applyFont="1" applyFill="1" applyBorder="1" applyAlignment="1">
      <alignment horizontal="center"/>
    </xf>
    <xf numFmtId="164" fontId="1" fillId="0" borderId="8" xfId="1" applyNumberFormat="1" applyFont="1" applyFill="1" applyBorder="1" applyAlignment="1">
      <alignment horizontal="center"/>
    </xf>
    <xf numFmtId="3" fontId="1" fillId="0" borderId="8" xfId="1" applyNumberFormat="1" applyFont="1" applyFill="1" applyBorder="1" applyAlignment="1">
      <alignment horizontal="center"/>
    </xf>
    <xf numFmtId="10" fontId="9" fillId="5" borderId="1" xfId="3" applyNumberFormat="1" applyFill="1" applyBorder="1" applyAlignment="1">
      <alignment horizontal="center" vertical="center" wrapText="1"/>
    </xf>
    <xf numFmtId="0" fontId="9" fillId="5" borderId="0" xfId="3" applyFill="1" applyAlignment="1">
      <alignment horizontal="center" vertical="center" wrapText="1"/>
    </xf>
    <xf numFmtId="0" fontId="43" fillId="6" borderId="24" xfId="0" applyFont="1" applyFill="1" applyBorder="1" applyAlignment="1">
      <alignment horizontal="left" vertical="center" wrapText="1"/>
    </xf>
    <xf numFmtId="0" fontId="39" fillId="6" borderId="51" xfId="0" applyFont="1" applyFill="1" applyBorder="1" applyAlignment="1">
      <alignment horizontal="left" vertical="center" wrapText="1"/>
    </xf>
    <xf numFmtId="0" fontId="43" fillId="6" borderId="21" xfId="0" applyFont="1" applyFill="1" applyBorder="1" applyAlignment="1">
      <alignment horizontal="left" vertical="center" wrapText="1"/>
    </xf>
    <xf numFmtId="0" fontId="39" fillId="6" borderId="21" xfId="0" applyFont="1" applyFill="1" applyBorder="1" applyAlignment="1">
      <alignment horizontal="left" vertical="center" wrapText="1"/>
    </xf>
    <xf numFmtId="0" fontId="43" fillId="6" borderId="52" xfId="0" applyFont="1" applyFill="1" applyBorder="1" applyAlignment="1">
      <alignment horizontal="left" vertical="center" wrapText="1"/>
    </xf>
    <xf numFmtId="10" fontId="73" fillId="6" borderId="21" xfId="3" applyNumberFormat="1" applyFont="1" applyFill="1" applyBorder="1" applyAlignment="1">
      <alignment horizontal="left" vertical="center" wrapText="1"/>
    </xf>
    <xf numFmtId="0" fontId="73" fillId="6" borderId="52" xfId="3" applyFont="1" applyFill="1" applyBorder="1" applyAlignment="1">
      <alignment horizontal="left" vertical="center" wrapText="1"/>
    </xf>
    <xf numFmtId="0" fontId="39" fillId="6" borderId="52" xfId="0" applyFont="1" applyFill="1" applyBorder="1" applyAlignment="1">
      <alignment horizontal="left" vertical="center" wrapText="1"/>
    </xf>
    <xf numFmtId="0" fontId="43" fillId="6" borderId="21" xfId="0" applyFont="1" applyFill="1" applyBorder="1" applyAlignment="1">
      <alignment vertical="center" wrapText="1"/>
    </xf>
    <xf numFmtId="0" fontId="43" fillId="6" borderId="30" xfId="0" applyFont="1" applyFill="1" applyBorder="1" applyAlignment="1">
      <alignment vertical="center" wrapText="1"/>
    </xf>
    <xf numFmtId="0" fontId="39" fillId="6" borderId="24" xfId="0" applyFont="1" applyFill="1" applyBorder="1" applyAlignment="1">
      <alignment horizontal="left" vertical="center" wrapText="1"/>
    </xf>
    <xf numFmtId="37" fontId="39" fillId="6" borderId="51" xfId="0" applyNumberFormat="1" applyFont="1" applyFill="1" applyBorder="1" applyAlignment="1">
      <alignment horizontal="left" vertical="center" wrapText="1"/>
    </xf>
    <xf numFmtId="37" fontId="39" fillId="6" borderId="21" xfId="0" applyNumberFormat="1" applyFont="1" applyFill="1" applyBorder="1" applyAlignment="1">
      <alignment horizontal="left" vertical="center" wrapText="1"/>
    </xf>
    <xf numFmtId="37" fontId="73" fillId="6" borderId="21" xfId="3" applyNumberFormat="1" applyFont="1" applyFill="1" applyBorder="1" applyAlignment="1">
      <alignment horizontal="left" vertical="center" wrapText="1"/>
    </xf>
    <xf numFmtId="37" fontId="39" fillId="6" borderId="30" xfId="0" applyNumberFormat="1" applyFont="1" applyFill="1" applyBorder="1" applyAlignment="1">
      <alignment horizontal="left" vertical="center" wrapText="1"/>
    </xf>
    <xf numFmtId="37" fontId="43" fillId="6" borderId="30" xfId="0" applyNumberFormat="1" applyFont="1" applyFill="1" applyBorder="1" applyAlignment="1">
      <alignment horizontal="left" vertical="center" wrapText="1"/>
    </xf>
    <xf numFmtId="37" fontId="39" fillId="6" borderId="53" xfId="0" applyNumberFormat="1" applyFont="1" applyFill="1" applyBorder="1" applyAlignment="1">
      <alignment horizontal="left" vertical="center" wrapText="1"/>
    </xf>
    <xf numFmtId="0" fontId="73" fillId="6" borderId="6" xfId="3" applyFont="1" applyFill="1" applyBorder="1" applyAlignment="1">
      <alignment horizontal="left" wrapText="1"/>
    </xf>
    <xf numFmtId="10" fontId="43" fillId="6" borderId="6" xfId="0" applyNumberFormat="1" applyFont="1" applyFill="1" applyBorder="1" applyAlignment="1">
      <alignment horizontal="left"/>
    </xf>
    <xf numFmtId="0" fontId="39" fillId="6" borderId="6" xfId="0" applyFont="1" applyFill="1" applyBorder="1" applyAlignment="1">
      <alignment horizontal="left" wrapText="1"/>
    </xf>
    <xf numFmtId="0" fontId="50" fillId="11" borderId="6" xfId="3" applyFont="1" applyFill="1" applyBorder="1" applyAlignment="1">
      <alignment vertical="center" wrapText="1"/>
    </xf>
    <xf numFmtId="0" fontId="73" fillId="9" borderId="1" xfId="3" applyFont="1" applyFill="1" applyBorder="1" applyAlignment="1">
      <alignment vertical="center" wrapText="1"/>
    </xf>
    <xf numFmtId="37" fontId="45" fillId="9" borderId="1" xfId="0" applyNumberFormat="1" applyFont="1" applyFill="1" applyBorder="1" applyAlignment="1">
      <alignment vertical="center" wrapText="1"/>
    </xf>
    <xf numFmtId="7" fontId="17" fillId="0" borderId="8" xfId="0" quotePrefix="1" applyNumberFormat="1" applyFont="1" applyBorder="1" applyAlignment="1">
      <alignment horizontal="center"/>
    </xf>
    <xf numFmtId="7" fontId="17" fillId="0" borderId="1" xfId="0" quotePrefix="1" applyNumberFormat="1" applyFont="1" applyBorder="1" applyAlignment="1">
      <alignment horizontal="center"/>
    </xf>
    <xf numFmtId="7" fontId="17" fillId="6" borderId="1" xfId="0" quotePrefix="1" applyNumberFormat="1" applyFont="1" applyFill="1" applyBorder="1" applyAlignment="1">
      <alignment horizontal="center"/>
    </xf>
    <xf numFmtId="37" fontId="17" fillId="6" borderId="0" xfId="0" applyNumberFormat="1" applyFont="1" applyFill="1" applyAlignment="1">
      <alignment horizontal="center"/>
    </xf>
    <xf numFmtId="0" fontId="0" fillId="6" borderId="0" xfId="0" applyFill="1" applyAlignment="1">
      <alignment horizontal="center" vertical="center"/>
    </xf>
    <xf numFmtId="0" fontId="96" fillId="9" borderId="0" xfId="3" applyFont="1" applyFill="1" applyAlignment="1">
      <alignment vertical="center" wrapText="1"/>
    </xf>
    <xf numFmtId="37" fontId="73" fillId="6" borderId="51" xfId="3" applyNumberFormat="1" applyFont="1" applyFill="1" applyBorder="1" applyAlignment="1">
      <alignment vertical="center" wrapText="1"/>
    </xf>
    <xf numFmtId="164" fontId="14" fillId="4" borderId="0" xfId="1" applyNumberFormat="1" applyFont="1" applyFill="1" applyAlignment="1">
      <alignment horizontal="center"/>
    </xf>
    <xf numFmtId="164" fontId="14" fillId="4" borderId="0" xfId="0" applyNumberFormat="1" applyFont="1" applyFill="1" applyAlignment="1">
      <alignment horizontal="center"/>
    </xf>
    <xf numFmtId="0" fontId="14" fillId="0" borderId="0" xfId="0" applyFont="1" applyAlignment="1">
      <alignment horizontal="left" vertical="center"/>
    </xf>
    <xf numFmtId="174" fontId="14" fillId="0" borderId="0" xfId="0" applyNumberFormat="1" applyFont="1"/>
    <xf numFmtId="0" fontId="14" fillId="4" borderId="0" xfId="0" applyFont="1" applyFill="1" applyAlignment="1">
      <alignment horizontal="center" vertical="center"/>
    </xf>
    <xf numFmtId="0" fontId="14" fillId="4" borderId="0" xfId="0" applyFont="1" applyFill="1" applyAlignment="1">
      <alignment horizontal="left" vertical="center"/>
    </xf>
    <xf numFmtId="0" fontId="14" fillId="4" borderId="0" xfId="0" quotePrefix="1" applyFont="1" applyFill="1"/>
    <xf numFmtId="174" fontId="14" fillId="4" borderId="0" xfId="0" applyNumberFormat="1" applyFont="1" applyFill="1"/>
    <xf numFmtId="1" fontId="1" fillId="6" borderId="0" xfId="0" applyNumberFormat="1" applyFont="1" applyFill="1" applyBorder="1" applyAlignment="1">
      <alignment horizontal="center"/>
    </xf>
    <xf numFmtId="167" fontId="2" fillId="7" borderId="1" xfId="4" applyNumberFormat="1" applyFont="1" applyFill="1" applyBorder="1" applyAlignment="1">
      <alignment horizontal="center"/>
    </xf>
    <xf numFmtId="167" fontId="2" fillId="7" borderId="1" xfId="0" applyNumberFormat="1" applyFont="1" applyFill="1" applyBorder="1" applyAlignment="1">
      <alignment horizontal="center"/>
    </xf>
    <xf numFmtId="167" fontId="1" fillId="6" borderId="0" xfId="0" applyNumberFormat="1" applyFont="1" applyFill="1" applyAlignment="1">
      <alignment horizontal="center"/>
    </xf>
    <xf numFmtId="7" fontId="17" fillId="0" borderId="1" xfId="0" applyNumberFormat="1" applyFont="1" applyBorder="1" applyAlignment="1">
      <alignment horizontal="right"/>
    </xf>
    <xf numFmtId="9" fontId="17" fillId="6" borderId="0" xfId="1" applyFont="1" applyFill="1" applyBorder="1" applyAlignment="1">
      <alignment horizontal="center" vertical="center"/>
    </xf>
    <xf numFmtId="10" fontId="17" fillId="6" borderId="0" xfId="1" applyNumberFormat="1" applyFont="1" applyFill="1" applyBorder="1" applyAlignment="1">
      <alignment horizontal="center" vertical="center"/>
    </xf>
    <xf numFmtId="2" fontId="19" fillId="6" borderId="0" xfId="0" applyNumberFormat="1" applyFont="1" applyFill="1" applyBorder="1" applyAlignment="1">
      <alignment horizontal="center"/>
    </xf>
    <xf numFmtId="167" fontId="19" fillId="6" borderId="0" xfId="0" applyNumberFormat="1" applyFont="1" applyFill="1" applyBorder="1" applyAlignment="1">
      <alignment horizontal="center" vertical="center"/>
    </xf>
    <xf numFmtId="3" fontId="19" fillId="6" borderId="0" xfId="0" applyNumberFormat="1" applyFont="1" applyFill="1" applyBorder="1" applyAlignment="1">
      <alignment horizontal="center"/>
    </xf>
    <xf numFmtId="167" fontId="19" fillId="6" borderId="0" xfId="0" applyNumberFormat="1" applyFont="1" applyFill="1" applyBorder="1" applyAlignment="1">
      <alignment horizontal="center"/>
    </xf>
    <xf numFmtId="2" fontId="19" fillId="6" borderId="0" xfId="0" applyNumberFormat="1" applyFont="1" applyFill="1" applyBorder="1" applyAlignment="1">
      <alignment horizontal="center" vertical="center"/>
    </xf>
    <xf numFmtId="2" fontId="2" fillId="6" borderId="0" xfId="0" applyNumberFormat="1" applyFont="1" applyFill="1" applyBorder="1" applyAlignment="1">
      <alignment horizontal="right"/>
    </xf>
    <xf numFmtId="10" fontId="29" fillId="6" borderId="0" xfId="1"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0" fontId="19" fillId="6" borderId="16" xfId="0" applyFont="1" applyFill="1" applyBorder="1" applyAlignment="1">
      <alignment vertical="center" wrapText="1"/>
    </xf>
    <xf numFmtId="0" fontId="29" fillId="15" borderId="1" xfId="0" applyFont="1" applyFill="1" applyBorder="1" applyAlignment="1">
      <alignment horizontal="right" wrapText="1"/>
    </xf>
    <xf numFmtId="3" fontId="29" fillId="15" borderId="1" xfId="0" applyNumberFormat="1" applyFont="1" applyFill="1" applyBorder="1" applyAlignment="1">
      <alignment horizontal="center" vertical="center"/>
    </xf>
    <xf numFmtId="0" fontId="25" fillId="11" borderId="6" xfId="3" applyFont="1" applyFill="1" applyBorder="1" applyAlignment="1">
      <alignment horizontal="center" vertical="center" wrapText="1"/>
    </xf>
    <xf numFmtId="10" fontId="99" fillId="11" borderId="1" xfId="1" applyNumberFormat="1" applyFont="1" applyFill="1" applyBorder="1" applyAlignment="1">
      <alignment horizontal="center"/>
    </xf>
    <xf numFmtId="0" fontId="19" fillId="6" borderId="0" xfId="0" applyFont="1" applyFill="1" applyBorder="1" applyAlignment="1">
      <alignment horizontal="center"/>
    </xf>
    <xf numFmtId="167" fontId="17" fillId="6" borderId="0" xfId="0" applyNumberFormat="1" applyFont="1" applyFill="1" applyBorder="1" applyAlignment="1">
      <alignment horizontal="center"/>
    </xf>
    <xf numFmtId="0" fontId="19" fillId="6" borderId="0" xfId="0" applyFont="1" applyFill="1" applyBorder="1"/>
    <xf numFmtId="0" fontId="19" fillId="6" borderId="0" xfId="0" applyNumberFormat="1" applyFont="1" applyFill="1" applyBorder="1" applyAlignment="1">
      <alignment horizontal="center"/>
    </xf>
    <xf numFmtId="37" fontId="1" fillId="6" borderId="0" xfId="0" applyNumberFormat="1" applyFont="1" applyFill="1" applyBorder="1" applyAlignment="1">
      <alignment horizontal="center"/>
    </xf>
    <xf numFmtId="167" fontId="2" fillId="6" borderId="0" xfId="0" applyNumberFormat="1" applyFont="1" applyFill="1" applyBorder="1"/>
    <xf numFmtId="0" fontId="17" fillId="6" borderId="0" xfId="0" applyFont="1" applyFill="1" applyBorder="1" applyAlignment="1">
      <alignment horizontal="center"/>
    </xf>
    <xf numFmtId="0" fontId="14" fillId="0" borderId="0" xfId="0" applyFont="1" applyFill="1" applyAlignment="1">
      <alignment horizontal="center" vertical="center"/>
    </xf>
    <xf numFmtId="0" fontId="14" fillId="0" borderId="0" xfId="0" applyFont="1" applyFill="1" applyAlignment="1">
      <alignment horizontal="left" vertical="center"/>
    </xf>
    <xf numFmtId="168" fontId="100" fillId="6" borderId="1" xfId="0" applyNumberFormat="1" applyFont="1" applyFill="1" applyBorder="1" applyAlignment="1">
      <alignment horizontal="center"/>
    </xf>
    <xf numFmtId="0" fontId="100" fillId="6" borderId="1" xfId="0" applyFont="1" applyFill="1" applyBorder="1" applyAlignment="1">
      <alignment horizontal="center"/>
    </xf>
    <xf numFmtId="172" fontId="100" fillId="0" borderId="1" xfId="0" applyNumberFormat="1" applyFont="1" applyFill="1" applyBorder="1" applyAlignment="1">
      <alignment horizontal="center" vertical="center"/>
    </xf>
    <xf numFmtId="172" fontId="100" fillId="6" borderId="1" xfId="0" applyNumberFormat="1" applyFont="1" applyFill="1" applyBorder="1" applyAlignment="1">
      <alignment horizontal="center" vertical="center"/>
    </xf>
    <xf numFmtId="0" fontId="0" fillId="6" borderId="0" xfId="0" applyFill="1" applyAlignment="1">
      <alignment horizontal="left" vertical="center"/>
    </xf>
    <xf numFmtId="174" fontId="14" fillId="6" borderId="0" xfId="4" applyNumberFormat="1" applyFont="1" applyFill="1"/>
    <xf numFmtId="174" fontId="0" fillId="6" borderId="0" xfId="4" applyNumberFormat="1" applyFont="1" applyFill="1"/>
    <xf numFmtId="174" fontId="0" fillId="6" borderId="0" xfId="0" applyNumberFormat="1" applyFill="1"/>
    <xf numFmtId="164" fontId="0" fillId="6" borderId="0" xfId="1" applyNumberFormat="1" applyFont="1" applyFill="1" applyAlignment="1">
      <alignment horizontal="center"/>
    </xf>
    <xf numFmtId="164" fontId="0" fillId="6" borderId="0" xfId="0" applyNumberFormat="1" applyFill="1" applyAlignment="1">
      <alignment horizontal="center"/>
    </xf>
    <xf numFmtId="0" fontId="0" fillId="6" borderId="0" xfId="0" quotePrefix="1" applyFill="1"/>
    <xf numFmtId="0" fontId="2" fillId="6" borderId="1" xfId="0" applyFont="1" applyFill="1" applyBorder="1" applyAlignment="1">
      <alignment horizontal="center" vertical="center" wrapText="1"/>
    </xf>
    <xf numFmtId="0" fontId="19" fillId="11" borderId="15" xfId="0" applyFont="1" applyFill="1" applyBorder="1" applyAlignment="1">
      <alignment horizontal="center"/>
    </xf>
    <xf numFmtId="2" fontId="19" fillId="9" borderId="6" xfId="1" applyNumberFormat="1" applyFont="1" applyFill="1" applyBorder="1" applyAlignment="1">
      <alignment horizontal="right" vertical="center"/>
    </xf>
    <xf numFmtId="167" fontId="10" fillId="11" borderId="1" xfId="2" applyNumberFormat="1" applyFont="1" applyFill="1" applyBorder="1" applyAlignment="1">
      <alignment horizontal="center" vertical="center" wrapText="1"/>
    </xf>
    <xf numFmtId="0" fontId="40" fillId="6" borderId="0" xfId="0" applyFont="1" applyFill="1" applyAlignment="1"/>
    <xf numFmtId="0" fontId="51" fillId="6" borderId="0" xfId="0" applyFont="1" applyFill="1" applyAlignment="1"/>
    <xf numFmtId="0" fontId="51" fillId="6" borderId="0" xfId="0" applyFont="1" applyFill="1" applyAlignment="1">
      <alignment wrapText="1"/>
    </xf>
    <xf numFmtId="0" fontId="94" fillId="6" borderId="0" xfId="0" applyFont="1" applyFill="1" applyAlignment="1">
      <alignment wrapText="1"/>
    </xf>
    <xf numFmtId="0" fontId="50" fillId="11" borderId="0" xfId="3" applyFont="1" applyFill="1" applyAlignment="1">
      <alignment wrapText="1"/>
    </xf>
    <xf numFmtId="0" fontId="94" fillId="6" borderId="0" xfId="0" applyFont="1" applyFill="1" applyAlignment="1"/>
    <xf numFmtId="0" fontId="95" fillId="12" borderId="1" xfId="0" applyFont="1" applyFill="1" applyBorder="1" applyAlignment="1">
      <alignment horizontal="center" wrapText="1"/>
    </xf>
    <xf numFmtId="37" fontId="45" fillId="9" borderId="1" xfId="0" applyNumberFormat="1" applyFont="1" applyFill="1" applyBorder="1" applyAlignment="1">
      <alignment vertical="center" wrapText="1"/>
    </xf>
    <xf numFmtId="0" fontId="96" fillId="9" borderId="1" xfId="3" applyFont="1" applyFill="1" applyBorder="1" applyAlignment="1">
      <alignment horizontal="center" vertical="center" wrapText="1"/>
    </xf>
    <xf numFmtId="0" fontId="9" fillId="6" borderId="1" xfId="3" applyFill="1" applyBorder="1" applyAlignment="1">
      <alignment horizontal="center" vertical="center" wrapText="1"/>
    </xf>
    <xf numFmtId="0" fontId="9" fillId="6" borderId="1" xfId="3" applyFill="1" applyBorder="1" applyAlignment="1">
      <alignment horizontal="center" vertical="center"/>
    </xf>
    <xf numFmtId="37" fontId="35" fillId="0" borderId="0" xfId="0" applyNumberFormat="1" applyFont="1" applyAlignment="1">
      <alignment horizontal="center" vertical="center" wrapText="1"/>
    </xf>
    <xf numFmtId="9" fontId="19" fillId="9" borderId="5" xfId="1" applyFont="1" applyFill="1" applyBorder="1" applyAlignment="1">
      <alignment horizontal="center"/>
    </xf>
    <xf numFmtId="9" fontId="19" fillId="9" borderId="6" xfId="1" applyFont="1" applyFill="1" applyBorder="1" applyAlignment="1">
      <alignment horizontal="center"/>
    </xf>
    <xf numFmtId="2" fontId="21" fillId="6" borderId="1" xfId="0" applyNumberFormat="1" applyFont="1" applyFill="1" applyBorder="1" applyAlignment="1">
      <alignment horizontal="center" vertical="center" wrapText="1"/>
    </xf>
    <xf numFmtId="37" fontId="2" fillId="8" borderId="13" xfId="0" applyNumberFormat="1" applyFont="1" applyFill="1" applyBorder="1" applyAlignment="1">
      <alignment horizontal="center"/>
    </xf>
    <xf numFmtId="37" fontId="2" fillId="8" borderId="16" xfId="0" applyNumberFormat="1" applyFont="1" applyFill="1" applyBorder="1" applyAlignment="1">
      <alignment horizontal="center"/>
    </xf>
    <xf numFmtId="37" fontId="2" fillId="8" borderId="14" xfId="0" applyNumberFormat="1" applyFont="1" applyFill="1" applyBorder="1" applyAlignment="1">
      <alignment horizontal="center"/>
    </xf>
    <xf numFmtId="0" fontId="19" fillId="9" borderId="1" xfId="0" applyFont="1" applyFill="1" applyBorder="1" applyAlignment="1">
      <alignment horizontal="center" wrapText="1"/>
    </xf>
    <xf numFmtId="0" fontId="49" fillId="6" borderId="0" xfId="0" applyFont="1" applyFill="1" applyAlignment="1">
      <alignment horizontal="center" vertical="center" wrapText="1"/>
    </xf>
    <xf numFmtId="0" fontId="49" fillId="6" borderId="7" xfId="0" applyFont="1" applyFill="1" applyBorder="1" applyAlignment="1">
      <alignment horizontal="center" vertical="center" wrapText="1"/>
    </xf>
    <xf numFmtId="37" fontId="2" fillId="6"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7" fillId="6" borderId="9" xfId="0" applyFont="1" applyFill="1" applyBorder="1" applyAlignment="1">
      <alignment horizontal="center"/>
    </xf>
    <xf numFmtId="0" fontId="17" fillId="6" borderId="7" xfId="0" applyFont="1" applyFill="1" applyBorder="1" applyAlignment="1">
      <alignment horizontal="center"/>
    </xf>
    <xf numFmtId="0" fontId="19" fillId="9" borderId="5" xfId="0" applyFont="1" applyFill="1" applyBorder="1" applyAlignment="1">
      <alignment horizontal="center" vertical="center"/>
    </xf>
    <xf numFmtId="0" fontId="19" fillId="9" borderId="6" xfId="0" applyFont="1" applyFill="1" applyBorder="1" applyAlignment="1">
      <alignment horizontal="center" vertical="center"/>
    </xf>
    <xf numFmtId="0" fontId="66" fillId="23" borderId="0" xfId="0" applyFont="1" applyFill="1" applyAlignment="1">
      <alignment horizontal="center" vertical="center"/>
    </xf>
    <xf numFmtId="0" fontId="67" fillId="23" borderId="0" xfId="0" applyFont="1" applyFill="1" applyAlignment="1">
      <alignment horizontal="center" vertical="center" wrapText="1"/>
    </xf>
    <xf numFmtId="0" fontId="98" fillId="24" borderId="0" xfId="0" applyFont="1" applyFill="1" applyAlignment="1">
      <alignment horizontal="center" vertical="center" wrapText="1"/>
    </xf>
    <xf numFmtId="0" fontId="69" fillId="0" borderId="36" xfId="0" applyFont="1" applyBorder="1" applyAlignment="1">
      <alignment vertical="center"/>
    </xf>
    <xf numFmtId="0" fontId="69" fillId="0" borderId="0" xfId="0" applyFont="1" applyAlignment="1">
      <alignment vertical="center"/>
    </xf>
    <xf numFmtId="0" fontId="14" fillId="21" borderId="2" xfId="0" applyFont="1" applyFill="1" applyBorder="1" applyAlignment="1">
      <alignment horizontal="center"/>
    </xf>
    <xf numFmtId="0" fontId="10" fillId="17" borderId="19" xfId="0" applyFont="1" applyFill="1" applyBorder="1" applyAlignment="1">
      <alignment horizontal="center" wrapText="1"/>
    </xf>
    <xf numFmtId="0" fontId="10" fillId="17" borderId="7" xfId="0" applyFont="1" applyFill="1" applyBorder="1" applyAlignment="1">
      <alignment horizontal="center" wrapText="1"/>
    </xf>
    <xf numFmtId="0" fontId="10" fillId="0" borderId="22" xfId="0" applyFont="1" applyBorder="1" applyAlignment="1">
      <alignment horizontal="center" wrapText="1"/>
    </xf>
    <xf numFmtId="0" fontId="10" fillId="0" borderId="1" xfId="0" applyFont="1" applyBorder="1" applyAlignment="1">
      <alignment horizontal="center" wrapText="1"/>
    </xf>
    <xf numFmtId="0" fontId="14" fillId="0" borderId="22" xfId="0" applyFont="1" applyBorder="1" applyAlignment="1">
      <alignment horizontal="left" wrapText="1"/>
    </xf>
    <xf numFmtId="0" fontId="14" fillId="0" borderId="1" xfId="0" applyFont="1" applyBorder="1" applyAlignment="1">
      <alignment horizontal="left" wrapText="1"/>
    </xf>
    <xf numFmtId="0" fontId="14" fillId="0" borderId="28" xfId="0" applyFont="1" applyBorder="1" applyAlignment="1">
      <alignment horizontal="left" wrapText="1"/>
    </xf>
    <xf numFmtId="0" fontId="14" fillId="0" borderId="29" xfId="0" applyFont="1" applyBorder="1" applyAlignment="1">
      <alignment horizontal="left" wrapText="1"/>
    </xf>
    <xf numFmtId="0" fontId="14" fillId="0" borderId="30" xfId="0" applyFont="1" applyBorder="1" applyAlignment="1">
      <alignment horizontal="left" wrapText="1"/>
    </xf>
    <xf numFmtId="0" fontId="10" fillId="17" borderId="25" xfId="0" applyFont="1" applyFill="1" applyBorder="1" applyAlignment="1">
      <alignment horizontal="center" wrapText="1"/>
    </xf>
    <xf numFmtId="0" fontId="10" fillId="17" borderId="26" xfId="0" applyFont="1" applyFill="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10" fillId="0" borderId="6" xfId="0" applyFont="1" applyBorder="1" applyAlignment="1">
      <alignment horizontal="center" wrapText="1"/>
    </xf>
    <xf numFmtId="0" fontId="10" fillId="0" borderId="5" xfId="0" applyFont="1" applyBorder="1" applyAlignment="1">
      <alignment horizontal="center" wrapText="1"/>
    </xf>
    <xf numFmtId="0" fontId="10" fillId="17" borderId="9" xfId="0" applyFont="1" applyFill="1" applyBorder="1" applyAlignment="1">
      <alignment horizontal="center" wrapText="1"/>
    </xf>
    <xf numFmtId="0" fontId="14" fillId="0" borderId="8" xfId="0" applyFont="1" applyBorder="1" applyAlignment="1">
      <alignment horizontal="left" wrapText="1"/>
    </xf>
    <xf numFmtId="0" fontId="58" fillId="21" borderId="3" xfId="9" applyFill="1" applyBorder="1" applyAlignment="1">
      <alignment horizontal="center"/>
    </xf>
    <xf numFmtId="0" fontId="58" fillId="21" borderId="12" xfId="9" applyFill="1" applyBorder="1" applyAlignment="1">
      <alignment horizontal="center"/>
    </xf>
    <xf numFmtId="0" fontId="58" fillId="21" borderId="4" xfId="9" applyFill="1" applyBorder="1" applyAlignment="1">
      <alignment horizontal="center"/>
    </xf>
    <xf numFmtId="0" fontId="60" fillId="17" borderId="19" xfId="9" applyFont="1" applyFill="1" applyBorder="1" applyAlignment="1">
      <alignment horizontal="left" wrapText="1"/>
    </xf>
    <xf numFmtId="0" fontId="60" fillId="17" borderId="7" xfId="9" applyFont="1" applyFill="1" applyBorder="1" applyAlignment="1">
      <alignment horizontal="left" wrapText="1"/>
    </xf>
    <xf numFmtId="0" fontId="60" fillId="0" borderId="5" xfId="9" applyFont="1" applyBorder="1" applyAlignment="1">
      <alignment horizontal="center" wrapText="1"/>
    </xf>
    <xf numFmtId="0" fontId="60" fillId="0" borderId="10" xfId="9" applyFont="1" applyBorder="1" applyAlignment="1">
      <alignment horizontal="center" wrapText="1"/>
    </xf>
    <xf numFmtId="0" fontId="60" fillId="0" borderId="6" xfId="9" applyFont="1" applyBorder="1" applyAlignment="1">
      <alignment horizontal="center" wrapText="1"/>
    </xf>
    <xf numFmtId="0" fontId="58" fillId="0" borderId="5" xfId="9" applyBorder="1" applyAlignment="1">
      <alignment horizontal="left" wrapText="1"/>
    </xf>
    <xf numFmtId="0" fontId="58" fillId="0" borderId="10" xfId="9" applyBorder="1" applyAlignment="1">
      <alignment horizontal="left" wrapText="1"/>
    </xf>
    <xf numFmtId="0" fontId="58" fillId="0" borderId="6" xfId="9" applyBorder="1" applyAlignment="1">
      <alignment horizontal="left" wrapText="1"/>
    </xf>
    <xf numFmtId="0" fontId="23" fillId="0" borderId="5" xfId="9" applyFont="1" applyBorder="1" applyAlignment="1">
      <alignment horizontal="left" wrapText="1"/>
    </xf>
    <xf numFmtId="0" fontId="23" fillId="0" borderId="10" xfId="9" applyFont="1" applyBorder="1" applyAlignment="1">
      <alignment horizontal="left" wrapText="1"/>
    </xf>
    <xf numFmtId="0" fontId="23" fillId="0" borderId="6" xfId="9" applyFont="1" applyBorder="1" applyAlignment="1">
      <alignment horizontal="left" wrapText="1"/>
    </xf>
    <xf numFmtId="0" fontId="10" fillId="11" borderId="0" xfId="0" applyFont="1" applyFill="1" applyAlignment="1">
      <alignment horizontal="center"/>
    </xf>
    <xf numFmtId="0" fontId="60" fillId="17" borderId="1" xfId="9" applyFont="1" applyFill="1" applyBorder="1" applyAlignment="1">
      <alignment horizontal="center" wrapText="1"/>
    </xf>
    <xf numFmtId="0" fontId="60" fillId="11" borderId="20" xfId="9" applyFont="1" applyFill="1" applyBorder="1" applyAlignment="1">
      <alignment horizontal="center" wrapText="1"/>
    </xf>
    <xf numFmtId="0" fontId="60" fillId="11" borderId="6" xfId="9" applyFont="1" applyFill="1" applyBorder="1" applyAlignment="1">
      <alignment horizontal="center" wrapText="1"/>
    </xf>
    <xf numFmtId="0" fontId="60" fillId="5" borderId="5" xfId="9" applyFont="1" applyFill="1" applyBorder="1" applyAlignment="1">
      <alignment horizontal="center" wrapText="1"/>
    </xf>
    <xf numFmtId="0" fontId="60" fillId="5" borderId="21" xfId="9" applyFont="1" applyFill="1" applyBorder="1" applyAlignment="1">
      <alignment horizontal="center" wrapText="1"/>
    </xf>
    <xf numFmtId="0" fontId="60" fillId="10" borderId="20" xfId="9" applyFont="1" applyFill="1" applyBorder="1" applyAlignment="1">
      <alignment horizontal="center" wrapText="1"/>
    </xf>
    <xf numFmtId="0" fontId="60" fillId="10" borderId="21" xfId="9" applyFont="1" applyFill="1" applyBorder="1" applyAlignment="1">
      <alignment horizontal="center" wrapText="1"/>
    </xf>
    <xf numFmtId="0" fontId="60" fillId="2" borderId="20" xfId="9" applyFont="1" applyFill="1" applyBorder="1" applyAlignment="1">
      <alignment horizontal="center" wrapText="1"/>
    </xf>
    <xf numFmtId="0" fontId="60" fillId="2" borderId="21" xfId="9" applyFont="1" applyFill="1" applyBorder="1" applyAlignment="1">
      <alignment horizontal="center" wrapText="1"/>
    </xf>
    <xf numFmtId="0" fontId="60" fillId="17" borderId="19" xfId="9" applyFont="1" applyFill="1" applyBorder="1" applyAlignment="1">
      <alignment horizontal="center" wrapText="1"/>
    </xf>
    <xf numFmtId="0" fontId="60" fillId="17" borderId="7" xfId="9" applyFont="1" applyFill="1" applyBorder="1" applyAlignment="1">
      <alignment horizontal="center" wrapText="1"/>
    </xf>
    <xf numFmtId="0" fontId="60" fillId="17" borderId="9" xfId="9" applyFont="1" applyFill="1" applyBorder="1" applyAlignment="1">
      <alignment horizontal="center" wrapText="1"/>
    </xf>
    <xf numFmtId="0" fontId="60" fillId="0" borderId="1" xfId="9" applyFont="1" applyBorder="1" applyAlignment="1">
      <alignment horizontal="center" wrapText="1"/>
    </xf>
    <xf numFmtId="0" fontId="58" fillId="0" borderId="8" xfId="9" applyBorder="1" applyAlignment="1">
      <alignment horizontal="left" wrapText="1"/>
    </xf>
    <xf numFmtId="0" fontId="54" fillId="7" borderId="1" xfId="0" applyFont="1" applyFill="1" applyBorder="1" applyAlignment="1">
      <alignment horizontal="center" vertical="center" wrapText="1"/>
    </xf>
    <xf numFmtId="0" fontId="54" fillId="7" borderId="1" xfId="0" applyFont="1" applyFill="1" applyBorder="1" applyAlignment="1">
      <alignment horizontal="center" vertical="center"/>
    </xf>
    <xf numFmtId="0" fontId="55" fillId="7" borderId="2" xfId="0" applyFont="1" applyFill="1" applyBorder="1" applyAlignment="1">
      <alignment horizontal="center" vertical="center"/>
    </xf>
    <xf numFmtId="0" fontId="55" fillId="7" borderId="8" xfId="0" applyFont="1" applyFill="1" applyBorder="1" applyAlignment="1">
      <alignment horizontal="center" vertical="center"/>
    </xf>
    <xf numFmtId="0" fontId="55" fillId="7" borderId="1" xfId="0" applyFont="1" applyFill="1" applyBorder="1" applyAlignment="1">
      <alignment horizontal="center" vertical="center"/>
    </xf>
    <xf numFmtId="0" fontId="57" fillId="3" borderId="1" xfId="0" applyFont="1" applyFill="1" applyBorder="1" applyAlignment="1">
      <alignment horizontal="center" vertical="center" wrapText="1"/>
    </xf>
    <xf numFmtId="0" fontId="59" fillId="11" borderId="0" xfId="9" applyFont="1" applyFill="1" applyAlignment="1">
      <alignment horizontal="center"/>
    </xf>
    <xf numFmtId="0" fontId="0" fillId="10" borderId="1" xfId="0" applyFill="1" applyBorder="1" applyAlignment="1">
      <alignment horizontal="center" vertical="center" wrapText="1"/>
    </xf>
    <xf numFmtId="0" fontId="36" fillId="6" borderId="1" xfId="3" applyFont="1" applyFill="1" applyBorder="1" applyAlignment="1">
      <alignment horizontal="left" wrapText="1"/>
    </xf>
    <xf numFmtId="0" fontId="0" fillId="5" borderId="1" xfId="0" applyFill="1" applyBorder="1" applyAlignment="1">
      <alignment horizontal="center" vertical="center" wrapText="1"/>
    </xf>
    <xf numFmtId="0" fontId="0" fillId="2" borderId="1" xfId="0" applyFill="1" applyBorder="1" applyAlignment="1">
      <alignment horizontal="center" vertical="center" wrapText="1"/>
    </xf>
    <xf numFmtId="0" fontId="14" fillId="19" borderId="1" xfId="0" applyFont="1" applyFill="1" applyBorder="1" applyAlignment="1">
      <alignment horizontal="left" wrapText="1"/>
    </xf>
    <xf numFmtId="0" fontId="76" fillId="21" borderId="9" xfId="0" applyFont="1" applyFill="1" applyBorder="1" applyAlignment="1">
      <alignment horizontal="center" vertical="top" wrapText="1"/>
    </xf>
    <xf numFmtId="0" fontId="76" fillId="21" borderId="7" xfId="0" applyFont="1" applyFill="1" applyBorder="1" applyAlignment="1">
      <alignment horizontal="center" vertical="top" wrapText="1"/>
    </xf>
    <xf numFmtId="0" fontId="77" fillId="21" borderId="5" xfId="0" applyFont="1" applyFill="1" applyBorder="1" applyAlignment="1">
      <alignment horizontal="center" wrapText="1"/>
    </xf>
    <xf numFmtId="0" fontId="77" fillId="21" borderId="10" xfId="0" applyFont="1" applyFill="1" applyBorder="1" applyAlignment="1">
      <alignment horizontal="center" wrapText="1"/>
    </xf>
    <xf numFmtId="167" fontId="79" fillId="0" borderId="0" xfId="0" applyNumberFormat="1" applyFont="1" applyAlignment="1">
      <alignment horizontal="center"/>
    </xf>
  </cellXfs>
  <cellStyles count="60">
    <cellStyle name="20% - Accent1" xfId="36" builtinId="30" customBuiltin="1"/>
    <cellStyle name="20% - Accent2" xfId="39" builtinId="34" customBuiltin="1"/>
    <cellStyle name="20% - Accent3" xfId="42" builtinId="38" customBuiltin="1"/>
    <cellStyle name="20% - Accent4" xfId="45" builtinId="42" customBuiltin="1"/>
    <cellStyle name="20% - Accent5" xfId="48" builtinId="46" customBuiltin="1"/>
    <cellStyle name="20% - Accent6" xfId="51" builtinId="50" customBuiltin="1"/>
    <cellStyle name="40% - Accent1" xfId="37" builtinId="31" customBuiltin="1"/>
    <cellStyle name="40% - Accent2" xfId="40" builtinId="35" customBuiltin="1"/>
    <cellStyle name="40% - Accent3" xfId="43" builtinId="39" customBuiltin="1"/>
    <cellStyle name="40% - Accent4" xfId="46" builtinId="43" customBuiltin="1"/>
    <cellStyle name="40% - Accent5" xfId="49" builtinId="47" customBuiltin="1"/>
    <cellStyle name="40% - Accent6" xfId="52" builtinId="51" customBuiltin="1"/>
    <cellStyle name="60% - Accent1 2" xfId="54" xr:uid="{8E5BCE97-BBB6-407D-AEF9-0C213072143D}"/>
    <cellStyle name="60% - Accent2 2" xfId="55" xr:uid="{225CE574-5EB1-4C8C-BBCA-6D22B50F7859}"/>
    <cellStyle name="60% - Accent3 2" xfId="56" xr:uid="{2F6777A1-E892-4EDB-A527-8060885121A3}"/>
    <cellStyle name="60% - Accent4 2" xfId="57" xr:uid="{9D964642-2818-46FA-9008-C8DF21F481AE}"/>
    <cellStyle name="60% - Accent5 2" xfId="58" xr:uid="{A6149703-6191-4CF1-98B1-0D418AB81A38}"/>
    <cellStyle name="60% - Accent6 2" xfId="59" xr:uid="{997AD66B-7123-43B9-A439-8B68CF9E280A}"/>
    <cellStyle name="Accent1" xfId="35" builtinId="29" customBuiltin="1"/>
    <cellStyle name="Accent2" xfId="38" builtinId="33" customBuiltin="1"/>
    <cellStyle name="Accent3" xfId="41" builtinId="37" customBuiltin="1"/>
    <cellStyle name="Accent4" xfId="44" builtinId="41" customBuiltin="1"/>
    <cellStyle name="Accent5" xfId="47" builtinId="45" customBuiltin="1"/>
    <cellStyle name="Accent6" xfId="50" builtinId="49" customBuiltin="1"/>
    <cellStyle name="Bad" xfId="26" builtinId="27" customBuiltin="1"/>
    <cellStyle name="Calculation" xfId="29" builtinId="22" customBuiltin="1"/>
    <cellStyle name="Check Cell" xfId="31" builtinId="23" customBuiltin="1"/>
    <cellStyle name="Comma" xfId="2" builtinId="3"/>
    <cellStyle name="Comma 2" xfId="8" xr:uid="{E7A3449B-65EF-41F0-884B-AB5472F6BE1B}"/>
    <cellStyle name="Currency" xfId="4" builtinId="4"/>
    <cellStyle name="Date" xfId="12" xr:uid="{2A7A9FF5-C154-4DEA-895E-F4EF6A049D18}"/>
    <cellStyle name="Explanatory Text" xfId="33" builtinId="53" customBuiltin="1"/>
    <cellStyle name="Good" xfId="25" builtinId="26" customBuiltin="1"/>
    <cellStyle name="Header Row 1" xfId="18" xr:uid="{C75A66DF-CB41-4BE4-8491-D0FB16D804C0}"/>
    <cellStyle name="Heading 1" xfId="21" builtinId="16" customBuiltin="1"/>
    <cellStyle name="Heading 2" xfId="22" builtinId="17" customBuiltin="1"/>
    <cellStyle name="Heading 3" xfId="23" builtinId="18" customBuiltin="1"/>
    <cellStyle name="Heading 4" xfId="24" builtinId="19" customBuiltin="1"/>
    <cellStyle name="Hyperlink" xfId="3" builtinId="8"/>
    <cellStyle name="Hyperlink 2" xfId="6" xr:uid="{8050F2FA-7242-4478-B247-291755C498F2}"/>
    <cellStyle name="Hyperlink 2 2" xfId="14" xr:uid="{A462396B-ECFE-47C1-9D11-FFF5ED77C92D}"/>
    <cellStyle name="Input" xfId="27" builtinId="20" customBuiltin="1"/>
    <cellStyle name="Linked Cell" xfId="30" builtinId="24" customBuiltin="1"/>
    <cellStyle name="Neutral 2" xfId="53" xr:uid="{531E956F-72A9-4CC2-A587-6343C9186E5E}"/>
    <cellStyle name="Normal" xfId="0" builtinId="0"/>
    <cellStyle name="Normal 2" xfId="5" xr:uid="{1851C98D-421D-402A-935F-1807AB145E83}"/>
    <cellStyle name="Normal 2 2" xfId="11" xr:uid="{2F9F5F5E-3ED6-4FD3-B0FC-81BB8F97B370}"/>
    <cellStyle name="Normal 2 3" xfId="13" xr:uid="{A88147FC-B42D-4269-8D35-D8FB8986BEB2}"/>
    <cellStyle name="Normal 2 4" xfId="10" xr:uid="{D31B609E-147C-46CA-89D4-6C2BFD999DDC}"/>
    <cellStyle name="Normal 2 4 2 2" xfId="16" xr:uid="{6F30629E-0812-46F9-9A3E-E42D2F0EDB96}"/>
    <cellStyle name="Normal 2 5 2" xfId="17" xr:uid="{B8DE8A25-FCC2-4E05-BB6D-F38F12A776C6}"/>
    <cellStyle name="Normal 3" xfId="7" xr:uid="{757BD5CB-DE8B-4C00-8172-10B87E75741D}"/>
    <cellStyle name="Normal 3 2" xfId="9" xr:uid="{6821DD4B-BC74-40ED-8951-03E1C415935E}"/>
    <cellStyle name="Normal 3 3" xfId="15" xr:uid="{18D9A407-468E-4881-B3BF-E1BA0F65E291}"/>
    <cellStyle name="Note" xfId="19" builtinId="10" customBuiltin="1"/>
    <cellStyle name="Output" xfId="28" builtinId="21" customBuiltin="1"/>
    <cellStyle name="Percent" xfId="1" builtinId="5"/>
    <cellStyle name="Title" xfId="20" builtinId="15" customBuiltin="1"/>
    <cellStyle name="Total" xfId="34" builtinId="25" customBuiltin="1"/>
    <cellStyle name="Warning Text" xfId="32" builtinId="11" customBuiltin="1"/>
  </cellStyles>
  <dxfs count="10">
    <dxf>
      <font>
        <color rgb="FF9C0006"/>
      </font>
      <fill>
        <patternFill>
          <bgColor rgb="FFFFC7CE"/>
        </patternFill>
      </fill>
    </dxf>
    <dxf>
      <numFmt numFmtId="166" formatCode="0.0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FFCCFF"/>
      <color rgb="FF0000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20</xdr:col>
      <xdr:colOff>680314</xdr:colOff>
      <xdr:row>0</xdr:row>
      <xdr:rowOff>1</xdr:rowOff>
    </xdr:from>
    <xdr:to>
      <xdr:col>21</xdr:col>
      <xdr:colOff>1287475</xdr:colOff>
      <xdr:row>2</xdr:row>
      <xdr:rowOff>351130</xdr:rowOff>
    </xdr:to>
    <xdr:grpSp>
      <xdr:nvGrpSpPr>
        <xdr:cNvPr id="7" name="Group 6">
          <a:extLst>
            <a:ext uri="{FF2B5EF4-FFF2-40B4-BE49-F238E27FC236}">
              <a16:creationId xmlns:a16="http://schemas.microsoft.com/office/drawing/2014/main" id="{9BEB9680-B923-4D66-A448-42BA8C2369A2}"/>
            </a:ext>
          </a:extLst>
        </xdr:cNvPr>
        <xdr:cNvGrpSpPr/>
      </xdr:nvGrpSpPr>
      <xdr:grpSpPr>
        <a:xfrm>
          <a:off x="18866714" y="0"/>
          <a:ext cx="2213711" cy="0"/>
          <a:chOff x="26759003" y="7315"/>
          <a:chExt cx="2399385" cy="1370243"/>
        </a:xfrm>
      </xdr:grpSpPr>
      <xdr:pic>
        <xdr:nvPicPr>
          <xdr:cNvPr id="2" name="Picture 1">
            <a:extLst>
              <a:ext uri="{FF2B5EF4-FFF2-40B4-BE49-F238E27FC236}">
                <a16:creationId xmlns:a16="http://schemas.microsoft.com/office/drawing/2014/main" id="{1CD4EB3C-C8D8-4B84-BC83-DFCB8E9AA10A}"/>
              </a:ext>
            </a:extLst>
          </xdr:cNvPr>
          <xdr:cNvPicPr>
            <a:picLocks noChangeAspect="1"/>
          </xdr:cNvPicPr>
        </xdr:nvPicPr>
        <xdr:blipFill rotWithShape="1">
          <a:blip xmlns:r="http://schemas.openxmlformats.org/officeDocument/2006/relationships" r:embed="rId1"/>
          <a:srcRect l="90287"/>
          <a:stretch/>
        </xdr:blipFill>
        <xdr:spPr>
          <a:xfrm>
            <a:off x="28002586" y="7316"/>
            <a:ext cx="1071910" cy="1370242"/>
          </a:xfrm>
          <a:prstGeom prst="rect">
            <a:avLst/>
          </a:prstGeom>
        </xdr:spPr>
      </xdr:pic>
      <xdr:sp macro="" textlink="">
        <xdr:nvSpPr>
          <xdr:cNvPr id="3" name="Oval 2">
            <a:extLst>
              <a:ext uri="{FF2B5EF4-FFF2-40B4-BE49-F238E27FC236}">
                <a16:creationId xmlns:a16="http://schemas.microsoft.com/office/drawing/2014/main" id="{9D0AA07C-55E2-405D-BB19-4C99F019021D}"/>
              </a:ext>
            </a:extLst>
          </xdr:cNvPr>
          <xdr:cNvSpPr/>
        </xdr:nvSpPr>
        <xdr:spPr>
          <a:xfrm>
            <a:off x="28660954" y="329184"/>
            <a:ext cx="497434" cy="4242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Picture 5">
            <a:extLst>
              <a:ext uri="{FF2B5EF4-FFF2-40B4-BE49-F238E27FC236}">
                <a16:creationId xmlns:a16="http://schemas.microsoft.com/office/drawing/2014/main" id="{80F003ED-175D-49A9-95E4-26EE0637078B}"/>
              </a:ext>
            </a:extLst>
          </xdr:cNvPr>
          <xdr:cNvPicPr>
            <a:picLocks noChangeAspect="1"/>
          </xdr:cNvPicPr>
        </xdr:nvPicPr>
        <xdr:blipFill rotWithShape="1">
          <a:blip xmlns:r="http://schemas.openxmlformats.org/officeDocument/2006/relationships" r:embed="rId1"/>
          <a:srcRect r="88532"/>
          <a:stretch/>
        </xdr:blipFill>
        <xdr:spPr>
          <a:xfrm>
            <a:off x="26759003" y="7315"/>
            <a:ext cx="1265528" cy="137024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1292352</xdr:colOff>
      <xdr:row>15</xdr:row>
      <xdr:rowOff>49530</xdr:rowOff>
    </xdr:from>
    <xdr:to>
      <xdr:col>26</xdr:col>
      <xdr:colOff>154887</xdr:colOff>
      <xdr:row>27</xdr:row>
      <xdr:rowOff>180797</xdr:rowOff>
    </xdr:to>
    <xdr:pic>
      <xdr:nvPicPr>
        <xdr:cNvPr id="3" name="Picture 2">
          <a:extLst>
            <a:ext uri="{FF2B5EF4-FFF2-40B4-BE49-F238E27FC236}">
              <a16:creationId xmlns:a16="http://schemas.microsoft.com/office/drawing/2014/main" id="{2E3882B5-909B-4FC0-A0EA-3CED7CDF5093}"/>
            </a:ext>
          </a:extLst>
        </xdr:cNvPr>
        <xdr:cNvPicPr>
          <a:picLocks noChangeAspect="1"/>
        </xdr:cNvPicPr>
      </xdr:nvPicPr>
      <xdr:blipFill>
        <a:blip xmlns:r="http://schemas.openxmlformats.org/officeDocument/2006/relationships" r:embed="rId1"/>
        <a:stretch>
          <a:fillRect/>
        </a:stretch>
      </xdr:blipFill>
      <xdr:spPr>
        <a:xfrm>
          <a:off x="17172432" y="4005834"/>
          <a:ext cx="8561271" cy="2325827"/>
        </a:xfrm>
        <a:prstGeom prst="rect">
          <a:avLst/>
        </a:prstGeom>
      </xdr:spPr>
    </xdr:pic>
    <xdr:clientData/>
  </xdr:twoCellAnchor>
  <xdr:twoCellAnchor editAs="oneCell">
    <xdr:from>
      <xdr:col>15</xdr:col>
      <xdr:colOff>176632</xdr:colOff>
      <xdr:row>1</xdr:row>
      <xdr:rowOff>138684</xdr:rowOff>
    </xdr:from>
    <xdr:to>
      <xdr:col>23</xdr:col>
      <xdr:colOff>391516</xdr:colOff>
      <xdr:row>14</xdr:row>
      <xdr:rowOff>89408</xdr:rowOff>
    </xdr:to>
    <xdr:pic>
      <xdr:nvPicPr>
        <xdr:cNvPr id="7" name="Picture 6">
          <a:extLst>
            <a:ext uri="{FF2B5EF4-FFF2-40B4-BE49-F238E27FC236}">
              <a16:creationId xmlns:a16="http://schemas.microsoft.com/office/drawing/2014/main" id="{6E316F75-4190-4777-955C-AEF32A3CCF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59320" y="1504188"/>
          <a:ext cx="5286756" cy="2358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207264</xdr:colOff>
      <xdr:row>5</xdr:row>
      <xdr:rowOff>6096</xdr:rowOff>
    </xdr:from>
    <xdr:to>
      <xdr:col>21</xdr:col>
      <xdr:colOff>170811</xdr:colOff>
      <xdr:row>28</xdr:row>
      <xdr:rowOff>164973</xdr:rowOff>
    </xdr:to>
    <xdr:pic>
      <xdr:nvPicPr>
        <xdr:cNvPr id="9" name="Picture 8">
          <a:extLst>
            <a:ext uri="{FF2B5EF4-FFF2-40B4-BE49-F238E27FC236}">
              <a16:creationId xmlns:a16="http://schemas.microsoft.com/office/drawing/2014/main" id="{EFC79EAD-0352-4D2B-A7FE-61DB931BFB5C}"/>
            </a:ext>
          </a:extLst>
        </xdr:cNvPr>
        <xdr:cNvPicPr>
          <a:picLocks noChangeAspect="1"/>
        </xdr:cNvPicPr>
      </xdr:nvPicPr>
      <xdr:blipFill>
        <a:blip xmlns:r="http://schemas.openxmlformats.org/officeDocument/2006/relationships" r:embed="rId3"/>
        <a:stretch>
          <a:fillRect/>
        </a:stretch>
      </xdr:blipFill>
      <xdr:spPr>
        <a:xfrm>
          <a:off x="16087344" y="2127504"/>
          <a:ext cx="6126603" cy="4371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1031444</xdr:colOff>
      <xdr:row>1</xdr:row>
      <xdr:rowOff>51206</xdr:rowOff>
    </xdr:from>
    <xdr:to>
      <xdr:col>6</xdr:col>
      <xdr:colOff>694945</xdr:colOff>
      <xdr:row>10</xdr:row>
      <xdr:rowOff>258079</xdr:rowOff>
    </xdr:to>
    <xdr:pic>
      <xdr:nvPicPr>
        <xdr:cNvPr id="3" name="Picture 2">
          <a:extLst>
            <a:ext uri="{FF2B5EF4-FFF2-40B4-BE49-F238E27FC236}">
              <a16:creationId xmlns:a16="http://schemas.microsoft.com/office/drawing/2014/main" id="{EE4A5DA3-7222-4A98-B417-B0DA1C9FFD87}"/>
            </a:ext>
          </a:extLst>
        </xdr:cNvPr>
        <xdr:cNvPicPr>
          <a:picLocks noChangeAspect="1"/>
        </xdr:cNvPicPr>
      </xdr:nvPicPr>
      <xdr:blipFill>
        <a:blip xmlns:r="http://schemas.openxmlformats.org/officeDocument/2006/relationships" r:embed="rId1"/>
        <a:stretch>
          <a:fillRect/>
        </a:stretch>
      </xdr:blipFill>
      <xdr:spPr>
        <a:xfrm>
          <a:off x="7819950" y="270662"/>
          <a:ext cx="2633472" cy="2496531"/>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29261</xdr:colOff>
      <xdr:row>1</xdr:row>
      <xdr:rowOff>67334</xdr:rowOff>
    </xdr:from>
    <xdr:to>
      <xdr:col>17</xdr:col>
      <xdr:colOff>198665</xdr:colOff>
      <xdr:row>13</xdr:row>
      <xdr:rowOff>138989</xdr:rowOff>
    </xdr:to>
    <xdr:pic>
      <xdr:nvPicPr>
        <xdr:cNvPr id="2" name="Picture 1">
          <a:extLst>
            <a:ext uri="{FF2B5EF4-FFF2-40B4-BE49-F238E27FC236}">
              <a16:creationId xmlns:a16="http://schemas.microsoft.com/office/drawing/2014/main" id="{0D2CA4A3-A4E9-417F-B805-D2A5249465F6}"/>
            </a:ext>
          </a:extLst>
        </xdr:cNvPr>
        <xdr:cNvPicPr>
          <a:picLocks noChangeAspect="1"/>
        </xdr:cNvPicPr>
      </xdr:nvPicPr>
      <xdr:blipFill>
        <a:blip xmlns:r="http://schemas.openxmlformats.org/officeDocument/2006/relationships" r:embed="rId1"/>
        <a:stretch>
          <a:fillRect/>
        </a:stretch>
      </xdr:blipFill>
      <xdr:spPr>
        <a:xfrm>
          <a:off x="7761427" y="615974"/>
          <a:ext cx="7250517" cy="2266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160934</xdr:colOff>
      <xdr:row>2</xdr:row>
      <xdr:rowOff>314555</xdr:rowOff>
    </xdr:from>
    <xdr:to>
      <xdr:col>12</xdr:col>
      <xdr:colOff>109614</xdr:colOff>
      <xdr:row>487</xdr:row>
      <xdr:rowOff>151735</xdr:rowOff>
    </xdr:to>
    <xdr:pic>
      <xdr:nvPicPr>
        <xdr:cNvPr id="3" name="Picture 2">
          <a:extLst>
            <a:ext uri="{FF2B5EF4-FFF2-40B4-BE49-F238E27FC236}">
              <a16:creationId xmlns:a16="http://schemas.microsoft.com/office/drawing/2014/main" id="{C378AE5C-6DD5-4AD2-AFC9-B08D4D6939A1}"/>
            </a:ext>
          </a:extLst>
        </xdr:cNvPr>
        <xdr:cNvPicPr>
          <a:picLocks noChangeAspect="1"/>
        </xdr:cNvPicPr>
      </xdr:nvPicPr>
      <xdr:blipFill>
        <a:blip xmlns:r="http://schemas.openxmlformats.org/officeDocument/2006/relationships" r:embed="rId1"/>
        <a:stretch>
          <a:fillRect/>
        </a:stretch>
      </xdr:blipFill>
      <xdr:spPr>
        <a:xfrm>
          <a:off x="5296204" y="709576"/>
          <a:ext cx="6386056" cy="1848860"/>
        </a:xfrm>
        <a:prstGeom prst="rect">
          <a:avLst/>
        </a:prstGeom>
      </xdr:spPr>
    </xdr:pic>
    <xdr:clientData/>
  </xdr:twoCellAnchor>
  <xdr:twoCellAnchor>
    <xdr:from>
      <xdr:col>11</xdr:col>
      <xdr:colOff>352618</xdr:colOff>
      <xdr:row>480</xdr:row>
      <xdr:rowOff>74305</xdr:rowOff>
    </xdr:from>
    <xdr:to>
      <xdr:col>12</xdr:col>
      <xdr:colOff>219456</xdr:colOff>
      <xdr:row>481</xdr:row>
      <xdr:rowOff>117042</xdr:rowOff>
    </xdr:to>
    <xdr:sp macro="" textlink="">
      <xdr:nvSpPr>
        <xdr:cNvPr id="4" name="Arrow: Left 3">
          <a:extLst>
            <a:ext uri="{FF2B5EF4-FFF2-40B4-BE49-F238E27FC236}">
              <a16:creationId xmlns:a16="http://schemas.microsoft.com/office/drawing/2014/main" id="{8F003378-E052-461A-8D59-819EB0674297}"/>
            </a:ext>
          </a:extLst>
        </xdr:cNvPr>
        <xdr:cNvSpPr/>
      </xdr:nvSpPr>
      <xdr:spPr>
        <a:xfrm>
          <a:off x="8882141" y="1837268"/>
          <a:ext cx="510576" cy="225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51206</xdr:rowOff>
    </xdr:from>
    <xdr:to>
      <xdr:col>11</xdr:col>
      <xdr:colOff>614477</xdr:colOff>
      <xdr:row>16</xdr:row>
      <xdr:rowOff>71266</xdr:rowOff>
    </xdr:to>
    <xdr:grpSp>
      <xdr:nvGrpSpPr>
        <xdr:cNvPr id="4" name="Group 3">
          <a:extLst>
            <a:ext uri="{FF2B5EF4-FFF2-40B4-BE49-F238E27FC236}">
              <a16:creationId xmlns:a16="http://schemas.microsoft.com/office/drawing/2014/main" id="{25CB302E-EFF8-4AD5-B523-8C59C7071186}"/>
            </a:ext>
          </a:extLst>
        </xdr:cNvPr>
        <xdr:cNvGrpSpPr/>
      </xdr:nvGrpSpPr>
      <xdr:grpSpPr>
        <a:xfrm>
          <a:off x="0" y="419506"/>
          <a:ext cx="7389927" cy="2598160"/>
          <a:chOff x="0" y="548640"/>
          <a:chExt cx="12794285" cy="3962953"/>
        </a:xfrm>
      </xdr:grpSpPr>
      <xdr:pic>
        <xdr:nvPicPr>
          <xdr:cNvPr id="2" name="Picture 1">
            <a:extLst>
              <a:ext uri="{FF2B5EF4-FFF2-40B4-BE49-F238E27FC236}">
                <a16:creationId xmlns:a16="http://schemas.microsoft.com/office/drawing/2014/main" id="{4FF93456-34AE-43FA-94F8-920B187B494F}"/>
              </a:ext>
            </a:extLst>
          </xdr:cNvPr>
          <xdr:cNvPicPr>
            <a:picLocks noChangeAspect="1"/>
          </xdr:cNvPicPr>
        </xdr:nvPicPr>
        <xdr:blipFill>
          <a:blip xmlns:r="http://schemas.openxmlformats.org/officeDocument/2006/relationships" r:embed="rId1"/>
          <a:stretch>
            <a:fillRect/>
          </a:stretch>
        </xdr:blipFill>
        <xdr:spPr>
          <a:xfrm>
            <a:off x="0" y="548640"/>
            <a:ext cx="12260386" cy="3962953"/>
          </a:xfrm>
          <a:prstGeom prst="rect">
            <a:avLst/>
          </a:prstGeom>
        </xdr:spPr>
      </xdr:pic>
      <xdr:sp macro="" textlink="">
        <xdr:nvSpPr>
          <xdr:cNvPr id="3" name="Arrow: Left 2">
            <a:extLst>
              <a:ext uri="{FF2B5EF4-FFF2-40B4-BE49-F238E27FC236}">
                <a16:creationId xmlns:a16="http://schemas.microsoft.com/office/drawing/2014/main" id="{7EEF1BB2-CC1D-4DD6-BA4B-1FBA5D7DA41D}"/>
              </a:ext>
            </a:extLst>
          </xdr:cNvPr>
          <xdr:cNvSpPr/>
        </xdr:nvSpPr>
        <xdr:spPr>
          <a:xfrm>
            <a:off x="11814048" y="2918765"/>
            <a:ext cx="980237" cy="3803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21946</xdr:rowOff>
    </xdr:from>
    <xdr:to>
      <xdr:col>7</xdr:col>
      <xdr:colOff>493033</xdr:colOff>
      <xdr:row>23</xdr:row>
      <xdr:rowOff>113011</xdr:rowOff>
    </xdr:to>
    <xdr:pic>
      <xdr:nvPicPr>
        <xdr:cNvPr id="2" name="Picture 1">
          <a:extLst>
            <a:ext uri="{FF2B5EF4-FFF2-40B4-BE49-F238E27FC236}">
              <a16:creationId xmlns:a16="http://schemas.microsoft.com/office/drawing/2014/main" id="{4AB46BED-89F1-47A9-B09D-ACDBDE804479}"/>
            </a:ext>
          </a:extLst>
        </xdr:cNvPr>
        <xdr:cNvPicPr>
          <a:picLocks noChangeAspect="1"/>
        </xdr:cNvPicPr>
      </xdr:nvPicPr>
      <xdr:blipFill>
        <a:blip xmlns:r="http://schemas.openxmlformats.org/officeDocument/2006/relationships" r:embed="rId1"/>
        <a:stretch>
          <a:fillRect/>
        </a:stretch>
      </xdr:blipFill>
      <xdr:spPr>
        <a:xfrm>
          <a:off x="0" y="680314"/>
          <a:ext cx="4999196" cy="3748665"/>
        </a:xfrm>
        <a:prstGeom prst="rect">
          <a:avLst/>
        </a:prstGeom>
        <a:ln>
          <a:solidFill>
            <a:sysClr val="windowText" lastClr="000000"/>
          </a:solidFill>
        </a:ln>
      </xdr:spPr>
    </xdr:pic>
    <xdr:clientData/>
  </xdr:twoCellAnchor>
  <xdr:twoCellAnchor editAs="oneCell">
    <xdr:from>
      <xdr:col>7</xdr:col>
      <xdr:colOff>618829</xdr:colOff>
      <xdr:row>3</xdr:row>
      <xdr:rowOff>36576</xdr:rowOff>
    </xdr:from>
    <xdr:to>
      <xdr:col>15</xdr:col>
      <xdr:colOff>434479</xdr:colOff>
      <xdr:row>23</xdr:row>
      <xdr:rowOff>102413</xdr:rowOff>
    </xdr:to>
    <xdr:pic>
      <xdr:nvPicPr>
        <xdr:cNvPr id="3" name="Picture 2">
          <a:extLst>
            <a:ext uri="{FF2B5EF4-FFF2-40B4-BE49-F238E27FC236}">
              <a16:creationId xmlns:a16="http://schemas.microsoft.com/office/drawing/2014/main" id="{FF8BF2C5-0B8D-4CA7-9E72-30A0223D7DE4}"/>
            </a:ext>
          </a:extLst>
        </xdr:cNvPr>
        <xdr:cNvPicPr>
          <a:picLocks noChangeAspect="1"/>
        </xdr:cNvPicPr>
      </xdr:nvPicPr>
      <xdr:blipFill>
        <a:blip xmlns:r="http://schemas.openxmlformats.org/officeDocument/2006/relationships" r:embed="rId2"/>
        <a:stretch>
          <a:fillRect/>
        </a:stretch>
      </xdr:blipFill>
      <xdr:spPr>
        <a:xfrm>
          <a:off x="5124992" y="585216"/>
          <a:ext cx="4965551" cy="3723437"/>
        </a:xfrm>
        <a:prstGeom prst="rect">
          <a:avLst/>
        </a:prstGeom>
        <a:ln>
          <a:solidFill>
            <a:schemeClr val="tx1"/>
          </a:solidFill>
        </a:ln>
      </xdr:spPr>
    </xdr:pic>
    <xdr:clientData/>
  </xdr:twoCellAnchor>
  <xdr:twoCellAnchor editAs="oneCell">
    <xdr:from>
      <xdr:col>0</xdr:col>
      <xdr:colOff>0</xdr:colOff>
      <xdr:row>24</xdr:row>
      <xdr:rowOff>161297</xdr:rowOff>
    </xdr:from>
    <xdr:to>
      <xdr:col>7</xdr:col>
      <xdr:colOff>541325</xdr:colOff>
      <xdr:row>45</xdr:row>
      <xdr:rowOff>105694</xdr:rowOff>
    </xdr:to>
    <xdr:pic>
      <xdr:nvPicPr>
        <xdr:cNvPr id="5" name="Picture 4">
          <a:extLst>
            <a:ext uri="{FF2B5EF4-FFF2-40B4-BE49-F238E27FC236}">
              <a16:creationId xmlns:a16="http://schemas.microsoft.com/office/drawing/2014/main" id="{69F3D512-A2C8-4660-962C-292F2E1F5CF6}"/>
            </a:ext>
          </a:extLst>
        </xdr:cNvPr>
        <xdr:cNvPicPr>
          <a:picLocks noChangeAspect="1"/>
        </xdr:cNvPicPr>
      </xdr:nvPicPr>
      <xdr:blipFill>
        <a:blip xmlns:r="http://schemas.openxmlformats.org/officeDocument/2006/relationships" r:embed="rId3"/>
        <a:stretch>
          <a:fillRect/>
        </a:stretch>
      </xdr:blipFill>
      <xdr:spPr>
        <a:xfrm>
          <a:off x="0" y="4550417"/>
          <a:ext cx="5047488" cy="3784877"/>
        </a:xfrm>
        <a:prstGeom prst="rect">
          <a:avLst/>
        </a:prstGeom>
        <a:ln>
          <a:solidFill>
            <a:schemeClr val="tx1"/>
          </a:solidFill>
        </a:ln>
      </xdr:spPr>
    </xdr:pic>
    <xdr:clientData/>
  </xdr:twoCellAnchor>
  <xdr:twoCellAnchor editAs="oneCell">
    <xdr:from>
      <xdr:col>8</xdr:col>
      <xdr:colOff>40501</xdr:colOff>
      <xdr:row>24</xdr:row>
      <xdr:rowOff>182849</xdr:rowOff>
    </xdr:from>
    <xdr:to>
      <xdr:col>15</xdr:col>
      <xdr:colOff>526694</xdr:colOff>
      <xdr:row>45</xdr:row>
      <xdr:rowOff>85905</xdr:rowOff>
    </xdr:to>
    <xdr:pic>
      <xdr:nvPicPr>
        <xdr:cNvPr id="6" name="Picture 5">
          <a:extLst>
            <a:ext uri="{FF2B5EF4-FFF2-40B4-BE49-F238E27FC236}">
              <a16:creationId xmlns:a16="http://schemas.microsoft.com/office/drawing/2014/main" id="{301ABABA-D2C5-4E45-A1E8-A549CA9F0A83}"/>
            </a:ext>
          </a:extLst>
        </xdr:cNvPr>
        <xdr:cNvPicPr>
          <a:picLocks noChangeAspect="1"/>
        </xdr:cNvPicPr>
      </xdr:nvPicPr>
      <xdr:blipFill>
        <a:blip xmlns:r="http://schemas.openxmlformats.org/officeDocument/2006/relationships" r:embed="rId4"/>
        <a:stretch>
          <a:fillRect/>
        </a:stretch>
      </xdr:blipFill>
      <xdr:spPr>
        <a:xfrm>
          <a:off x="5190402" y="4681697"/>
          <a:ext cx="4992356" cy="3743536"/>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YMTRFRM\Hospitals\RATES\Inpatient%20Hospital%20Rates\New%20Inpatient%20Rate%20Methodology%202020\1.%20New%20IP%20Base%20Rate%20Methodology%209.1.2020\1.%20HCRIS%20-DATA%20FROM%20SF\AA%20HCRIS%20for%20FY23-24%20rates\Payer%20Mix%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YMTRFRM\Hospitals\RATES\Inpatient%20Hospital%20Rates\New%20Inpatient%20Rate%20Methodology%202020\1.%20New%20IP%20Base%20Rate%20Methodology%209.1.2020\1.%20HCRIS%20DATA\AA%20HCRIS%20for%20FY23-24%20rates\Low%20Discharge%20data%20FY23-24%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Reports"/>
      <sheetName val="Payer Mix 3 yrs avg"/>
      <sheetName val="full yr pivot"/>
      <sheetName val="full year only"/>
      <sheetName val="Combined"/>
      <sheetName val="2022 23Q1"/>
      <sheetName val="2021 23Q1"/>
      <sheetName val="2020 23Q1"/>
      <sheetName val="2019 23Q1"/>
      <sheetName val="2018 23Q1"/>
      <sheetName val="2017 23Q1"/>
      <sheetName val="2016 23Q1"/>
      <sheetName val="Medicare Provider Name Xwalk"/>
    </sheetNames>
    <sheetDataSet>
      <sheetData sheetId="0" refreshError="1"/>
      <sheetData sheetId="1" refreshError="1">
        <row r="5">
          <cell r="B5">
            <v>60001</v>
          </cell>
          <cell r="C5" t="str">
            <v>North Colorado Medical Center</v>
          </cell>
          <cell r="D5">
            <v>15267</v>
          </cell>
          <cell r="E5">
            <v>46607</v>
          </cell>
          <cell r="F5">
            <v>16044</v>
          </cell>
          <cell r="G5">
            <v>44270</v>
          </cell>
          <cell r="H5">
            <v>17594</v>
          </cell>
          <cell r="I5">
            <v>48457</v>
          </cell>
          <cell r="L5" t="str">
            <v>2019-2021</v>
          </cell>
          <cell r="M5">
            <v>0.35099114358304506</v>
          </cell>
        </row>
        <row r="6">
          <cell r="B6">
            <v>60003</v>
          </cell>
          <cell r="C6" t="str">
            <v>Longmont United Hospital</v>
          </cell>
          <cell r="D6">
            <v>4963</v>
          </cell>
          <cell r="E6">
            <v>18351</v>
          </cell>
          <cell r="F6">
            <v>4445</v>
          </cell>
          <cell r="G6">
            <v>16643</v>
          </cell>
          <cell r="H6">
            <v>3707</v>
          </cell>
          <cell r="I6">
            <v>12941</v>
          </cell>
          <cell r="L6" t="str">
            <v>2019-2021</v>
          </cell>
          <cell r="M6">
            <v>0.27359966621466569</v>
          </cell>
        </row>
        <row r="7">
          <cell r="B7">
            <v>60004</v>
          </cell>
          <cell r="C7" t="str">
            <v>Platte Valley Medical Center</v>
          </cell>
          <cell r="D7">
            <v>3913</v>
          </cell>
          <cell r="E7">
            <v>11168</v>
          </cell>
          <cell r="F7">
            <v>4255</v>
          </cell>
          <cell r="G7">
            <v>12518</v>
          </cell>
          <cell r="H7">
            <v>4805</v>
          </cell>
          <cell r="I7">
            <v>14489</v>
          </cell>
          <cell r="L7" t="str">
            <v>2019-2021</v>
          </cell>
          <cell r="M7">
            <v>0.33982973149967255</v>
          </cell>
        </row>
        <row r="8">
          <cell r="B8">
            <v>60006</v>
          </cell>
          <cell r="C8" t="str">
            <v>Montrose Memorial Hospital</v>
          </cell>
          <cell r="D8">
            <v>1626</v>
          </cell>
          <cell r="E8">
            <v>8927</v>
          </cell>
          <cell r="F8">
            <v>1690</v>
          </cell>
          <cell r="G8">
            <v>9121</v>
          </cell>
          <cell r="H8">
            <v>1853</v>
          </cell>
          <cell r="I8">
            <v>10257</v>
          </cell>
          <cell r="L8" t="str">
            <v>2019-2021</v>
          </cell>
          <cell r="M8">
            <v>0.18261791202967673</v>
          </cell>
        </row>
        <row r="9">
          <cell r="B9">
            <v>60008</v>
          </cell>
          <cell r="C9" t="str">
            <v>San Luis Valley Regional Medical Center</v>
          </cell>
          <cell r="D9">
            <v>2140</v>
          </cell>
          <cell r="E9">
            <v>7443</v>
          </cell>
          <cell r="F9">
            <v>2198</v>
          </cell>
          <cell r="G9">
            <v>7010</v>
          </cell>
          <cell r="H9">
            <v>1773</v>
          </cell>
          <cell r="I9">
            <v>6859</v>
          </cell>
          <cell r="L9" t="str">
            <v>2019-2021</v>
          </cell>
          <cell r="M9">
            <v>0.28673986486486486</v>
          </cell>
        </row>
        <row r="10">
          <cell r="B10">
            <v>60009</v>
          </cell>
          <cell r="C10" t="str">
            <v>Exempla Lutheran Medical Center</v>
          </cell>
          <cell r="D10">
            <v>14854</v>
          </cell>
          <cell r="E10">
            <v>60819</v>
          </cell>
          <cell r="F10">
            <v>17147</v>
          </cell>
          <cell r="G10">
            <v>61614</v>
          </cell>
          <cell r="H10">
            <v>20412</v>
          </cell>
          <cell r="I10">
            <v>75615</v>
          </cell>
          <cell r="L10" t="str">
            <v>2019-2021</v>
          </cell>
          <cell r="M10">
            <v>0.26464796412990788</v>
          </cell>
          <cell r="N10" t="str">
            <v>you do not get the same percentage if you create 3% and do an avg</v>
          </cell>
        </row>
        <row r="11">
          <cell r="B11">
            <v>60010</v>
          </cell>
          <cell r="C11" t="str">
            <v>Poudre Valley Hospital</v>
          </cell>
          <cell r="D11">
            <v>15885</v>
          </cell>
          <cell r="E11">
            <v>66083</v>
          </cell>
          <cell r="F11">
            <v>14432</v>
          </cell>
          <cell r="G11">
            <v>61149</v>
          </cell>
          <cell r="H11">
            <v>16439</v>
          </cell>
          <cell r="I11">
            <v>62932</v>
          </cell>
          <cell r="J11">
            <v>16547</v>
          </cell>
          <cell r="K11">
            <v>70653</v>
          </cell>
          <cell r="L11" t="str">
            <v>2020-2022</v>
          </cell>
          <cell r="M11">
            <v>0.24350139164193207</v>
          </cell>
        </row>
        <row r="12">
          <cell r="B12">
            <v>60011</v>
          </cell>
          <cell r="C12" t="str">
            <v>Denver General Hospital</v>
          </cell>
          <cell r="D12">
            <v>63927</v>
          </cell>
          <cell r="E12">
            <v>113671</v>
          </cell>
          <cell r="F12">
            <v>66236</v>
          </cell>
          <cell r="G12">
            <v>117994</v>
          </cell>
          <cell r="H12">
            <v>69126</v>
          </cell>
          <cell r="I12">
            <v>128846</v>
          </cell>
          <cell r="L12" t="str">
            <v>2019-2021</v>
          </cell>
          <cell r="M12">
            <v>0.55279589249703898</v>
          </cell>
          <cell r="N12">
            <v>0.55279589249703898</v>
          </cell>
        </row>
        <row r="13">
          <cell r="B13">
            <v>60012</v>
          </cell>
          <cell r="C13" t="str">
            <v>St Mary Corwin Regional Medical Center</v>
          </cell>
          <cell r="D13">
            <v>1941</v>
          </cell>
          <cell r="E13">
            <v>8032</v>
          </cell>
          <cell r="F13">
            <v>2062</v>
          </cell>
          <cell r="G13">
            <v>7596</v>
          </cell>
          <cell r="H13">
            <v>1882</v>
          </cell>
          <cell r="I13">
            <v>7405</v>
          </cell>
          <cell r="J13">
            <v>2732</v>
          </cell>
          <cell r="K13">
            <v>9642</v>
          </cell>
          <cell r="L13" t="str">
            <v>2020-2022</v>
          </cell>
          <cell r="M13">
            <v>0.27090857444304672</v>
          </cell>
          <cell r="N13">
            <v>0.27090857444304672</v>
          </cell>
        </row>
        <row r="14">
          <cell r="B14">
            <v>60013</v>
          </cell>
          <cell r="C14" t="str">
            <v>Mercy Regional Medical Center</v>
          </cell>
          <cell r="D14">
            <v>4064</v>
          </cell>
          <cell r="E14">
            <v>14998</v>
          </cell>
          <cell r="F14">
            <v>4350</v>
          </cell>
          <cell r="G14">
            <v>15314</v>
          </cell>
          <cell r="H14">
            <v>5163</v>
          </cell>
          <cell r="I14">
            <v>17642</v>
          </cell>
          <cell r="J14">
            <v>5737</v>
          </cell>
          <cell r="K14">
            <v>20366</v>
          </cell>
          <cell r="L14" t="str">
            <v>2020-2022</v>
          </cell>
          <cell r="M14">
            <v>0.28599827463335958</v>
          </cell>
        </row>
        <row r="15">
          <cell r="B15">
            <v>60014</v>
          </cell>
          <cell r="C15" t="str">
            <v>St Luke's Medical Center</v>
          </cell>
          <cell r="D15">
            <v>34711</v>
          </cell>
          <cell r="E15">
            <v>83132</v>
          </cell>
          <cell r="F15">
            <v>37032</v>
          </cell>
          <cell r="G15">
            <v>79869</v>
          </cell>
          <cell r="H15">
            <v>35292</v>
          </cell>
          <cell r="I15">
            <v>81417</v>
          </cell>
          <cell r="L15" t="str">
            <v>2019-2021</v>
          </cell>
          <cell r="M15">
            <v>0.43791782929244166</v>
          </cell>
        </row>
        <row r="16">
          <cell r="B16">
            <v>60015</v>
          </cell>
          <cell r="C16" t="str">
            <v>St Anthony Hospital</v>
          </cell>
          <cell r="D16">
            <v>13916</v>
          </cell>
          <cell r="E16">
            <v>61971</v>
          </cell>
          <cell r="F16">
            <v>13702</v>
          </cell>
          <cell r="G16">
            <v>62452</v>
          </cell>
          <cell r="H16">
            <v>15538</v>
          </cell>
          <cell r="I16">
            <v>69308</v>
          </cell>
          <cell r="J16">
            <v>17030</v>
          </cell>
          <cell r="K16">
            <v>74792</v>
          </cell>
          <cell r="L16" t="str">
            <v>2020-2022</v>
          </cell>
          <cell r="M16">
            <v>0.2240113869630892</v>
          </cell>
        </row>
        <row r="17">
          <cell r="B17">
            <v>60020</v>
          </cell>
          <cell r="C17" t="str">
            <v>Parkview Medical Center</v>
          </cell>
          <cell r="D17">
            <v>24233</v>
          </cell>
          <cell r="E17">
            <v>82223</v>
          </cell>
          <cell r="F17">
            <v>23754</v>
          </cell>
          <cell r="G17">
            <v>77869</v>
          </cell>
          <cell r="H17">
            <v>24814</v>
          </cell>
          <cell r="I17">
            <v>83667</v>
          </cell>
          <cell r="J17">
            <v>23063</v>
          </cell>
          <cell r="K17">
            <v>80260</v>
          </cell>
          <cell r="L17" t="str">
            <v>2020-2022</v>
          </cell>
          <cell r="M17">
            <v>0.29624559546063622</v>
          </cell>
        </row>
        <row r="18">
          <cell r="B18">
            <v>60022</v>
          </cell>
          <cell r="C18" t="str">
            <v>Memorial Health System</v>
          </cell>
          <cell r="D18">
            <v>51560</v>
          </cell>
          <cell r="E18">
            <v>130990</v>
          </cell>
          <cell r="F18">
            <v>35882</v>
          </cell>
          <cell r="G18">
            <v>115081</v>
          </cell>
          <cell r="H18">
            <v>39386</v>
          </cell>
          <cell r="I18">
            <v>127565</v>
          </cell>
          <cell r="J18">
            <v>42737</v>
          </cell>
          <cell r="K18">
            <v>143873</v>
          </cell>
          <cell r="L18" t="str">
            <v>2020-2022</v>
          </cell>
          <cell r="M18">
            <v>0.30530193858516658</v>
          </cell>
        </row>
        <row r="19">
          <cell r="B19">
            <v>60023</v>
          </cell>
          <cell r="C19" t="str">
            <v>St Marys Hospital &amp; Medical Center</v>
          </cell>
          <cell r="D19">
            <v>19242</v>
          </cell>
          <cell r="E19">
            <v>66915</v>
          </cell>
          <cell r="F19">
            <v>16402</v>
          </cell>
          <cell r="G19">
            <v>62035</v>
          </cell>
          <cell r="H19">
            <v>21148</v>
          </cell>
          <cell r="I19">
            <v>67073</v>
          </cell>
          <cell r="L19" t="str">
            <v>2019-2021</v>
          </cell>
          <cell r="M19">
            <v>0.28972110415614494</v>
          </cell>
        </row>
        <row r="20">
          <cell r="B20">
            <v>60024</v>
          </cell>
          <cell r="C20" t="str">
            <v>University Hospital</v>
          </cell>
          <cell r="D20">
            <v>65669</v>
          </cell>
          <cell r="E20">
            <v>206801</v>
          </cell>
          <cell r="F20">
            <v>66109</v>
          </cell>
          <cell r="G20">
            <v>208076</v>
          </cell>
          <cell r="H20">
            <v>77348</v>
          </cell>
          <cell r="I20">
            <v>220362</v>
          </cell>
          <cell r="J20">
            <v>79712</v>
          </cell>
          <cell r="K20">
            <v>232481</v>
          </cell>
          <cell r="L20" t="str">
            <v>2020-2022</v>
          </cell>
          <cell r="M20">
            <v>0.33766467600416994</v>
          </cell>
        </row>
        <row r="21">
          <cell r="B21">
            <v>60027</v>
          </cell>
          <cell r="C21" t="str">
            <v>Boulder Community Hospital</v>
          </cell>
          <cell r="D21">
            <v>5137</v>
          </cell>
          <cell r="E21">
            <v>31264</v>
          </cell>
          <cell r="F21">
            <v>5461</v>
          </cell>
          <cell r="G21">
            <v>30072</v>
          </cell>
          <cell r="H21">
            <v>6746</v>
          </cell>
          <cell r="I21">
            <v>32999</v>
          </cell>
          <cell r="L21" t="str">
            <v>2019-2021</v>
          </cell>
          <cell r="M21">
            <v>0.18385540891503685</v>
          </cell>
        </row>
        <row r="22">
          <cell r="B22">
            <v>60028</v>
          </cell>
          <cell r="C22" t="str">
            <v>Saint Joseph Hospital</v>
          </cell>
          <cell r="D22">
            <v>25922</v>
          </cell>
          <cell r="E22">
            <v>91516</v>
          </cell>
          <cell r="F22">
            <v>21767</v>
          </cell>
          <cell r="G22">
            <v>82118</v>
          </cell>
          <cell r="H22">
            <v>25347</v>
          </cell>
          <cell r="I22">
            <v>88012</v>
          </cell>
          <cell r="L22" t="str">
            <v>2019-2021</v>
          </cell>
          <cell r="M22">
            <v>0.27914051810461465</v>
          </cell>
        </row>
        <row r="23">
          <cell r="B23">
            <v>60030</v>
          </cell>
          <cell r="C23" t="str">
            <v>Mckee Medical Center</v>
          </cell>
          <cell r="D23">
            <v>2522</v>
          </cell>
          <cell r="E23">
            <v>9420</v>
          </cell>
          <cell r="F23">
            <v>2538</v>
          </cell>
          <cell r="G23">
            <v>11953</v>
          </cell>
          <cell r="H23">
            <v>2928</v>
          </cell>
          <cell r="I23">
            <v>13818</v>
          </cell>
          <cell r="L23" t="str">
            <v>2019-2021</v>
          </cell>
          <cell r="M23">
            <v>0.22698985536074565</v>
          </cell>
        </row>
        <row r="24">
          <cell r="B24">
            <v>60031</v>
          </cell>
          <cell r="C24" t="str">
            <v>Penrose-St Francis Hospital</v>
          </cell>
          <cell r="D24">
            <v>26177</v>
          </cell>
          <cell r="E24">
            <v>106569</v>
          </cell>
          <cell r="F24">
            <v>28910</v>
          </cell>
          <cell r="G24">
            <v>111845</v>
          </cell>
          <cell r="H24">
            <v>31422</v>
          </cell>
          <cell r="I24">
            <v>121379</v>
          </cell>
          <cell r="J24">
            <v>34307</v>
          </cell>
          <cell r="K24">
            <v>130643</v>
          </cell>
          <cell r="L24" t="str">
            <v>2020-2022</v>
          </cell>
          <cell r="M24">
            <v>0.26009228646730809</v>
          </cell>
        </row>
        <row r="25">
          <cell r="B25">
            <v>60032</v>
          </cell>
          <cell r="C25" t="str">
            <v>Rose Medical Center</v>
          </cell>
          <cell r="D25">
            <v>11515</v>
          </cell>
          <cell r="E25">
            <v>48078</v>
          </cell>
          <cell r="F25">
            <v>12386</v>
          </cell>
          <cell r="G25">
            <v>49185</v>
          </cell>
          <cell r="H25">
            <v>12820</v>
          </cell>
          <cell r="I25">
            <v>50627</v>
          </cell>
          <cell r="L25" t="str">
            <v>2019-2021</v>
          </cell>
          <cell r="M25">
            <v>0.2482994117249307</v>
          </cell>
        </row>
        <row r="26">
          <cell r="B26">
            <v>60034</v>
          </cell>
          <cell r="C26" t="str">
            <v>Swedish Medical Center</v>
          </cell>
          <cell r="D26">
            <v>25099</v>
          </cell>
          <cell r="E26">
            <v>101556</v>
          </cell>
          <cell r="F26">
            <v>25343</v>
          </cell>
          <cell r="G26">
            <v>107478</v>
          </cell>
          <cell r="H26">
            <v>28915</v>
          </cell>
          <cell r="I26">
            <v>117213</v>
          </cell>
          <cell r="L26" t="str">
            <v>2019-2021</v>
          </cell>
          <cell r="M26">
            <v>0.24324208345210838</v>
          </cell>
        </row>
        <row r="27">
          <cell r="B27">
            <v>60043</v>
          </cell>
          <cell r="C27" t="str">
            <v>#N/A</v>
          </cell>
          <cell r="L27" t="str">
            <v>2019-2021</v>
          </cell>
          <cell r="M27" t="e">
            <v>#DIV/0!</v>
          </cell>
          <cell r="N27" t="str">
            <v xml:space="preserve"> </v>
          </cell>
        </row>
        <row r="28">
          <cell r="B28">
            <v>60044</v>
          </cell>
          <cell r="C28" t="str">
            <v>Colorado Plains Medical Center</v>
          </cell>
          <cell r="D28">
            <v>1097</v>
          </cell>
          <cell r="E28">
            <v>5858</v>
          </cell>
          <cell r="F28">
            <v>962</v>
          </cell>
          <cell r="G28">
            <v>5901</v>
          </cell>
          <cell r="H28">
            <v>932</v>
          </cell>
          <cell r="I28">
            <v>4553</v>
          </cell>
          <cell r="L28" t="str">
            <v>2019-2021</v>
          </cell>
          <cell r="M28">
            <v>0.18336194212849435</v>
          </cell>
        </row>
        <row r="29">
          <cell r="B29">
            <v>60049</v>
          </cell>
          <cell r="C29" t="str">
            <v>Yampa Valley Medical Center</v>
          </cell>
          <cell r="D29">
            <v>972</v>
          </cell>
          <cell r="E29">
            <v>3744</v>
          </cell>
          <cell r="F29">
            <v>829</v>
          </cell>
          <cell r="G29">
            <v>3642</v>
          </cell>
          <cell r="H29">
            <v>923</v>
          </cell>
          <cell r="I29">
            <v>3299</v>
          </cell>
          <cell r="J29">
            <v>1004</v>
          </cell>
          <cell r="K29">
            <v>3655</v>
          </cell>
          <cell r="L29" t="str">
            <v>2020-2022</v>
          </cell>
          <cell r="M29">
            <v>0.26009815024537564</v>
          </cell>
        </row>
        <row r="30">
          <cell r="B30">
            <v>60054</v>
          </cell>
          <cell r="C30" t="str">
            <v>Community Hospital Home Health Service</v>
          </cell>
          <cell r="D30">
            <v>1415</v>
          </cell>
          <cell r="E30">
            <v>8234</v>
          </cell>
          <cell r="F30">
            <v>2146</v>
          </cell>
          <cell r="G30">
            <v>7257</v>
          </cell>
          <cell r="H30">
            <v>2041</v>
          </cell>
          <cell r="I30">
            <v>9994</v>
          </cell>
          <cell r="L30" t="str">
            <v>2019-2021</v>
          </cell>
          <cell r="M30">
            <v>0.21981557779085736</v>
          </cell>
        </row>
        <row r="31">
          <cell r="B31">
            <v>60064</v>
          </cell>
          <cell r="C31" t="str">
            <v>Porter Memorial Hospital</v>
          </cell>
          <cell r="D31">
            <v>7310</v>
          </cell>
          <cell r="E31">
            <v>41761</v>
          </cell>
          <cell r="F31">
            <v>7111</v>
          </cell>
          <cell r="G31">
            <v>39407</v>
          </cell>
          <cell r="H31">
            <v>9345</v>
          </cell>
          <cell r="I31">
            <v>44799</v>
          </cell>
          <cell r="L31" t="str">
            <v>2019-2021</v>
          </cell>
          <cell r="M31">
            <v>0.18866846078734906</v>
          </cell>
        </row>
        <row r="32">
          <cell r="B32">
            <v>60065</v>
          </cell>
          <cell r="C32" t="str">
            <v>North Suburban Medical Center</v>
          </cell>
          <cell r="D32">
            <v>12528</v>
          </cell>
          <cell r="E32">
            <v>31528</v>
          </cell>
          <cell r="F32">
            <v>13801</v>
          </cell>
          <cell r="G32">
            <v>35115</v>
          </cell>
          <cell r="H32">
            <v>14100</v>
          </cell>
          <cell r="I32">
            <v>35485</v>
          </cell>
          <cell r="L32" t="str">
            <v>2019-2021</v>
          </cell>
          <cell r="M32">
            <v>0.39586597211342628</v>
          </cell>
        </row>
        <row r="33">
          <cell r="B33">
            <v>60071</v>
          </cell>
          <cell r="C33" t="str">
            <v>Delta County Memorial Hospital</v>
          </cell>
          <cell r="D33">
            <v>963</v>
          </cell>
          <cell r="E33">
            <v>4861</v>
          </cell>
          <cell r="F33">
            <v>906</v>
          </cell>
          <cell r="G33">
            <v>5267</v>
          </cell>
          <cell r="H33">
            <v>1249</v>
          </cell>
          <cell r="I33">
            <v>5840</v>
          </cell>
          <cell r="L33" t="str">
            <v>2019-2021</v>
          </cell>
          <cell r="M33">
            <v>0.19526553106212424</v>
          </cell>
        </row>
        <row r="34">
          <cell r="B34">
            <v>60075</v>
          </cell>
          <cell r="C34" t="str">
            <v>Valley View Hospital</v>
          </cell>
          <cell r="D34">
            <v>5163</v>
          </cell>
          <cell r="E34">
            <v>13357</v>
          </cell>
          <cell r="F34">
            <v>4039</v>
          </cell>
          <cell r="G34">
            <v>11360</v>
          </cell>
          <cell r="H34">
            <v>4541</v>
          </cell>
          <cell r="I34">
            <v>12573</v>
          </cell>
          <cell r="L34" t="str">
            <v>2019-2021</v>
          </cell>
          <cell r="M34">
            <v>0.36854384553499597</v>
          </cell>
        </row>
        <row r="35">
          <cell r="B35">
            <v>60076</v>
          </cell>
          <cell r="C35" t="str">
            <v>Sterling Regional Medical Center</v>
          </cell>
          <cell r="D35">
            <v>946</v>
          </cell>
          <cell r="E35">
            <v>3153</v>
          </cell>
          <cell r="F35">
            <v>917</v>
          </cell>
          <cell r="G35">
            <v>3072</v>
          </cell>
          <cell r="H35">
            <v>814</v>
          </cell>
          <cell r="I35">
            <v>3553</v>
          </cell>
          <cell r="L35" t="str">
            <v>2019-2021</v>
          </cell>
          <cell r="M35">
            <v>0.27377786868480264</v>
          </cell>
        </row>
        <row r="36">
          <cell r="B36">
            <v>60096</v>
          </cell>
          <cell r="C36" t="str">
            <v>Vail Valley Medical Center</v>
          </cell>
          <cell r="D36">
            <v>1017</v>
          </cell>
          <cell r="E36">
            <v>5906</v>
          </cell>
          <cell r="F36">
            <v>631</v>
          </cell>
          <cell r="G36">
            <v>4411</v>
          </cell>
          <cell r="H36">
            <v>815</v>
          </cell>
          <cell r="I36">
            <v>5756</v>
          </cell>
          <cell r="L36" t="str">
            <v>2019-2021</v>
          </cell>
          <cell r="M36">
            <v>0.15323835002799727</v>
          </cell>
        </row>
        <row r="37">
          <cell r="B37">
            <v>60100</v>
          </cell>
          <cell r="C37" t="str">
            <v>The Medical Center Of Aurora</v>
          </cell>
          <cell r="D37">
            <v>25282</v>
          </cell>
          <cell r="E37">
            <v>81204</v>
          </cell>
          <cell r="F37">
            <v>29218</v>
          </cell>
          <cell r="G37">
            <v>89619</v>
          </cell>
          <cell r="H37">
            <v>30970</v>
          </cell>
          <cell r="I37">
            <v>96770</v>
          </cell>
          <cell r="L37" t="str">
            <v>2019-2021</v>
          </cell>
          <cell r="M37">
            <v>0.31940297391934769</v>
          </cell>
        </row>
        <row r="38">
          <cell r="B38">
            <v>60103</v>
          </cell>
          <cell r="C38" t="str">
            <v>Avista Adventist Hospital</v>
          </cell>
          <cell r="D38">
            <v>5559</v>
          </cell>
          <cell r="E38">
            <v>16732</v>
          </cell>
          <cell r="F38">
            <v>5322</v>
          </cell>
          <cell r="G38">
            <v>15365</v>
          </cell>
          <cell r="H38">
            <v>5443</v>
          </cell>
          <cell r="I38">
            <v>16274</v>
          </cell>
          <cell r="L38" t="str">
            <v>2019-2021</v>
          </cell>
          <cell r="M38">
            <v>0.33747493332782041</v>
          </cell>
        </row>
        <row r="39">
          <cell r="B39">
            <v>60104</v>
          </cell>
          <cell r="C39" t="str">
            <v>St Anthony Hospital North</v>
          </cell>
          <cell r="D39">
            <v>5684</v>
          </cell>
          <cell r="E39">
            <v>20389</v>
          </cell>
          <cell r="F39">
            <v>5413</v>
          </cell>
          <cell r="G39">
            <v>21239</v>
          </cell>
          <cell r="H39">
            <v>6682</v>
          </cell>
          <cell r="I39">
            <v>26343</v>
          </cell>
          <cell r="J39">
            <v>9006</v>
          </cell>
          <cell r="K39">
            <v>29816</v>
          </cell>
          <cell r="L39" t="str">
            <v>2020-2022</v>
          </cell>
          <cell r="M39">
            <v>0.27262978371534147</v>
          </cell>
        </row>
        <row r="40">
          <cell r="B40">
            <v>60107</v>
          </cell>
          <cell r="C40" t="str">
            <v>National Jewish Health</v>
          </cell>
          <cell r="D40">
            <v>59</v>
          </cell>
          <cell r="E40">
            <v>187</v>
          </cell>
          <cell r="F40">
            <v>99</v>
          </cell>
          <cell r="G40">
            <v>449</v>
          </cell>
          <cell r="H40">
            <v>28</v>
          </cell>
          <cell r="I40">
            <v>427</v>
          </cell>
          <cell r="J40">
            <v>72</v>
          </cell>
          <cell r="K40">
            <v>436</v>
          </cell>
          <cell r="L40" t="str">
            <v>2020-2022</v>
          </cell>
          <cell r="M40">
            <v>0.15167682926829268</v>
          </cell>
        </row>
        <row r="41">
          <cell r="B41">
            <v>60112</v>
          </cell>
          <cell r="C41" t="str">
            <v>Sky Ridge Medical Center</v>
          </cell>
          <cell r="D41">
            <v>7627</v>
          </cell>
          <cell r="E41">
            <v>58257</v>
          </cell>
          <cell r="F41">
            <v>7042</v>
          </cell>
          <cell r="G41">
            <v>57569</v>
          </cell>
          <cell r="H41">
            <v>7931</v>
          </cell>
          <cell r="I41">
            <v>61715</v>
          </cell>
          <cell r="J41">
            <v>10026</v>
          </cell>
          <cell r="K41">
            <v>67383</v>
          </cell>
          <cell r="L41" t="str">
            <v>2020-2022</v>
          </cell>
          <cell r="M41">
            <v>0.13392297513754439</v>
          </cell>
        </row>
        <row r="42">
          <cell r="B42">
            <v>60113</v>
          </cell>
          <cell r="C42" t="str">
            <v>Littleton Adventist Hospital</v>
          </cell>
          <cell r="D42">
            <v>5558</v>
          </cell>
          <cell r="E42">
            <v>40987</v>
          </cell>
          <cell r="F42">
            <v>5854</v>
          </cell>
          <cell r="G42">
            <v>40413</v>
          </cell>
          <cell r="H42">
            <v>6975</v>
          </cell>
          <cell r="I42">
            <v>42295</v>
          </cell>
          <cell r="L42" t="str">
            <v>2019-2021</v>
          </cell>
          <cell r="M42">
            <v>0.14864788390799952</v>
          </cell>
        </row>
        <row r="43">
          <cell r="B43">
            <v>60114</v>
          </cell>
          <cell r="C43" t="str">
            <v>Parker Adventist Hospital</v>
          </cell>
          <cell r="D43">
            <v>5721</v>
          </cell>
          <cell r="E43">
            <v>32254</v>
          </cell>
          <cell r="F43">
            <v>5605</v>
          </cell>
          <cell r="G43">
            <v>33121</v>
          </cell>
          <cell r="H43">
            <v>6650</v>
          </cell>
          <cell r="I43">
            <v>37063</v>
          </cell>
          <cell r="L43" t="str">
            <v>2019-2021</v>
          </cell>
          <cell r="M43">
            <v>0.17548175481754819</v>
          </cell>
        </row>
        <row r="44">
          <cell r="B44">
            <v>60116</v>
          </cell>
          <cell r="C44" t="str">
            <v>Exempla Good Samaritan Medical Center</v>
          </cell>
          <cell r="D44">
            <v>6745</v>
          </cell>
          <cell r="E44">
            <v>46614</v>
          </cell>
          <cell r="F44">
            <v>6602</v>
          </cell>
          <cell r="G44">
            <v>45249</v>
          </cell>
          <cell r="H44">
            <v>7585</v>
          </cell>
          <cell r="I44">
            <v>52102</v>
          </cell>
          <cell r="L44" t="str">
            <v>2019-2021</v>
          </cell>
          <cell r="M44">
            <v>0.14539645052616956</v>
          </cell>
        </row>
        <row r="45">
          <cell r="B45">
            <v>60117</v>
          </cell>
          <cell r="C45" t="str">
            <v>Animas Surgical Hospital</v>
          </cell>
          <cell r="D45">
            <v>22</v>
          </cell>
          <cell r="E45">
            <v>922</v>
          </cell>
          <cell r="F45">
            <v>20</v>
          </cell>
          <cell r="G45">
            <v>809</v>
          </cell>
          <cell r="H45">
            <v>18</v>
          </cell>
          <cell r="I45">
            <v>689</v>
          </cell>
          <cell r="L45" t="str">
            <v>2019-2021</v>
          </cell>
          <cell r="M45">
            <v>2.4793388429752067E-2</v>
          </cell>
        </row>
        <row r="46">
          <cell r="B46">
            <v>60118</v>
          </cell>
          <cell r="C46" t="str">
            <v>St Anthony Summit Medical Center</v>
          </cell>
          <cell r="D46">
            <v>1098</v>
          </cell>
          <cell r="E46">
            <v>3870</v>
          </cell>
          <cell r="F46">
            <v>1092</v>
          </cell>
          <cell r="G46">
            <v>3798</v>
          </cell>
          <cell r="H46">
            <v>914</v>
          </cell>
          <cell r="I46">
            <v>3391</v>
          </cell>
          <cell r="J46">
            <v>986</v>
          </cell>
          <cell r="K46">
            <v>3534</v>
          </cell>
          <cell r="L46" t="str">
            <v>2020-2022</v>
          </cell>
          <cell r="M46">
            <v>0.27902639186794742</v>
          </cell>
        </row>
        <row r="47">
          <cell r="B47">
            <v>60119</v>
          </cell>
          <cell r="C47" t="str">
            <v>Medical Center Of The Rockies</v>
          </cell>
          <cell r="D47">
            <v>7858</v>
          </cell>
          <cell r="E47">
            <v>52016</v>
          </cell>
          <cell r="F47">
            <v>7123</v>
          </cell>
          <cell r="G47">
            <v>48106</v>
          </cell>
          <cell r="H47">
            <v>8700</v>
          </cell>
          <cell r="I47">
            <v>52374</v>
          </cell>
          <cell r="J47">
            <v>9626</v>
          </cell>
          <cell r="K47">
            <v>54894</v>
          </cell>
          <cell r="L47" t="str">
            <v>2020-2022</v>
          </cell>
          <cell r="M47">
            <v>0.16379188281179605</v>
          </cell>
        </row>
        <row r="48">
          <cell r="B48">
            <v>60124</v>
          </cell>
          <cell r="C48" t="str">
            <v>OrthoColorado Hospital</v>
          </cell>
          <cell r="E48">
            <v>5398</v>
          </cell>
          <cell r="G48">
            <v>4408</v>
          </cell>
          <cell r="I48">
            <v>3401</v>
          </cell>
          <cell r="K48">
            <v>2451</v>
          </cell>
          <cell r="L48" t="str">
            <v>2019-2021</v>
          </cell>
          <cell r="M48">
            <v>0</v>
          </cell>
          <cell r="N48" t="str">
            <v>No Medicaid Days for this hospital?  Had 0% medicaid before too</v>
          </cell>
        </row>
        <row r="49">
          <cell r="B49">
            <v>60125</v>
          </cell>
          <cell r="C49" t="str">
            <v>Centura Health-Castle Rock Adventist Hospital</v>
          </cell>
          <cell r="D49">
            <v>2042</v>
          </cell>
          <cell r="E49">
            <v>11293</v>
          </cell>
          <cell r="F49">
            <v>2118</v>
          </cell>
          <cell r="G49">
            <v>11777</v>
          </cell>
          <cell r="H49">
            <v>2288</v>
          </cell>
          <cell r="I49">
            <v>13702</v>
          </cell>
          <cell r="L49" t="str">
            <v>2019-2021</v>
          </cell>
          <cell r="M49">
            <v>0.17535081039921679</v>
          </cell>
        </row>
        <row r="50">
          <cell r="B50">
            <v>60126</v>
          </cell>
          <cell r="C50" t="str">
            <v>Banner Health – Ft. Collins</v>
          </cell>
          <cell r="D50">
            <v>318</v>
          </cell>
          <cell r="E50">
            <v>4216</v>
          </cell>
          <cell r="F50">
            <v>1055</v>
          </cell>
          <cell r="G50">
            <v>3350</v>
          </cell>
          <cell r="H50">
            <v>1464</v>
          </cell>
          <cell r="I50">
            <v>4611</v>
          </cell>
          <cell r="L50" t="str">
            <v>2019-2021</v>
          </cell>
          <cell r="M50">
            <v>0.23298020858996468</v>
          </cell>
        </row>
        <row r="51">
          <cell r="B51">
            <v>60128</v>
          </cell>
          <cell r="C51" t="str">
            <v>Longs Peak Hospital</v>
          </cell>
          <cell r="D51">
            <v>2764</v>
          </cell>
          <cell r="E51">
            <v>10590</v>
          </cell>
          <cell r="F51">
            <v>2957</v>
          </cell>
          <cell r="G51">
            <v>12108</v>
          </cell>
          <cell r="H51">
            <v>3662</v>
          </cell>
          <cell r="I51">
            <v>14394</v>
          </cell>
          <cell r="J51">
            <v>4311</v>
          </cell>
          <cell r="K51">
            <v>17870</v>
          </cell>
          <cell r="L51" t="str">
            <v>2020-2022</v>
          </cell>
          <cell r="M51">
            <v>0.24632651221491031</v>
          </cell>
        </row>
        <row r="52">
          <cell r="B52">
            <v>60129</v>
          </cell>
          <cell r="C52" t="str">
            <v>University Broomfield</v>
          </cell>
          <cell r="D52">
            <v>1185</v>
          </cell>
          <cell r="E52">
            <v>2312</v>
          </cell>
          <cell r="F52">
            <v>2287</v>
          </cell>
          <cell r="G52">
            <v>6233</v>
          </cell>
          <cell r="H52">
            <v>2871</v>
          </cell>
          <cell r="I52">
            <v>8770</v>
          </cell>
          <cell r="J52">
            <v>3704</v>
          </cell>
          <cell r="K52">
            <v>9632</v>
          </cell>
          <cell r="L52" t="str">
            <v>2020-2022</v>
          </cell>
          <cell r="M52">
            <v>0.35973208849198296</v>
          </cell>
        </row>
        <row r="53">
          <cell r="B53">
            <v>60130</v>
          </cell>
          <cell r="C53" t="str">
            <v>University Colorado Springs</v>
          </cell>
          <cell r="D53">
            <v>416</v>
          </cell>
          <cell r="E53">
            <v>1970</v>
          </cell>
          <cell r="F53">
            <v>254</v>
          </cell>
          <cell r="G53">
            <v>1772</v>
          </cell>
          <cell r="H53">
            <v>393</v>
          </cell>
          <cell r="I53">
            <v>2274</v>
          </cell>
          <cell r="J53">
            <v>546</v>
          </cell>
          <cell r="K53">
            <v>2407</v>
          </cell>
          <cell r="L53" t="str">
            <v>2020-2022</v>
          </cell>
          <cell r="M53">
            <v>0.18487525182085851</v>
          </cell>
        </row>
        <row r="54">
          <cell r="B54">
            <v>60131</v>
          </cell>
          <cell r="C54" t="str">
            <v>UCHealth Greeley Hospital</v>
          </cell>
          <cell r="H54">
            <v>3373</v>
          </cell>
          <cell r="I54">
            <v>15142</v>
          </cell>
          <cell r="J54">
            <v>4282</v>
          </cell>
          <cell r="K54">
            <v>16764</v>
          </cell>
          <cell r="L54" t="str">
            <v>2021-2022</v>
          </cell>
          <cell r="M54">
            <v>0.23992352535573247</v>
          </cell>
          <cell r="N54" t="str">
            <v>2 YRS DATA</v>
          </cell>
        </row>
        <row r="55">
          <cell r="B55">
            <v>60132</v>
          </cell>
          <cell r="C55" t="str">
            <v>UCHealth Highlands Ranch Hospital</v>
          </cell>
          <cell r="H55">
            <v>3273</v>
          </cell>
          <cell r="I55">
            <v>20331</v>
          </cell>
          <cell r="J55">
            <v>3995</v>
          </cell>
          <cell r="K55">
            <v>28111</v>
          </cell>
          <cell r="L55" t="str">
            <v>2021-2022</v>
          </cell>
          <cell r="M55">
            <v>0.15003509351389291</v>
          </cell>
          <cell r="N55" t="str">
            <v>2 YRS DATA</v>
          </cell>
        </row>
        <row r="56">
          <cell r="B56">
            <v>61300</v>
          </cell>
          <cell r="C56" t="str">
            <v>Weisbrod Memorial County Hospital</v>
          </cell>
          <cell r="D56">
            <v>3648</v>
          </cell>
          <cell r="E56">
            <v>6021</v>
          </cell>
          <cell r="F56">
            <v>3847</v>
          </cell>
          <cell r="G56">
            <v>6240</v>
          </cell>
          <cell r="H56">
            <v>3022</v>
          </cell>
          <cell r="I56">
            <v>5541</v>
          </cell>
          <cell r="L56" t="str">
            <v>2019-2021</v>
          </cell>
          <cell r="M56">
            <v>0.59077631726772273</v>
          </cell>
        </row>
        <row r="57">
          <cell r="B57">
            <v>61301</v>
          </cell>
          <cell r="C57" t="str">
            <v>Rio Grande Hospital</v>
          </cell>
          <cell r="D57">
            <v>170</v>
          </cell>
          <cell r="E57">
            <v>2443</v>
          </cell>
          <cell r="F57">
            <v>195</v>
          </cell>
          <cell r="G57">
            <v>2057</v>
          </cell>
          <cell r="H57">
            <v>213</v>
          </cell>
          <cell r="I57">
            <v>2436</v>
          </cell>
          <cell r="L57" t="str">
            <v>2019-2021</v>
          </cell>
          <cell r="M57">
            <v>8.3333333333333329E-2</v>
          </cell>
        </row>
        <row r="58">
          <cell r="B58">
            <v>61302</v>
          </cell>
          <cell r="C58" t="str">
            <v>Family Health West</v>
          </cell>
          <cell r="D58">
            <v>97</v>
          </cell>
          <cell r="E58">
            <v>5681</v>
          </cell>
          <cell r="F58">
            <v>91</v>
          </cell>
          <cell r="G58">
            <v>5967</v>
          </cell>
          <cell r="H58">
            <v>130</v>
          </cell>
          <cell r="I58">
            <v>6070</v>
          </cell>
          <cell r="L58" t="str">
            <v>2019-2021</v>
          </cell>
          <cell r="M58">
            <v>1.7947849644429394E-2</v>
          </cell>
        </row>
        <row r="59">
          <cell r="B59">
            <v>61303</v>
          </cell>
          <cell r="C59" t="str">
            <v>East Morgan County Hospital</v>
          </cell>
          <cell r="D59">
            <v>343</v>
          </cell>
          <cell r="E59">
            <v>1649</v>
          </cell>
          <cell r="F59">
            <v>332</v>
          </cell>
          <cell r="G59">
            <v>2009</v>
          </cell>
          <cell r="H59">
            <v>402</v>
          </cell>
          <cell r="I59">
            <v>2294</v>
          </cell>
          <cell r="L59" t="str">
            <v>2019-2021</v>
          </cell>
          <cell r="M59">
            <v>0.18094758064516128</v>
          </cell>
        </row>
        <row r="60">
          <cell r="B60">
            <v>61304</v>
          </cell>
          <cell r="C60" t="str">
            <v>Haxtun Hospital District</v>
          </cell>
          <cell r="D60">
            <v>3524</v>
          </cell>
          <cell r="E60">
            <v>7351</v>
          </cell>
          <cell r="F60">
            <v>4533</v>
          </cell>
          <cell r="G60">
            <v>7631</v>
          </cell>
          <cell r="H60">
            <v>4488</v>
          </cell>
          <cell r="I60">
            <v>7646</v>
          </cell>
          <cell r="L60" t="str">
            <v>2019-2021</v>
          </cell>
          <cell r="M60">
            <v>0.55440162630369449</v>
          </cell>
        </row>
        <row r="61">
          <cell r="B61">
            <v>61305</v>
          </cell>
          <cell r="C61" t="str">
            <v>Melissa Memorial Hospital</v>
          </cell>
          <cell r="D61">
            <v>41</v>
          </cell>
          <cell r="E61">
            <v>1015</v>
          </cell>
          <cell r="F61">
            <v>15</v>
          </cell>
          <cell r="G61">
            <v>1303</v>
          </cell>
          <cell r="H61">
            <v>48</v>
          </cell>
          <cell r="I61">
            <v>999</v>
          </cell>
          <cell r="L61" t="str">
            <v>2019-2021</v>
          </cell>
          <cell r="M61">
            <v>3.1353632800723542E-2</v>
          </cell>
        </row>
        <row r="62">
          <cell r="B62">
            <v>61306</v>
          </cell>
          <cell r="C62" t="str">
            <v>Lincoln Community Hospital</v>
          </cell>
          <cell r="D62">
            <v>54</v>
          </cell>
          <cell r="E62">
            <v>988</v>
          </cell>
          <cell r="F62">
            <v>23</v>
          </cell>
          <cell r="G62">
            <v>1102</v>
          </cell>
          <cell r="H62">
            <v>71</v>
          </cell>
          <cell r="I62">
            <v>1308</v>
          </cell>
          <cell r="L62" t="str">
            <v>2019-2021</v>
          </cell>
          <cell r="M62">
            <v>4.3555032371983521E-2</v>
          </cell>
        </row>
        <row r="63">
          <cell r="B63">
            <v>61307</v>
          </cell>
          <cell r="C63" t="str">
            <v>Rangely District Hospital</v>
          </cell>
          <cell r="D63">
            <v>10</v>
          </cell>
          <cell r="E63">
            <v>5009</v>
          </cell>
          <cell r="F63">
            <v>12</v>
          </cell>
          <cell r="G63">
            <v>4553</v>
          </cell>
          <cell r="H63">
            <v>23</v>
          </cell>
          <cell r="I63">
            <v>4511</v>
          </cell>
          <cell r="L63" t="str">
            <v>2019-2021</v>
          </cell>
          <cell r="M63">
            <v>3.1976124493711361E-3</v>
          </cell>
        </row>
        <row r="64">
          <cell r="B64">
            <v>61308</v>
          </cell>
          <cell r="C64" t="str">
            <v>San Luis Valley Health Conejos County</v>
          </cell>
          <cell r="D64">
            <v>51</v>
          </cell>
          <cell r="E64">
            <v>1073</v>
          </cell>
          <cell r="F64">
            <v>95</v>
          </cell>
          <cell r="G64">
            <v>1193</v>
          </cell>
          <cell r="H64">
            <v>91</v>
          </cell>
          <cell r="I64">
            <v>1366</v>
          </cell>
          <cell r="L64" t="str">
            <v>2019-2021</v>
          </cell>
          <cell r="M64">
            <v>6.5253303964757703E-2</v>
          </cell>
        </row>
        <row r="65">
          <cell r="B65">
            <v>61309</v>
          </cell>
          <cell r="C65" t="str">
            <v>Wray Community District Hospital</v>
          </cell>
          <cell r="D65">
            <v>371</v>
          </cell>
          <cell r="E65">
            <v>1582</v>
          </cell>
          <cell r="F65">
            <v>196</v>
          </cell>
          <cell r="G65">
            <v>1082</v>
          </cell>
          <cell r="H65">
            <v>295</v>
          </cell>
          <cell r="I65">
            <v>1449</v>
          </cell>
          <cell r="L65" t="str">
            <v>2019-2021</v>
          </cell>
          <cell r="M65">
            <v>0.20957938244590324</v>
          </cell>
        </row>
        <row r="66">
          <cell r="B66">
            <v>61310</v>
          </cell>
          <cell r="C66" t="str">
            <v>Sedgwick County Memorial Hospital</v>
          </cell>
          <cell r="D66">
            <v>64</v>
          </cell>
          <cell r="E66">
            <v>997</v>
          </cell>
          <cell r="F66">
            <v>42</v>
          </cell>
          <cell r="G66">
            <v>937</v>
          </cell>
          <cell r="H66">
            <v>42</v>
          </cell>
          <cell r="I66">
            <v>836</v>
          </cell>
          <cell r="L66" t="str">
            <v>2019-2021</v>
          </cell>
          <cell r="M66">
            <v>5.3429602888086646E-2</v>
          </cell>
        </row>
        <row r="67">
          <cell r="B67">
            <v>61311</v>
          </cell>
          <cell r="C67" t="str">
            <v xml:space="preserve">Southeast Colorado Hospital </v>
          </cell>
          <cell r="D67">
            <v>68</v>
          </cell>
          <cell r="E67">
            <v>1783</v>
          </cell>
          <cell r="F67">
            <v>123</v>
          </cell>
          <cell r="G67">
            <v>1848</v>
          </cell>
          <cell r="H67">
            <v>50</v>
          </cell>
          <cell r="I67">
            <v>1688</v>
          </cell>
          <cell r="L67" t="str">
            <v>2019-2021</v>
          </cell>
          <cell r="M67">
            <v>4.5309268659522464E-2</v>
          </cell>
        </row>
        <row r="68">
          <cell r="B68">
            <v>61312</v>
          </cell>
          <cell r="C68" t="str">
            <v>Estes Park Medical Center</v>
          </cell>
          <cell r="D68">
            <v>231</v>
          </cell>
          <cell r="E68">
            <v>1282</v>
          </cell>
          <cell r="F68">
            <v>164</v>
          </cell>
          <cell r="G68">
            <v>1270</v>
          </cell>
          <cell r="H68">
            <v>109</v>
          </cell>
          <cell r="I68">
            <v>1330</v>
          </cell>
          <cell r="L68" t="str">
            <v>2019-2021</v>
          </cell>
          <cell r="M68">
            <v>0.12982998454404945</v>
          </cell>
        </row>
        <row r="69">
          <cell r="B69">
            <v>61313</v>
          </cell>
          <cell r="C69" t="str">
            <v>Kit Carson County Memorial Hospital</v>
          </cell>
          <cell r="D69">
            <v>57</v>
          </cell>
          <cell r="E69">
            <v>1418</v>
          </cell>
          <cell r="F69">
            <v>95</v>
          </cell>
          <cell r="G69">
            <v>1032</v>
          </cell>
          <cell r="H69">
            <v>128</v>
          </cell>
          <cell r="I69">
            <v>857</v>
          </cell>
          <cell r="L69" t="str">
            <v>2019-2021</v>
          </cell>
          <cell r="M69">
            <v>8.4668884185061993E-2</v>
          </cell>
        </row>
        <row r="70">
          <cell r="B70">
            <v>61314</v>
          </cell>
          <cell r="C70" t="str">
            <v>Memorial Hospital</v>
          </cell>
          <cell r="D70">
            <v>557</v>
          </cell>
          <cell r="E70">
            <v>2843</v>
          </cell>
          <cell r="F70">
            <v>286</v>
          </cell>
          <cell r="G70">
            <v>2942</v>
          </cell>
          <cell r="H70">
            <v>359</v>
          </cell>
          <cell r="I70">
            <v>3415</v>
          </cell>
          <cell r="L70" t="str">
            <v>2019-2021</v>
          </cell>
          <cell r="M70">
            <v>0.13065217391304348</v>
          </cell>
        </row>
        <row r="71">
          <cell r="B71">
            <v>61315</v>
          </cell>
          <cell r="C71" t="str">
            <v>Yuma District Hospital</v>
          </cell>
          <cell r="D71">
            <v>56</v>
          </cell>
          <cell r="E71">
            <v>746</v>
          </cell>
          <cell r="F71">
            <v>77</v>
          </cell>
          <cell r="G71">
            <v>796</v>
          </cell>
          <cell r="H71">
            <v>96</v>
          </cell>
          <cell r="I71">
            <v>791</v>
          </cell>
          <cell r="L71" t="str">
            <v>2019-2021</v>
          </cell>
          <cell r="M71">
            <v>9.8156879554222032E-2</v>
          </cell>
        </row>
        <row r="72">
          <cell r="B72">
            <v>61316</v>
          </cell>
          <cell r="C72" t="str">
            <v>Spanish Peaks Regional Health Center</v>
          </cell>
          <cell r="D72">
            <v>3133</v>
          </cell>
          <cell r="E72">
            <v>4551</v>
          </cell>
          <cell r="F72">
            <v>2371</v>
          </cell>
          <cell r="G72">
            <v>4137</v>
          </cell>
          <cell r="H72">
            <v>1995</v>
          </cell>
          <cell r="I72">
            <v>4063</v>
          </cell>
          <cell r="L72" t="str">
            <v>2019-2021</v>
          </cell>
          <cell r="M72">
            <v>0.5881107364128304</v>
          </cell>
        </row>
        <row r="73">
          <cell r="B73">
            <v>61317</v>
          </cell>
          <cell r="C73" t="str">
            <v>Grand River Medical Center</v>
          </cell>
          <cell r="D73">
            <v>318</v>
          </cell>
          <cell r="E73">
            <v>2019</v>
          </cell>
          <cell r="F73">
            <v>311</v>
          </cell>
          <cell r="G73">
            <v>2066</v>
          </cell>
          <cell r="H73">
            <v>413</v>
          </cell>
          <cell r="I73">
            <v>2711</v>
          </cell>
          <cell r="L73" t="str">
            <v>2019-2021</v>
          </cell>
          <cell r="M73">
            <v>0.15332548557975278</v>
          </cell>
        </row>
        <row r="74">
          <cell r="B74">
            <v>61318</v>
          </cell>
          <cell r="C74" t="str">
            <v>Kremmling Memorial Hospital</v>
          </cell>
          <cell r="D74">
            <v>1809</v>
          </cell>
          <cell r="E74">
            <v>3174</v>
          </cell>
          <cell r="F74">
            <v>869</v>
          </cell>
          <cell r="G74">
            <v>1681</v>
          </cell>
          <cell r="H74">
            <v>2005</v>
          </cell>
          <cell r="I74">
            <v>2818</v>
          </cell>
          <cell r="L74" t="str">
            <v>2019-2021</v>
          </cell>
          <cell r="M74">
            <v>0.6103219079890525</v>
          </cell>
        </row>
        <row r="75">
          <cell r="B75">
            <v>61319</v>
          </cell>
          <cell r="C75" t="str">
            <v xml:space="preserve">St Vincent Hospital </v>
          </cell>
          <cell r="D75">
            <v>170</v>
          </cell>
          <cell r="E75">
            <v>511</v>
          </cell>
          <cell r="F75">
            <v>72</v>
          </cell>
          <cell r="G75">
            <v>633</v>
          </cell>
          <cell r="H75">
            <v>190</v>
          </cell>
          <cell r="I75">
            <v>782</v>
          </cell>
          <cell r="L75" t="str">
            <v>2019-2021</v>
          </cell>
          <cell r="M75">
            <v>0.22429906542056074</v>
          </cell>
        </row>
        <row r="76">
          <cell r="B76">
            <v>61320</v>
          </cell>
          <cell r="C76" t="str">
            <v>Gunnison Valley Hospital</v>
          </cell>
          <cell r="D76">
            <v>207</v>
          </cell>
          <cell r="E76">
            <v>2294</v>
          </cell>
          <cell r="F76">
            <v>180</v>
          </cell>
          <cell r="G76">
            <v>1999</v>
          </cell>
          <cell r="H76">
            <v>258</v>
          </cell>
          <cell r="I76">
            <v>2344</v>
          </cell>
          <cell r="L76" t="str">
            <v>2019-2021</v>
          </cell>
          <cell r="M76">
            <v>9.7182461955702876E-2</v>
          </cell>
        </row>
        <row r="77">
          <cell r="B77">
            <v>61321</v>
          </cell>
          <cell r="C77" t="str">
            <v>Mt San Rafael Hospital</v>
          </cell>
          <cell r="D77">
            <v>264</v>
          </cell>
          <cell r="E77">
            <v>2346</v>
          </cell>
          <cell r="F77">
            <v>331</v>
          </cell>
          <cell r="G77">
            <v>2101</v>
          </cell>
          <cell r="H77">
            <v>367</v>
          </cell>
          <cell r="I77">
            <v>1925</v>
          </cell>
          <cell r="L77" t="str">
            <v>2019-2021</v>
          </cell>
          <cell r="M77">
            <v>0.15097300690521029</v>
          </cell>
        </row>
        <row r="78">
          <cell r="B78">
            <v>61322</v>
          </cell>
          <cell r="C78" t="str">
            <v>Heart Of Rockies Regional Medical Center</v>
          </cell>
          <cell r="D78">
            <v>595</v>
          </cell>
          <cell r="E78">
            <v>4167</v>
          </cell>
          <cell r="F78">
            <v>512</v>
          </cell>
          <cell r="G78">
            <v>3858</v>
          </cell>
          <cell r="H78">
            <v>619</v>
          </cell>
          <cell r="I78">
            <v>3936</v>
          </cell>
          <cell r="L78" t="str">
            <v>2019-2021</v>
          </cell>
          <cell r="M78">
            <v>0.14430231585987793</v>
          </cell>
        </row>
        <row r="79">
          <cell r="B79">
            <v>61323</v>
          </cell>
          <cell r="C79" t="str">
            <v>Prowers Medical Center</v>
          </cell>
          <cell r="D79">
            <v>608</v>
          </cell>
          <cell r="E79">
            <v>2826</v>
          </cell>
          <cell r="F79">
            <v>578</v>
          </cell>
          <cell r="G79">
            <v>2485</v>
          </cell>
          <cell r="H79">
            <v>423</v>
          </cell>
          <cell r="I79">
            <v>2352</v>
          </cell>
          <cell r="L79" t="str">
            <v>2019-2021</v>
          </cell>
          <cell r="M79">
            <v>0.20996998564530864</v>
          </cell>
        </row>
        <row r="80">
          <cell r="B80">
            <v>61324</v>
          </cell>
          <cell r="C80" t="str">
            <v>Aspen Valley Hospital</v>
          </cell>
          <cell r="D80">
            <v>281</v>
          </cell>
          <cell r="E80">
            <v>2441</v>
          </cell>
          <cell r="F80">
            <v>231</v>
          </cell>
          <cell r="G80">
            <v>2310</v>
          </cell>
          <cell r="H80">
            <v>312</v>
          </cell>
          <cell r="I80">
            <v>2575</v>
          </cell>
          <cell r="L80" t="str">
            <v>2019-2021</v>
          </cell>
          <cell r="M80">
            <v>0.11247611247611247</v>
          </cell>
        </row>
        <row r="81">
          <cell r="B81">
            <v>61325</v>
          </cell>
          <cell r="C81" t="str">
            <v>Pioneers Medical Center</v>
          </cell>
          <cell r="D81">
            <v>79</v>
          </cell>
          <cell r="E81">
            <v>1520</v>
          </cell>
          <cell r="F81">
            <v>80</v>
          </cell>
          <cell r="G81">
            <v>1514</v>
          </cell>
          <cell r="H81">
            <v>135</v>
          </cell>
          <cell r="I81">
            <v>2115</v>
          </cell>
          <cell r="L81" t="str">
            <v>2019-2021</v>
          </cell>
          <cell r="M81">
            <v>5.709846572149932E-2</v>
          </cell>
        </row>
        <row r="82">
          <cell r="B82">
            <v>61326</v>
          </cell>
          <cell r="C82" t="str">
            <v>Pikes Peak Regional Hospital</v>
          </cell>
          <cell r="D82">
            <v>185</v>
          </cell>
          <cell r="E82">
            <v>1613</v>
          </cell>
          <cell r="F82">
            <v>125</v>
          </cell>
          <cell r="G82">
            <v>1600</v>
          </cell>
          <cell r="H82">
            <v>134</v>
          </cell>
          <cell r="I82">
            <v>1605</v>
          </cell>
          <cell r="J82">
            <v>165</v>
          </cell>
          <cell r="K82">
            <v>1641</v>
          </cell>
          <cell r="L82" t="str">
            <v>2020-2022</v>
          </cell>
          <cell r="M82">
            <v>8.7494841106066853E-2</v>
          </cell>
        </row>
        <row r="83">
          <cell r="B83">
            <v>61327</v>
          </cell>
          <cell r="C83" t="str">
            <v>Southwest Memorial Hospital</v>
          </cell>
          <cell r="D83">
            <v>929</v>
          </cell>
          <cell r="E83">
            <v>3475</v>
          </cell>
          <cell r="F83">
            <v>968</v>
          </cell>
          <cell r="G83">
            <v>3204</v>
          </cell>
          <cell r="H83">
            <v>971</v>
          </cell>
          <cell r="I83">
            <v>4037</v>
          </cell>
          <cell r="L83" t="str">
            <v>2019-2021</v>
          </cell>
          <cell r="M83">
            <v>0.26763717805151177</v>
          </cell>
        </row>
        <row r="84">
          <cell r="B84">
            <v>61328</v>
          </cell>
          <cell r="C84" t="str">
            <v>Pagosa Mountain Hospital</v>
          </cell>
          <cell r="D84">
            <v>152</v>
          </cell>
          <cell r="E84">
            <v>1064</v>
          </cell>
          <cell r="F84">
            <v>113</v>
          </cell>
          <cell r="G84">
            <v>766</v>
          </cell>
          <cell r="H84">
            <v>105</v>
          </cell>
          <cell r="I84">
            <v>864</v>
          </cell>
          <cell r="L84" t="str">
            <v>2019-2021</v>
          </cell>
          <cell r="M84">
            <v>0.13734224201930215</v>
          </cell>
        </row>
        <row r="85">
          <cell r="B85">
            <v>61336</v>
          </cell>
          <cell r="C85" t="str">
            <v>Arkansas Valley Regional Medical Center</v>
          </cell>
          <cell r="D85">
            <v>1154</v>
          </cell>
          <cell r="E85">
            <v>3853</v>
          </cell>
          <cell r="F85">
            <v>946</v>
          </cell>
          <cell r="G85">
            <v>3154</v>
          </cell>
          <cell r="H85">
            <v>806</v>
          </cell>
          <cell r="I85">
            <v>2361</v>
          </cell>
          <cell r="J85">
            <v>910</v>
          </cell>
          <cell r="K85">
            <v>2553</v>
          </cell>
          <cell r="L85" t="str">
            <v>2020-2022</v>
          </cell>
          <cell r="M85">
            <v>0.32994546355974219</v>
          </cell>
        </row>
        <row r="86">
          <cell r="B86">
            <v>61343</v>
          </cell>
          <cell r="C86" t="str">
            <v>Keefe Memorial Hospital</v>
          </cell>
          <cell r="D86">
            <v>39</v>
          </cell>
          <cell r="E86">
            <v>300</v>
          </cell>
          <cell r="F86">
            <v>19</v>
          </cell>
          <cell r="G86">
            <v>416</v>
          </cell>
          <cell r="H86">
            <v>32</v>
          </cell>
          <cell r="I86">
            <v>363</v>
          </cell>
          <cell r="L86" t="str">
            <v>2019-2021</v>
          </cell>
          <cell r="M86">
            <v>8.3410565338276177E-2</v>
          </cell>
        </row>
        <row r="87">
          <cell r="B87">
            <v>61344</v>
          </cell>
          <cell r="C87" t="str">
            <v>Centura Health-St Thomas More Hospital</v>
          </cell>
          <cell r="D87">
            <v>1503</v>
          </cell>
          <cell r="E87">
            <v>5848</v>
          </cell>
          <cell r="F87">
            <v>1982</v>
          </cell>
          <cell r="G87">
            <v>5423</v>
          </cell>
          <cell r="H87">
            <v>1529</v>
          </cell>
          <cell r="I87">
            <v>5990</v>
          </cell>
          <cell r="J87">
            <v>1575</v>
          </cell>
          <cell r="K87">
            <v>6752</v>
          </cell>
          <cell r="L87" t="str">
            <v>2020-2022</v>
          </cell>
          <cell r="M87">
            <v>0.2799889898155794</v>
          </cell>
        </row>
        <row r="88">
          <cell r="B88">
            <v>61991</v>
          </cell>
          <cell r="C88" t="str">
            <v>#N/A</v>
          </cell>
          <cell r="L88" t="str">
            <v>2019-2021</v>
          </cell>
          <cell r="M88" t="e">
            <v>#DIV/0!</v>
          </cell>
        </row>
        <row r="89">
          <cell r="B89">
            <v>62009</v>
          </cell>
          <cell r="C89" t="str">
            <v>Kindred Hospital Denver</v>
          </cell>
          <cell r="H89">
            <v>7572</v>
          </cell>
          <cell r="I89">
            <v>17779</v>
          </cell>
          <cell r="L89" t="str">
            <v>2019-2021</v>
          </cell>
          <cell r="M89">
            <v>0.42589571966927275</v>
          </cell>
        </row>
        <row r="90">
          <cell r="B90">
            <v>62011</v>
          </cell>
          <cell r="C90" t="str">
            <v>Craig Hospital</v>
          </cell>
          <cell r="F90">
            <v>3190</v>
          </cell>
          <cell r="G90">
            <v>28350</v>
          </cell>
          <cell r="L90" t="str">
            <v>2019-2021</v>
          </cell>
          <cell r="M90">
            <v>0.11252204585537919</v>
          </cell>
        </row>
        <row r="91">
          <cell r="B91">
            <v>62012</v>
          </cell>
          <cell r="C91" t="str">
            <v>Colorado Acute Long Term Hospital</v>
          </cell>
          <cell r="H91">
            <v>6480</v>
          </cell>
          <cell r="I91">
            <v>17693</v>
          </cell>
          <cell r="L91" t="str">
            <v>2019-2021</v>
          </cell>
          <cell r="M91">
            <v>0.36624653817894082</v>
          </cell>
        </row>
        <row r="92">
          <cell r="B92">
            <v>62013</v>
          </cell>
          <cell r="C92" t="str">
            <v>Kindred Hospital Aurora</v>
          </cell>
          <cell r="H92">
            <v>7793</v>
          </cell>
          <cell r="I92">
            <v>12825</v>
          </cell>
          <cell r="L92" t="str">
            <v>2019-2021</v>
          </cell>
          <cell r="M92">
            <v>0.60764132553606243</v>
          </cell>
        </row>
        <row r="93">
          <cell r="B93">
            <v>62014</v>
          </cell>
          <cell r="C93" t="str">
            <v>Vibra Long Term Acute Care Hospital</v>
          </cell>
          <cell r="H93">
            <v>8350</v>
          </cell>
          <cell r="I93">
            <v>14357</v>
          </cell>
          <cell r="L93" t="str">
            <v>2019-2021</v>
          </cell>
          <cell r="M93">
            <v>0.58159782684404815</v>
          </cell>
        </row>
        <row r="94">
          <cell r="B94">
            <v>62017</v>
          </cell>
          <cell r="C94" t="str">
            <v>Northern Colorado Long Term Acute</v>
          </cell>
          <cell r="H94">
            <v>1301</v>
          </cell>
          <cell r="I94">
            <v>5964</v>
          </cell>
          <cell r="L94" t="str">
            <v>2019-2021</v>
          </cell>
          <cell r="M94">
            <v>0.21814218645204561</v>
          </cell>
        </row>
        <row r="95">
          <cell r="B95">
            <v>63027</v>
          </cell>
          <cell r="C95" t="str">
            <v>Spalding Rehabilitation Hospital</v>
          </cell>
          <cell r="H95">
            <v>3775</v>
          </cell>
          <cell r="I95">
            <v>14299</v>
          </cell>
          <cell r="L95" t="str">
            <v>2019-2021</v>
          </cell>
          <cell r="M95">
            <v>0.26400447583747116</v>
          </cell>
        </row>
        <row r="96">
          <cell r="B96">
            <v>63030</v>
          </cell>
          <cell r="C96" t="str">
            <v>Rehabilitation Hospital Of Colorado Springs</v>
          </cell>
          <cell r="F96">
            <v>5058</v>
          </cell>
          <cell r="G96">
            <v>13698</v>
          </cell>
          <cell r="L96" t="str">
            <v>2019-2021</v>
          </cell>
          <cell r="M96">
            <v>0.36925098554533509</v>
          </cell>
        </row>
        <row r="97">
          <cell r="B97">
            <v>63033</v>
          </cell>
          <cell r="C97" t="str">
            <v>Northern Colorado Rehabilitation Hospital</v>
          </cell>
          <cell r="F97">
            <v>1415</v>
          </cell>
          <cell r="G97">
            <v>13057</v>
          </cell>
          <cell r="L97" t="str">
            <v>2019-2021</v>
          </cell>
          <cell r="M97">
            <v>0.10837098874167113</v>
          </cell>
        </row>
        <row r="98">
          <cell r="B98">
            <v>63034</v>
          </cell>
          <cell r="C98" t="str">
            <v>HealthSouth Rehabilitation Hospital of Littleton</v>
          </cell>
          <cell r="H98">
            <v>3650</v>
          </cell>
          <cell r="I98">
            <v>16235</v>
          </cell>
          <cell r="L98" t="str">
            <v>2019-2021</v>
          </cell>
          <cell r="M98">
            <v>0.22482291345857716</v>
          </cell>
        </row>
        <row r="99">
          <cell r="B99">
            <v>63035</v>
          </cell>
          <cell r="C99" t="str">
            <v>Vibra Long Term Acute Care Hospital</v>
          </cell>
          <cell r="F99">
            <v>4956</v>
          </cell>
          <cell r="G99">
            <v>10068</v>
          </cell>
          <cell r="L99" t="str">
            <v>2019-2021</v>
          </cell>
          <cell r="M99">
            <v>0.49225268176400477</v>
          </cell>
        </row>
        <row r="100">
          <cell r="B100">
            <v>63301</v>
          </cell>
          <cell r="C100" t="str">
            <v>Childrens Hospital Colorado</v>
          </cell>
          <cell r="D100">
            <v>52838</v>
          </cell>
          <cell r="E100">
            <v>97255</v>
          </cell>
          <cell r="F100">
            <v>48962</v>
          </cell>
          <cell r="G100">
            <v>89686</v>
          </cell>
          <cell r="H100">
            <v>48021</v>
          </cell>
          <cell r="I100">
            <v>96856</v>
          </cell>
          <cell r="L100" t="str">
            <v>2019-2021</v>
          </cell>
          <cell r="M100">
            <v>0.52791608086061514</v>
          </cell>
        </row>
        <row r="101">
          <cell r="B101">
            <v>63303</v>
          </cell>
          <cell r="C101" t="str">
            <v>Childrens Hospital Colorado - Colorado Springs</v>
          </cell>
          <cell r="F101">
            <v>12604</v>
          </cell>
          <cell r="G101">
            <v>23472</v>
          </cell>
          <cell r="H101">
            <v>14039</v>
          </cell>
          <cell r="I101">
            <v>25887</v>
          </cell>
          <cell r="L101" t="str">
            <v>2020-2021</v>
          </cell>
          <cell r="M101">
            <v>0.53977997933507571</v>
          </cell>
          <cell r="N101" t="str">
            <v>2 YRS DATA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yr avg FY22-23"/>
      <sheetName val="pivot"/>
      <sheetName val="Combined"/>
      <sheetName val="2022 23Q1"/>
      <sheetName val="2021 23Q1"/>
      <sheetName val="2020 23Q1"/>
      <sheetName val="2019 23Q1"/>
      <sheetName val="2018 23Q1"/>
      <sheetName val="2017 23Q1"/>
      <sheetName val="2016 23Q1"/>
      <sheetName val="Medicare Provider Name Xwalk"/>
    </sheetNames>
    <sheetDataSet>
      <sheetData sheetId="0">
        <row r="4">
          <cell r="A4">
            <v>60001</v>
          </cell>
          <cell r="B4" t="str">
            <v>060001</v>
          </cell>
          <cell r="C4" t="str">
            <v>North Colorado Medical Center</v>
          </cell>
          <cell r="D4">
            <v>10283</v>
          </cell>
          <cell r="E4">
            <v>10702</v>
          </cell>
          <cell r="F4">
            <v>10375</v>
          </cell>
          <cell r="G4">
            <v>9706</v>
          </cell>
          <cell r="H4">
            <v>8612</v>
          </cell>
          <cell r="I4">
            <v>8321</v>
          </cell>
          <cell r="J4"/>
          <cell r="K4" t="str">
            <v>2019-2021</v>
          </cell>
          <cell r="L4">
            <v>8879.6666666666661</v>
          </cell>
        </row>
        <row r="5">
          <cell r="A5">
            <v>60003</v>
          </cell>
          <cell r="B5" t="str">
            <v>060003</v>
          </cell>
          <cell r="C5" t="str">
            <v>Longmont United Hospital</v>
          </cell>
          <cell r="D5">
            <v>6181</v>
          </cell>
          <cell r="E5">
            <v>5812</v>
          </cell>
          <cell r="F5">
            <v>4621</v>
          </cell>
          <cell r="G5">
            <v>4301</v>
          </cell>
          <cell r="H5">
            <v>3661</v>
          </cell>
          <cell r="I5">
            <v>3630</v>
          </cell>
          <cell r="J5"/>
          <cell r="K5" t="str">
            <v>2019-2021</v>
          </cell>
          <cell r="L5">
            <v>3864</v>
          </cell>
        </row>
        <row r="6">
          <cell r="A6">
            <v>60004</v>
          </cell>
          <cell r="B6" t="str">
            <v>060004</v>
          </cell>
          <cell r="C6" t="str">
            <v>Platte Valley Medical Center</v>
          </cell>
          <cell r="D6">
            <v>3236</v>
          </cell>
          <cell r="E6">
            <v>3400</v>
          </cell>
          <cell r="F6">
            <v>3063</v>
          </cell>
          <cell r="G6">
            <v>2674</v>
          </cell>
          <cell r="H6">
            <v>2954</v>
          </cell>
          <cell r="I6">
            <v>3164</v>
          </cell>
          <cell r="J6"/>
          <cell r="K6" t="str">
            <v>2019-2021</v>
          </cell>
          <cell r="L6">
            <v>2930.6666666666665</v>
          </cell>
        </row>
        <row r="7">
          <cell r="A7">
            <v>60006</v>
          </cell>
          <cell r="B7" t="str">
            <v>060006</v>
          </cell>
          <cell r="C7" t="str">
            <v>Montrose Memorial Hospital</v>
          </cell>
          <cell r="D7">
            <v>2932</v>
          </cell>
          <cell r="E7">
            <v>3288</v>
          </cell>
          <cell r="F7">
            <v>3223</v>
          </cell>
          <cell r="G7">
            <v>3040</v>
          </cell>
          <cell r="H7">
            <v>2419</v>
          </cell>
          <cell r="I7">
            <v>2467</v>
          </cell>
          <cell r="J7"/>
          <cell r="K7" t="str">
            <v>2019-2021</v>
          </cell>
          <cell r="L7">
            <v>2642</v>
          </cell>
        </row>
        <row r="8">
          <cell r="A8">
            <v>60008</v>
          </cell>
          <cell r="B8" t="str">
            <v>060008</v>
          </cell>
          <cell r="C8" t="str">
            <v>San Luis Valley Regional Medical Center</v>
          </cell>
          <cell r="D8"/>
          <cell r="E8">
            <v>1877</v>
          </cell>
          <cell r="F8">
            <v>1900</v>
          </cell>
          <cell r="G8">
            <v>1926</v>
          </cell>
          <cell r="H8">
            <v>1828</v>
          </cell>
          <cell r="I8">
            <v>2146</v>
          </cell>
          <cell r="J8"/>
          <cell r="K8" t="str">
            <v>2019-2021</v>
          </cell>
          <cell r="L8">
            <v>1966.6666666666667</v>
          </cell>
        </row>
        <row r="9">
          <cell r="A9">
            <v>60009</v>
          </cell>
          <cell r="B9" t="str">
            <v>060009</v>
          </cell>
          <cell r="C9" t="str">
            <v>Exempla Lutheran Medical Center</v>
          </cell>
          <cell r="D9">
            <v>15795</v>
          </cell>
          <cell r="E9">
            <v>15965</v>
          </cell>
          <cell r="F9">
            <v>13903</v>
          </cell>
          <cell r="G9">
            <v>13237</v>
          </cell>
          <cell r="H9">
            <v>13519</v>
          </cell>
          <cell r="I9">
            <v>15397</v>
          </cell>
          <cell r="J9"/>
          <cell r="K9" t="str">
            <v>2019-2021</v>
          </cell>
          <cell r="L9">
            <v>14051</v>
          </cell>
        </row>
        <row r="10">
          <cell r="A10">
            <v>60010</v>
          </cell>
          <cell r="B10" t="str">
            <v>060010</v>
          </cell>
          <cell r="C10" t="str">
            <v>Poudre Valley Hospital</v>
          </cell>
          <cell r="D10"/>
          <cell r="E10">
            <v>15165</v>
          </cell>
          <cell r="F10">
            <v>15000</v>
          </cell>
          <cell r="G10">
            <v>14709</v>
          </cell>
          <cell r="H10">
            <v>13380</v>
          </cell>
          <cell r="I10">
            <v>12343</v>
          </cell>
          <cell r="J10">
            <v>12339</v>
          </cell>
          <cell r="K10" t="str">
            <v>2020-2022</v>
          </cell>
          <cell r="L10">
            <v>12687.333333333334</v>
          </cell>
        </row>
        <row r="11">
          <cell r="A11">
            <v>60011</v>
          </cell>
          <cell r="B11" t="str">
            <v>060011</v>
          </cell>
          <cell r="C11" t="str">
            <v>Denver General Hospital</v>
          </cell>
          <cell r="D11">
            <v>20150</v>
          </cell>
          <cell r="E11">
            <v>19789</v>
          </cell>
          <cell r="F11">
            <v>19836</v>
          </cell>
          <cell r="G11">
            <v>19373</v>
          </cell>
          <cell r="H11">
            <v>18935</v>
          </cell>
          <cell r="I11">
            <v>19854</v>
          </cell>
          <cell r="J11"/>
          <cell r="K11" t="str">
            <v>2019-2021</v>
          </cell>
          <cell r="L11">
            <v>19387.333333333332</v>
          </cell>
        </row>
        <row r="12">
          <cell r="A12">
            <v>60012</v>
          </cell>
          <cell r="B12" t="str">
            <v>060012</v>
          </cell>
          <cell r="C12" t="str">
            <v>St Mary Corwin Regional Medical Center</v>
          </cell>
          <cell r="D12"/>
          <cell r="E12">
            <v>6396</v>
          </cell>
          <cell r="F12">
            <v>5186</v>
          </cell>
          <cell r="G12">
            <v>2027</v>
          </cell>
          <cell r="H12">
            <v>1727</v>
          </cell>
          <cell r="I12">
            <v>1587</v>
          </cell>
          <cell r="J12">
            <v>1763</v>
          </cell>
          <cell r="K12" t="str">
            <v>2020-2022</v>
          </cell>
          <cell r="L12">
            <v>1692.3333333333333</v>
          </cell>
        </row>
        <row r="13">
          <cell r="A13">
            <v>60013</v>
          </cell>
          <cell r="B13" t="str">
            <v>060013</v>
          </cell>
          <cell r="C13" t="str">
            <v>Mercy Regional Medical Center</v>
          </cell>
          <cell r="D13"/>
          <cell r="E13">
            <v>4277</v>
          </cell>
          <cell r="F13">
            <v>4186</v>
          </cell>
          <cell r="G13">
            <v>4296</v>
          </cell>
          <cell r="H13">
            <v>4209</v>
          </cell>
          <cell r="I13">
            <v>4311</v>
          </cell>
          <cell r="J13">
            <v>4317</v>
          </cell>
          <cell r="K13" t="str">
            <v>2020-2022</v>
          </cell>
          <cell r="L13">
            <v>4279</v>
          </cell>
        </row>
        <row r="14">
          <cell r="A14">
            <v>60014</v>
          </cell>
          <cell r="B14" t="str">
            <v>060014</v>
          </cell>
          <cell r="C14" t="str">
            <v>St Luke's Medical Center</v>
          </cell>
          <cell r="D14"/>
          <cell r="E14">
            <v>10517</v>
          </cell>
          <cell r="F14">
            <v>10264</v>
          </cell>
          <cell r="G14">
            <v>10706</v>
          </cell>
          <cell r="H14">
            <v>9779</v>
          </cell>
          <cell r="I14">
            <v>9616</v>
          </cell>
          <cell r="J14"/>
          <cell r="K14" t="str">
            <v>2019-2021</v>
          </cell>
          <cell r="L14">
            <v>10033.666666666666</v>
          </cell>
        </row>
        <row r="15">
          <cell r="A15">
            <v>60015</v>
          </cell>
          <cell r="B15" t="str">
            <v>060015</v>
          </cell>
          <cell r="C15" t="str">
            <v>St Anthony Hospital</v>
          </cell>
          <cell r="D15"/>
          <cell r="E15">
            <v>11728</v>
          </cell>
          <cell r="F15">
            <v>12276</v>
          </cell>
          <cell r="G15">
            <v>12152</v>
          </cell>
          <cell r="H15">
            <v>11592</v>
          </cell>
          <cell r="I15">
            <v>12762</v>
          </cell>
          <cell r="J15">
            <v>12598</v>
          </cell>
          <cell r="K15" t="str">
            <v>2020-2022</v>
          </cell>
          <cell r="L15">
            <v>12317.333333333334</v>
          </cell>
        </row>
        <row r="16">
          <cell r="A16">
            <v>60020</v>
          </cell>
          <cell r="B16" t="str">
            <v>060020</v>
          </cell>
          <cell r="C16" t="str">
            <v>Parkview Medical Center</v>
          </cell>
          <cell r="D16"/>
          <cell r="E16">
            <v>15216</v>
          </cell>
          <cell r="F16">
            <v>15145</v>
          </cell>
          <cell r="G16">
            <v>15376</v>
          </cell>
          <cell r="H16">
            <v>17879</v>
          </cell>
          <cell r="I16">
            <v>17834</v>
          </cell>
          <cell r="J16">
            <v>16076</v>
          </cell>
          <cell r="K16" t="str">
            <v>2020-2022</v>
          </cell>
          <cell r="L16">
            <v>17263</v>
          </cell>
        </row>
        <row r="17">
          <cell r="A17">
            <v>60022</v>
          </cell>
          <cell r="B17" t="str">
            <v>060022</v>
          </cell>
          <cell r="C17" t="str">
            <v>Memorial Health System</v>
          </cell>
          <cell r="D17"/>
          <cell r="E17">
            <v>27173</v>
          </cell>
          <cell r="F17">
            <v>27022</v>
          </cell>
          <cell r="G17">
            <v>26024</v>
          </cell>
          <cell r="H17">
            <v>23417</v>
          </cell>
          <cell r="I17">
            <v>24917</v>
          </cell>
          <cell r="J17">
            <v>26036</v>
          </cell>
          <cell r="K17" t="str">
            <v>2020-2022</v>
          </cell>
          <cell r="L17">
            <v>24790</v>
          </cell>
        </row>
        <row r="18">
          <cell r="A18">
            <v>60023</v>
          </cell>
          <cell r="B18" t="str">
            <v>060023</v>
          </cell>
          <cell r="C18" t="str">
            <v>St Marys Hospital &amp; Medical Center</v>
          </cell>
          <cell r="D18">
            <v>12968</v>
          </cell>
          <cell r="E18">
            <v>13343</v>
          </cell>
          <cell r="F18">
            <v>16404</v>
          </cell>
          <cell r="G18">
            <v>17316</v>
          </cell>
          <cell r="H18">
            <v>11119</v>
          </cell>
          <cell r="I18">
            <v>11591</v>
          </cell>
          <cell r="J18"/>
          <cell r="K18" t="str">
            <v>2019-2021</v>
          </cell>
          <cell r="L18">
            <v>13342</v>
          </cell>
        </row>
        <row r="19">
          <cell r="A19">
            <v>60024</v>
          </cell>
          <cell r="B19" t="str">
            <v>060024</v>
          </cell>
          <cell r="C19" t="str">
            <v>University Hospital</v>
          </cell>
          <cell r="D19"/>
          <cell r="E19">
            <v>31198</v>
          </cell>
          <cell r="F19">
            <v>31490</v>
          </cell>
          <cell r="G19">
            <v>34829</v>
          </cell>
          <cell r="H19">
            <v>31261</v>
          </cell>
          <cell r="I19">
            <v>31078</v>
          </cell>
          <cell r="J19">
            <v>32069</v>
          </cell>
          <cell r="K19" t="str">
            <v>2020-2022</v>
          </cell>
          <cell r="L19">
            <v>31469.333333333332</v>
          </cell>
        </row>
        <row r="20">
          <cell r="A20">
            <v>60027</v>
          </cell>
          <cell r="B20" t="str">
            <v>060027</v>
          </cell>
          <cell r="C20" t="str">
            <v>Boulder Community Hospital</v>
          </cell>
          <cell r="D20">
            <v>9260</v>
          </cell>
          <cell r="E20">
            <v>8755</v>
          </cell>
          <cell r="F20">
            <v>8408</v>
          </cell>
          <cell r="G20">
            <v>8475</v>
          </cell>
          <cell r="H20">
            <v>7644</v>
          </cell>
          <cell r="I20">
            <v>9134</v>
          </cell>
          <cell r="J20"/>
          <cell r="K20" t="str">
            <v>2019-2021</v>
          </cell>
          <cell r="L20">
            <v>8417.6666666666661</v>
          </cell>
        </row>
        <row r="21">
          <cell r="A21">
            <v>60028</v>
          </cell>
          <cell r="B21" t="str">
            <v>060028</v>
          </cell>
          <cell r="C21" t="str">
            <v>Saint Joseph Hospital</v>
          </cell>
          <cell r="D21">
            <v>19373</v>
          </cell>
          <cell r="E21">
            <v>19835</v>
          </cell>
          <cell r="F21">
            <v>18901</v>
          </cell>
          <cell r="G21">
            <v>17759</v>
          </cell>
          <cell r="H21">
            <v>16518</v>
          </cell>
          <cell r="I21">
            <v>17132</v>
          </cell>
          <cell r="J21"/>
          <cell r="K21" t="str">
            <v>2019-2021</v>
          </cell>
          <cell r="L21">
            <v>17136.333333333332</v>
          </cell>
        </row>
        <row r="22">
          <cell r="A22">
            <v>60030</v>
          </cell>
          <cell r="B22" t="str">
            <v>060030</v>
          </cell>
          <cell r="C22" t="str">
            <v>Mckee Medical Center</v>
          </cell>
          <cell r="D22">
            <v>3408</v>
          </cell>
          <cell r="E22">
            <v>3316</v>
          </cell>
          <cell r="F22">
            <v>3057</v>
          </cell>
          <cell r="G22">
            <v>2813</v>
          </cell>
          <cell r="H22">
            <v>2760</v>
          </cell>
          <cell r="I22">
            <v>2639</v>
          </cell>
          <cell r="J22"/>
          <cell r="K22" t="str">
            <v>2019-2021</v>
          </cell>
          <cell r="L22">
            <v>2737.3333333333335</v>
          </cell>
        </row>
        <row r="23">
          <cell r="A23">
            <v>60031</v>
          </cell>
          <cell r="B23" t="str">
            <v>060031</v>
          </cell>
          <cell r="C23" t="str">
            <v>Penrose-St Francis Hospital</v>
          </cell>
          <cell r="D23"/>
          <cell r="E23">
            <v>24306</v>
          </cell>
          <cell r="F23">
            <v>24832</v>
          </cell>
          <cell r="G23">
            <v>25399</v>
          </cell>
          <cell r="H23">
            <v>24356</v>
          </cell>
          <cell r="I23">
            <v>25036</v>
          </cell>
          <cell r="J23">
            <v>24084</v>
          </cell>
          <cell r="K23" t="str">
            <v>2020-2022</v>
          </cell>
          <cell r="L23">
            <v>24492</v>
          </cell>
        </row>
        <row r="24">
          <cell r="A24">
            <v>60032</v>
          </cell>
          <cell r="B24" t="str">
            <v>060032</v>
          </cell>
          <cell r="C24" t="str">
            <v>Rose Medical Center</v>
          </cell>
          <cell r="D24">
            <v>10631</v>
          </cell>
          <cell r="E24">
            <v>11122</v>
          </cell>
          <cell r="F24">
            <v>11221</v>
          </cell>
          <cell r="G24">
            <v>10759</v>
          </cell>
          <cell r="H24">
            <v>10662</v>
          </cell>
          <cell r="I24">
            <v>11024</v>
          </cell>
          <cell r="J24"/>
          <cell r="K24" t="str">
            <v>2019-2021</v>
          </cell>
          <cell r="L24">
            <v>10815</v>
          </cell>
        </row>
        <row r="25">
          <cell r="A25">
            <v>60034</v>
          </cell>
          <cell r="B25" t="str">
            <v>060034</v>
          </cell>
          <cell r="C25" t="str">
            <v>Swedish Medical Center</v>
          </cell>
          <cell r="D25">
            <v>19546</v>
          </cell>
          <cell r="E25">
            <v>19275</v>
          </cell>
          <cell r="F25">
            <v>20038</v>
          </cell>
          <cell r="G25">
            <v>20032</v>
          </cell>
          <cell r="H25">
            <v>20705</v>
          </cell>
          <cell r="I25">
            <v>20499</v>
          </cell>
          <cell r="J25"/>
          <cell r="K25" t="str">
            <v>2019-2021</v>
          </cell>
          <cell r="L25">
            <v>20412</v>
          </cell>
        </row>
        <row r="26">
          <cell r="A26">
            <v>60043</v>
          </cell>
          <cell r="B26" t="str">
            <v>060043</v>
          </cell>
          <cell r="C26" t="str">
            <v>#N/A</v>
          </cell>
          <cell r="D26">
            <v>49</v>
          </cell>
          <cell r="E26"/>
          <cell r="F26"/>
          <cell r="G26"/>
          <cell r="H26"/>
          <cell r="I26"/>
          <cell r="J26"/>
          <cell r="K26">
            <v>0</v>
          </cell>
          <cell r="L26" t="e">
            <v>#DIV/0!</v>
          </cell>
        </row>
        <row r="27">
          <cell r="A27">
            <v>60044</v>
          </cell>
          <cell r="B27" t="str">
            <v>060044</v>
          </cell>
          <cell r="C27" t="str">
            <v>Colorado Plains Medical Center</v>
          </cell>
          <cell r="D27">
            <v>1321</v>
          </cell>
          <cell r="E27">
            <v>1280</v>
          </cell>
          <cell r="F27">
            <v>1098</v>
          </cell>
          <cell r="G27">
            <v>988</v>
          </cell>
          <cell r="H27">
            <v>915</v>
          </cell>
          <cell r="I27">
            <v>756</v>
          </cell>
          <cell r="J27"/>
          <cell r="K27" t="str">
            <v>2019-2021</v>
          </cell>
          <cell r="L27">
            <v>886.33333333333337</v>
          </cell>
        </row>
        <row r="28">
          <cell r="A28">
            <v>60049</v>
          </cell>
          <cell r="B28" t="str">
            <v>060049</v>
          </cell>
          <cell r="C28" t="str">
            <v>Yampa Valley Medical Center</v>
          </cell>
          <cell r="D28">
            <v>1478</v>
          </cell>
          <cell r="E28">
            <v>1431</v>
          </cell>
          <cell r="F28"/>
          <cell r="G28">
            <v>1334</v>
          </cell>
          <cell r="H28">
            <v>1186</v>
          </cell>
          <cell r="I28">
            <v>1080</v>
          </cell>
          <cell r="J28">
            <v>1065</v>
          </cell>
          <cell r="K28" t="str">
            <v>2020-2022</v>
          </cell>
          <cell r="L28">
            <v>1110.3333333333333</v>
          </cell>
        </row>
        <row r="29">
          <cell r="A29">
            <v>60054</v>
          </cell>
          <cell r="B29" t="str">
            <v>060054</v>
          </cell>
          <cell r="C29" t="str">
            <v>Community Hospital Home Health Service</v>
          </cell>
          <cell r="D29"/>
          <cell r="E29">
            <v>2894</v>
          </cell>
          <cell r="F29">
            <v>2777</v>
          </cell>
          <cell r="G29">
            <v>3135</v>
          </cell>
          <cell r="H29">
            <v>2876</v>
          </cell>
          <cell r="I29">
            <v>3324</v>
          </cell>
          <cell r="J29"/>
          <cell r="K29" t="str">
            <v>2019-2021</v>
          </cell>
          <cell r="L29">
            <v>3111.6666666666665</v>
          </cell>
        </row>
        <row r="30">
          <cell r="A30">
            <v>60064</v>
          </cell>
          <cell r="B30" t="str">
            <v>060064</v>
          </cell>
          <cell r="C30" t="str">
            <v>Porter Memorial Hospital</v>
          </cell>
          <cell r="D30"/>
          <cell r="E30">
            <v>10012</v>
          </cell>
          <cell r="F30">
            <v>9512</v>
          </cell>
          <cell r="G30">
            <v>8129</v>
          </cell>
          <cell r="H30">
            <v>7206</v>
          </cell>
          <cell r="I30">
            <v>7854</v>
          </cell>
          <cell r="J30"/>
          <cell r="K30" t="str">
            <v>2019-2021</v>
          </cell>
          <cell r="L30">
            <v>7729.666666666667</v>
          </cell>
        </row>
        <row r="31">
          <cell r="A31">
            <v>60065</v>
          </cell>
          <cell r="B31" t="str">
            <v>060065</v>
          </cell>
          <cell r="C31" t="str">
            <v>North Suburban Medical Center</v>
          </cell>
          <cell r="D31">
            <v>7652</v>
          </cell>
          <cell r="E31">
            <v>7617</v>
          </cell>
          <cell r="F31">
            <v>7623</v>
          </cell>
          <cell r="G31">
            <v>7756</v>
          </cell>
          <cell r="H31">
            <v>7425</v>
          </cell>
          <cell r="I31">
            <v>7047</v>
          </cell>
          <cell r="J31"/>
          <cell r="K31" t="str">
            <v>2019-2021</v>
          </cell>
          <cell r="L31">
            <v>7409.333333333333</v>
          </cell>
        </row>
        <row r="32">
          <cell r="A32">
            <v>60071</v>
          </cell>
          <cell r="B32" t="str">
            <v>060071</v>
          </cell>
          <cell r="C32" t="str">
            <v>Delta County Memorial Hospital</v>
          </cell>
          <cell r="D32">
            <v>1561</v>
          </cell>
          <cell r="E32">
            <v>1642</v>
          </cell>
          <cell r="F32">
            <v>1586</v>
          </cell>
          <cell r="G32">
            <v>1431</v>
          </cell>
          <cell r="H32">
            <v>1322</v>
          </cell>
          <cell r="I32">
            <v>1267</v>
          </cell>
          <cell r="J32"/>
          <cell r="K32" t="str">
            <v>2019-2021</v>
          </cell>
          <cell r="L32">
            <v>1340</v>
          </cell>
        </row>
        <row r="33">
          <cell r="A33">
            <v>60075</v>
          </cell>
          <cell r="B33" t="str">
            <v>060075</v>
          </cell>
          <cell r="C33" t="str">
            <v>Valley View Hospital</v>
          </cell>
          <cell r="D33">
            <v>3325</v>
          </cell>
          <cell r="E33">
            <v>3022</v>
          </cell>
          <cell r="F33">
            <v>3028</v>
          </cell>
          <cell r="G33">
            <v>3009</v>
          </cell>
          <cell r="H33">
            <v>2888</v>
          </cell>
          <cell r="I33">
            <v>2820</v>
          </cell>
          <cell r="J33"/>
          <cell r="K33" t="str">
            <v>2019-2021</v>
          </cell>
          <cell r="L33">
            <v>2905.6666666666665</v>
          </cell>
        </row>
        <row r="34">
          <cell r="A34">
            <v>60076</v>
          </cell>
          <cell r="B34" t="str">
            <v>060076</v>
          </cell>
          <cell r="C34" t="str">
            <v>Sterling Regional Medical Center</v>
          </cell>
          <cell r="D34">
            <v>1086</v>
          </cell>
          <cell r="E34">
            <v>1029</v>
          </cell>
          <cell r="F34">
            <v>1100</v>
          </cell>
          <cell r="G34">
            <v>1033</v>
          </cell>
          <cell r="H34">
            <v>1009</v>
          </cell>
          <cell r="I34">
            <v>996</v>
          </cell>
          <cell r="J34"/>
          <cell r="K34" t="str">
            <v>2019-2021</v>
          </cell>
          <cell r="L34">
            <v>1012.6666666666666</v>
          </cell>
        </row>
        <row r="35">
          <cell r="A35">
            <v>60096</v>
          </cell>
          <cell r="B35" t="str">
            <v>060096</v>
          </cell>
          <cell r="C35" t="str">
            <v>Vail Valley Medical Center</v>
          </cell>
          <cell r="D35">
            <v>1792</v>
          </cell>
          <cell r="E35">
            <v>2075</v>
          </cell>
          <cell r="F35">
            <v>2077</v>
          </cell>
          <cell r="G35">
            <v>2008</v>
          </cell>
          <cell r="H35">
            <v>1593</v>
          </cell>
          <cell r="I35">
            <v>1534</v>
          </cell>
          <cell r="J35"/>
          <cell r="K35" t="str">
            <v>2019-2021</v>
          </cell>
          <cell r="L35">
            <v>1711.6666666666667</v>
          </cell>
        </row>
        <row r="36">
          <cell r="A36">
            <v>60100</v>
          </cell>
          <cell r="B36" t="str">
            <v>060100</v>
          </cell>
          <cell r="C36" t="str">
            <v>The Medical Center Of Aurora</v>
          </cell>
          <cell r="D36">
            <v>15327</v>
          </cell>
          <cell r="E36">
            <v>16456</v>
          </cell>
          <cell r="F36">
            <v>16842</v>
          </cell>
          <cell r="G36">
            <v>16342</v>
          </cell>
          <cell r="H36">
            <v>16304</v>
          </cell>
          <cell r="I36">
            <v>17506</v>
          </cell>
          <cell r="J36"/>
          <cell r="K36" t="str">
            <v>2019-2021</v>
          </cell>
          <cell r="L36">
            <v>16717.333333333332</v>
          </cell>
        </row>
        <row r="37">
          <cell r="A37">
            <v>60103</v>
          </cell>
          <cell r="B37" t="str">
            <v>060103</v>
          </cell>
          <cell r="C37" t="str">
            <v>Avista Adventist Hospital</v>
          </cell>
          <cell r="D37"/>
          <cell r="E37">
            <v>4438</v>
          </cell>
          <cell r="F37">
            <v>4716</v>
          </cell>
          <cell r="G37">
            <v>4510</v>
          </cell>
          <cell r="H37">
            <v>4095</v>
          </cell>
          <cell r="I37">
            <v>4205</v>
          </cell>
          <cell r="J37"/>
          <cell r="K37" t="str">
            <v>2019-2021</v>
          </cell>
          <cell r="L37">
            <v>4270</v>
          </cell>
        </row>
        <row r="38">
          <cell r="A38">
            <v>60104</v>
          </cell>
          <cell r="B38" t="str">
            <v>060104</v>
          </cell>
          <cell r="C38" t="str">
            <v>St Anthony Hospital North</v>
          </cell>
          <cell r="D38"/>
          <cell r="E38">
            <v>5596</v>
          </cell>
          <cell r="F38">
            <v>5507</v>
          </cell>
          <cell r="G38">
            <v>5982</v>
          </cell>
          <cell r="H38">
            <v>5818</v>
          </cell>
          <cell r="I38">
            <v>6642</v>
          </cell>
          <cell r="J38">
            <v>7094</v>
          </cell>
          <cell r="K38" t="str">
            <v>2020-2022</v>
          </cell>
          <cell r="L38">
            <v>6518</v>
          </cell>
        </row>
        <row r="39">
          <cell r="A39">
            <v>60107</v>
          </cell>
          <cell r="B39" t="str">
            <v>060107</v>
          </cell>
          <cell r="C39" t="str">
            <v>National Jewish Health</v>
          </cell>
          <cell r="D39"/>
          <cell r="E39">
            <v>37</v>
          </cell>
          <cell r="F39">
            <v>49</v>
          </cell>
          <cell r="G39">
            <v>50</v>
          </cell>
          <cell r="H39">
            <v>73</v>
          </cell>
          <cell r="I39">
            <v>62</v>
          </cell>
          <cell r="J39">
            <v>67</v>
          </cell>
          <cell r="K39" t="str">
            <v>2020-2022</v>
          </cell>
          <cell r="L39">
            <v>67.333333333333329</v>
          </cell>
        </row>
        <row r="40">
          <cell r="A40">
            <v>60112</v>
          </cell>
          <cell r="B40" t="str">
            <v>060112</v>
          </cell>
          <cell r="C40" t="str">
            <v>Sky Ridge Medical Center</v>
          </cell>
          <cell r="D40"/>
          <cell r="E40">
            <v>16507</v>
          </cell>
          <cell r="F40">
            <v>17259</v>
          </cell>
          <cell r="G40">
            <v>16241</v>
          </cell>
          <cell r="H40">
            <v>15005</v>
          </cell>
          <cell r="I40">
            <v>15229</v>
          </cell>
          <cell r="J40">
            <v>16008</v>
          </cell>
          <cell r="K40" t="str">
            <v>2020-2022</v>
          </cell>
          <cell r="L40">
            <v>15414</v>
          </cell>
        </row>
        <row r="41">
          <cell r="A41">
            <v>60113</v>
          </cell>
          <cell r="B41" t="str">
            <v>060113</v>
          </cell>
          <cell r="C41" t="str">
            <v>Littleton Adventist Hospital</v>
          </cell>
          <cell r="D41"/>
          <cell r="E41">
            <v>9472</v>
          </cell>
          <cell r="F41">
            <v>10175</v>
          </cell>
          <cell r="G41">
            <v>9735</v>
          </cell>
          <cell r="H41">
            <v>8508</v>
          </cell>
          <cell r="I41">
            <v>9140</v>
          </cell>
          <cell r="J41"/>
          <cell r="K41" t="str">
            <v>2019-2021</v>
          </cell>
          <cell r="L41">
            <v>9127.6666666666661</v>
          </cell>
        </row>
        <row r="42">
          <cell r="A42">
            <v>60114</v>
          </cell>
          <cell r="B42" t="str">
            <v>060114</v>
          </cell>
          <cell r="C42" t="str">
            <v>Parker Adventist Hospital</v>
          </cell>
          <cell r="D42"/>
          <cell r="E42">
            <v>7736</v>
          </cell>
          <cell r="F42">
            <v>8362</v>
          </cell>
          <cell r="G42">
            <v>8084</v>
          </cell>
          <cell r="H42">
            <v>7685</v>
          </cell>
          <cell r="I42">
            <v>8525</v>
          </cell>
          <cell r="J42"/>
          <cell r="K42" t="str">
            <v>2019-2021</v>
          </cell>
          <cell r="L42">
            <v>8098</v>
          </cell>
        </row>
        <row r="43">
          <cell r="A43">
            <v>60116</v>
          </cell>
          <cell r="B43" t="str">
            <v>060116</v>
          </cell>
          <cell r="C43" t="str">
            <v>Exempla Good Samaritan Medical Center</v>
          </cell>
          <cell r="D43">
            <v>13193</v>
          </cell>
          <cell r="E43">
            <v>12890</v>
          </cell>
          <cell r="F43">
            <v>12173</v>
          </cell>
          <cell r="G43">
            <v>14157</v>
          </cell>
          <cell r="H43">
            <v>11169</v>
          </cell>
          <cell r="I43">
            <v>11245</v>
          </cell>
          <cell r="J43"/>
          <cell r="K43" t="str">
            <v>2019-2021</v>
          </cell>
          <cell r="L43">
            <v>12190.333333333334</v>
          </cell>
        </row>
        <row r="44">
          <cell r="A44">
            <v>60117</v>
          </cell>
          <cell r="B44" t="str">
            <v>060117</v>
          </cell>
          <cell r="C44" t="str">
            <v>Animas Surgical Hospital</v>
          </cell>
          <cell r="D44">
            <v>512</v>
          </cell>
          <cell r="E44">
            <v>494</v>
          </cell>
          <cell r="F44">
            <v>505</v>
          </cell>
          <cell r="G44">
            <v>618</v>
          </cell>
          <cell r="H44">
            <v>619</v>
          </cell>
          <cell r="I44">
            <v>555</v>
          </cell>
          <cell r="J44"/>
          <cell r="K44" t="str">
            <v>2019-2021</v>
          </cell>
          <cell r="L44">
            <v>597.33333333333337</v>
          </cell>
        </row>
        <row r="45">
          <cell r="A45">
            <v>60118</v>
          </cell>
          <cell r="B45" t="str">
            <v>060118</v>
          </cell>
          <cell r="C45" t="str">
            <v>St Anthony Summit Medical Center</v>
          </cell>
          <cell r="D45"/>
          <cell r="E45">
            <v>1305</v>
          </cell>
          <cell r="F45">
            <v>1421</v>
          </cell>
          <cell r="G45">
            <v>1286</v>
          </cell>
          <cell r="H45">
            <v>1306</v>
          </cell>
          <cell r="I45">
            <v>1262</v>
          </cell>
          <cell r="J45">
            <v>1328</v>
          </cell>
          <cell r="K45" t="str">
            <v>2020-2022</v>
          </cell>
          <cell r="L45">
            <v>1298.6666666666667</v>
          </cell>
        </row>
        <row r="46">
          <cell r="A46">
            <v>60119</v>
          </cell>
          <cell r="B46" t="str">
            <v>060119</v>
          </cell>
          <cell r="C46" t="str">
            <v>Medical Center Of The Rockies</v>
          </cell>
          <cell r="D46"/>
          <cell r="E46">
            <v>13017</v>
          </cell>
          <cell r="F46">
            <v>13583</v>
          </cell>
          <cell r="G46">
            <v>12220</v>
          </cell>
          <cell r="H46">
            <v>11501</v>
          </cell>
          <cell r="I46">
            <v>11333</v>
          </cell>
          <cell r="J46">
            <v>9700</v>
          </cell>
          <cell r="K46" t="str">
            <v>2020-2022</v>
          </cell>
          <cell r="L46">
            <v>10844.666666666666</v>
          </cell>
        </row>
        <row r="47">
          <cell r="A47">
            <v>60124</v>
          </cell>
          <cell r="B47" t="str">
            <v>060124</v>
          </cell>
          <cell r="C47" t="str">
            <v>OrthoColorado Hospital</v>
          </cell>
          <cell r="D47"/>
          <cell r="E47">
            <v>2953</v>
          </cell>
          <cell r="F47">
            <v>3060</v>
          </cell>
          <cell r="G47">
            <v>2889</v>
          </cell>
          <cell r="H47">
            <v>2182</v>
          </cell>
          <cell r="I47">
            <v>1623</v>
          </cell>
          <cell r="J47">
            <v>969</v>
          </cell>
          <cell r="K47" t="str">
            <v>2020-2022</v>
          </cell>
          <cell r="L47">
            <v>1591.3333333333333</v>
          </cell>
        </row>
        <row r="48">
          <cell r="A48">
            <v>60125</v>
          </cell>
          <cell r="B48" t="str">
            <v>060125</v>
          </cell>
          <cell r="C48" t="str">
            <v>Centura Health-Castle Rock Adventist Hospital</v>
          </cell>
          <cell r="D48"/>
          <cell r="E48">
            <v>3027</v>
          </cell>
          <cell r="F48">
            <v>3677</v>
          </cell>
          <cell r="G48">
            <v>3404</v>
          </cell>
          <cell r="H48">
            <v>3319</v>
          </cell>
          <cell r="I48">
            <v>3663</v>
          </cell>
          <cell r="J48"/>
          <cell r="K48" t="str">
            <v>2019-2021</v>
          </cell>
          <cell r="L48">
            <v>3462</v>
          </cell>
        </row>
        <row r="49">
          <cell r="A49">
            <v>60126</v>
          </cell>
          <cell r="B49" t="str">
            <v>060126</v>
          </cell>
          <cell r="C49" t="str">
            <v>Banner Health – Ft. Collins</v>
          </cell>
          <cell r="D49">
            <v>819</v>
          </cell>
          <cell r="E49">
            <v>1082</v>
          </cell>
          <cell r="F49">
            <v>1202</v>
          </cell>
          <cell r="G49">
            <v>1321</v>
          </cell>
          <cell r="H49">
            <v>1026</v>
          </cell>
          <cell r="I49">
            <v>1310</v>
          </cell>
          <cell r="J49"/>
          <cell r="K49" t="str">
            <v>2019-2021</v>
          </cell>
          <cell r="L49">
            <v>1219</v>
          </cell>
        </row>
        <row r="50">
          <cell r="A50">
            <v>60128</v>
          </cell>
          <cell r="B50" t="str">
            <v>060128</v>
          </cell>
          <cell r="C50" t="str">
            <v>Longs Peak Hospital</v>
          </cell>
          <cell r="D50"/>
          <cell r="E50"/>
          <cell r="F50"/>
          <cell r="G50">
            <v>2011</v>
          </cell>
          <cell r="H50">
            <v>2453</v>
          </cell>
          <cell r="I50">
            <v>2864</v>
          </cell>
          <cell r="J50">
            <v>4135</v>
          </cell>
          <cell r="K50" t="str">
            <v>2020-2022</v>
          </cell>
          <cell r="L50">
            <v>3150.6666666666665</v>
          </cell>
        </row>
        <row r="51">
          <cell r="A51">
            <v>60129</v>
          </cell>
          <cell r="B51" t="str">
            <v>060129</v>
          </cell>
          <cell r="C51" t="str">
            <v>University Broomfield</v>
          </cell>
          <cell r="D51"/>
          <cell r="E51"/>
          <cell r="F51"/>
          <cell r="G51">
            <v>280</v>
          </cell>
          <cell r="H51">
            <v>787</v>
          </cell>
          <cell r="I51">
            <v>1049</v>
          </cell>
          <cell r="J51">
            <v>1074</v>
          </cell>
          <cell r="K51" t="str">
            <v>2020-2022</v>
          </cell>
          <cell r="L51">
            <v>970</v>
          </cell>
        </row>
        <row r="52">
          <cell r="A52">
            <v>60130</v>
          </cell>
          <cell r="B52" t="str">
            <v>060130</v>
          </cell>
          <cell r="C52" t="str">
            <v>University Colorado Springs</v>
          </cell>
          <cell r="D52"/>
          <cell r="E52"/>
          <cell r="F52"/>
          <cell r="G52">
            <v>890</v>
          </cell>
          <cell r="H52">
            <v>874</v>
          </cell>
          <cell r="I52">
            <v>903</v>
          </cell>
          <cell r="J52">
            <v>868</v>
          </cell>
          <cell r="K52" t="str">
            <v>2020-2022</v>
          </cell>
          <cell r="L52">
            <v>881.66666666666663</v>
          </cell>
        </row>
        <row r="53">
          <cell r="A53">
            <v>60131</v>
          </cell>
          <cell r="B53" t="str">
            <v>060131</v>
          </cell>
          <cell r="C53" t="str">
            <v>UCHealth Greeley Hospital</v>
          </cell>
          <cell r="D53"/>
          <cell r="E53"/>
          <cell r="F53"/>
          <cell r="G53"/>
          <cell r="H53"/>
          <cell r="I53">
            <v>3282</v>
          </cell>
          <cell r="J53">
            <v>3340</v>
          </cell>
          <cell r="K53" t="str">
            <v>2021-2022</v>
          </cell>
          <cell r="L53">
            <v>3311</v>
          </cell>
        </row>
        <row r="54">
          <cell r="A54">
            <v>60132</v>
          </cell>
          <cell r="B54" t="str">
            <v>060132</v>
          </cell>
          <cell r="C54" t="str">
            <v>UCHealth Highlands Ranch Hospital</v>
          </cell>
          <cell r="D54"/>
          <cell r="E54"/>
          <cell r="F54"/>
          <cell r="G54"/>
          <cell r="H54"/>
          <cell r="I54">
            <v>4522</v>
          </cell>
          <cell r="J54">
            <v>5346</v>
          </cell>
          <cell r="K54" t="str">
            <v>2021-2022</v>
          </cell>
          <cell r="L54">
            <v>4934</v>
          </cell>
        </row>
        <row r="55">
          <cell r="A55">
            <v>61300</v>
          </cell>
          <cell r="B55" t="str">
            <v>061300</v>
          </cell>
          <cell r="C55" t="str">
            <v>Weisbrod Memorial County Hospital</v>
          </cell>
          <cell r="D55">
            <v>17</v>
          </cell>
          <cell r="E55">
            <v>18</v>
          </cell>
          <cell r="F55">
            <v>34</v>
          </cell>
          <cell r="G55">
            <v>38</v>
          </cell>
          <cell r="H55">
            <v>42</v>
          </cell>
          <cell r="I55">
            <v>43</v>
          </cell>
          <cell r="J55"/>
          <cell r="K55" t="str">
            <v>2019-2021</v>
          </cell>
          <cell r="L55">
            <v>41</v>
          </cell>
        </row>
        <row r="56">
          <cell r="A56">
            <v>61301</v>
          </cell>
          <cell r="B56" t="str">
            <v>061301</v>
          </cell>
          <cell r="C56" t="str">
            <v>Rio Grande Hospital</v>
          </cell>
          <cell r="D56">
            <v>392</v>
          </cell>
          <cell r="E56">
            <v>443</v>
          </cell>
          <cell r="F56">
            <v>443</v>
          </cell>
          <cell r="G56">
            <v>563</v>
          </cell>
          <cell r="H56">
            <v>456</v>
          </cell>
          <cell r="I56">
            <v>511</v>
          </cell>
          <cell r="J56"/>
          <cell r="K56" t="str">
            <v>2019-2021</v>
          </cell>
          <cell r="L56">
            <v>510</v>
          </cell>
        </row>
        <row r="57">
          <cell r="A57">
            <v>61302</v>
          </cell>
          <cell r="B57" t="str">
            <v>061302</v>
          </cell>
          <cell r="C57" t="str">
            <v>Family Health West</v>
          </cell>
          <cell r="D57">
            <v>326</v>
          </cell>
          <cell r="E57">
            <v>273</v>
          </cell>
          <cell r="F57">
            <v>258</v>
          </cell>
          <cell r="G57">
            <v>250</v>
          </cell>
          <cell r="H57">
            <v>225</v>
          </cell>
          <cell r="I57">
            <v>248</v>
          </cell>
          <cell r="J57"/>
          <cell r="K57" t="str">
            <v>2019-2021</v>
          </cell>
          <cell r="L57">
            <v>241</v>
          </cell>
        </row>
        <row r="58">
          <cell r="A58">
            <v>61303</v>
          </cell>
          <cell r="B58" t="str">
            <v>061303</v>
          </cell>
          <cell r="C58" t="str">
            <v>East Morgan County Hospital</v>
          </cell>
          <cell r="D58">
            <v>404</v>
          </cell>
          <cell r="E58">
            <v>373</v>
          </cell>
          <cell r="F58">
            <v>410</v>
          </cell>
          <cell r="G58">
            <v>455</v>
          </cell>
          <cell r="H58">
            <v>339</v>
          </cell>
          <cell r="I58">
            <v>546</v>
          </cell>
          <cell r="J58"/>
          <cell r="K58" t="str">
            <v>2019-2021</v>
          </cell>
          <cell r="L58">
            <v>446.66666666666669</v>
          </cell>
        </row>
        <row r="59">
          <cell r="A59">
            <v>61304</v>
          </cell>
          <cell r="B59" t="str">
            <v>061304</v>
          </cell>
          <cell r="C59" t="str">
            <v>Haxtun Hospital District</v>
          </cell>
          <cell r="D59">
            <v>96</v>
          </cell>
          <cell r="E59">
            <v>39</v>
          </cell>
          <cell r="F59">
            <v>63</v>
          </cell>
          <cell r="G59">
            <v>80</v>
          </cell>
          <cell r="H59">
            <v>87</v>
          </cell>
          <cell r="I59">
            <v>85</v>
          </cell>
          <cell r="J59"/>
          <cell r="K59" t="str">
            <v>2019-2021</v>
          </cell>
          <cell r="L59">
            <v>84</v>
          </cell>
        </row>
        <row r="60">
          <cell r="A60">
            <v>61305</v>
          </cell>
          <cell r="B60" t="str">
            <v>061305</v>
          </cell>
          <cell r="C60" t="str">
            <v>Melissa Memorial Hospital</v>
          </cell>
          <cell r="D60">
            <v>89</v>
          </cell>
          <cell r="E60">
            <v>95</v>
          </cell>
          <cell r="F60">
            <v>195</v>
          </cell>
          <cell r="G60">
            <v>167</v>
          </cell>
          <cell r="H60">
            <v>175</v>
          </cell>
          <cell r="I60">
            <v>135</v>
          </cell>
          <cell r="J60"/>
          <cell r="K60" t="str">
            <v>2019-2021</v>
          </cell>
          <cell r="L60">
            <v>159</v>
          </cell>
        </row>
        <row r="61">
          <cell r="A61">
            <v>61306</v>
          </cell>
          <cell r="B61" t="str">
            <v>061306</v>
          </cell>
          <cell r="C61" t="str">
            <v>Lincoln Community Hospital</v>
          </cell>
          <cell r="D61">
            <v>140</v>
          </cell>
          <cell r="E61">
            <v>151</v>
          </cell>
          <cell r="F61">
            <v>137</v>
          </cell>
          <cell r="G61">
            <v>132</v>
          </cell>
          <cell r="H61">
            <v>146</v>
          </cell>
          <cell r="I61">
            <v>204</v>
          </cell>
          <cell r="J61"/>
          <cell r="K61" t="str">
            <v>2019-2021</v>
          </cell>
          <cell r="L61">
            <v>160.66666666666666</v>
          </cell>
        </row>
        <row r="62">
          <cell r="A62">
            <v>61307</v>
          </cell>
          <cell r="B62" t="str">
            <v>061307</v>
          </cell>
          <cell r="C62" t="str">
            <v>Rangely District Hospital</v>
          </cell>
          <cell r="D62">
            <v>39</v>
          </cell>
          <cell r="E62">
            <v>55</v>
          </cell>
          <cell r="F62">
            <v>36</v>
          </cell>
          <cell r="G62">
            <v>35</v>
          </cell>
          <cell r="H62">
            <v>66</v>
          </cell>
          <cell r="I62">
            <v>61</v>
          </cell>
          <cell r="J62"/>
          <cell r="K62" t="str">
            <v>2019-2021</v>
          </cell>
          <cell r="L62">
            <v>54</v>
          </cell>
        </row>
        <row r="63">
          <cell r="A63">
            <v>61308</v>
          </cell>
          <cell r="B63" t="str">
            <v>061308</v>
          </cell>
          <cell r="C63" t="str">
            <v>San Luis Valley Health Conejos County</v>
          </cell>
          <cell r="D63"/>
          <cell r="E63">
            <v>71</v>
          </cell>
          <cell r="F63">
            <v>154</v>
          </cell>
          <cell r="G63">
            <v>161</v>
          </cell>
          <cell r="H63">
            <v>213</v>
          </cell>
          <cell r="I63">
            <v>216</v>
          </cell>
          <cell r="J63"/>
          <cell r="K63" t="str">
            <v>2019-2021</v>
          </cell>
          <cell r="L63">
            <v>196.66666666666666</v>
          </cell>
        </row>
        <row r="64">
          <cell r="A64">
            <v>61309</v>
          </cell>
          <cell r="B64" t="str">
            <v>061309</v>
          </cell>
          <cell r="C64" t="str">
            <v>Wray Community District Hospital</v>
          </cell>
          <cell r="D64">
            <v>340</v>
          </cell>
          <cell r="E64">
            <v>324</v>
          </cell>
          <cell r="F64">
            <v>352</v>
          </cell>
          <cell r="G64">
            <v>354</v>
          </cell>
          <cell r="H64">
            <v>295</v>
          </cell>
          <cell r="I64">
            <v>342</v>
          </cell>
          <cell r="J64"/>
          <cell r="K64" t="str">
            <v>2019-2021</v>
          </cell>
          <cell r="L64">
            <v>330.33333333333331</v>
          </cell>
        </row>
        <row r="65">
          <cell r="A65">
            <v>61310</v>
          </cell>
          <cell r="B65" t="str">
            <v>061310</v>
          </cell>
          <cell r="C65" t="str">
            <v>Sedgwick County Memorial Hospital</v>
          </cell>
          <cell r="D65">
            <v>131</v>
          </cell>
          <cell r="E65">
            <v>117</v>
          </cell>
          <cell r="F65">
            <v>154</v>
          </cell>
          <cell r="G65">
            <v>181</v>
          </cell>
          <cell r="H65">
            <v>159</v>
          </cell>
          <cell r="I65">
            <v>132</v>
          </cell>
          <cell r="J65"/>
          <cell r="K65" t="str">
            <v>2019-2021</v>
          </cell>
          <cell r="L65">
            <v>157.33333333333334</v>
          </cell>
        </row>
        <row r="66">
          <cell r="A66">
            <v>61311</v>
          </cell>
          <cell r="B66" t="str">
            <v>061311</v>
          </cell>
          <cell r="C66" t="str">
            <v xml:space="preserve">Southeast Colorado Hospital </v>
          </cell>
          <cell r="D66">
            <v>144</v>
          </cell>
          <cell r="E66">
            <v>162</v>
          </cell>
          <cell r="F66">
            <v>199</v>
          </cell>
          <cell r="G66">
            <v>178</v>
          </cell>
          <cell r="H66">
            <v>168</v>
          </cell>
          <cell r="I66">
            <v>161</v>
          </cell>
          <cell r="J66"/>
          <cell r="K66" t="str">
            <v>2019-2021</v>
          </cell>
          <cell r="L66">
            <v>169</v>
          </cell>
        </row>
        <row r="67">
          <cell r="A67">
            <v>61312</v>
          </cell>
          <cell r="B67" t="str">
            <v>061312</v>
          </cell>
          <cell r="C67" t="str">
            <v>Estes Park Medical Center</v>
          </cell>
          <cell r="D67">
            <v>349</v>
          </cell>
          <cell r="E67">
            <v>346</v>
          </cell>
          <cell r="F67">
            <v>404</v>
          </cell>
          <cell r="G67">
            <v>341</v>
          </cell>
          <cell r="H67">
            <v>342</v>
          </cell>
          <cell r="I67">
            <v>320</v>
          </cell>
          <cell r="J67"/>
          <cell r="K67" t="str">
            <v>2019-2021</v>
          </cell>
          <cell r="L67">
            <v>334.33333333333331</v>
          </cell>
        </row>
        <row r="68">
          <cell r="A68">
            <v>61313</v>
          </cell>
          <cell r="B68" t="str">
            <v>061313</v>
          </cell>
          <cell r="C68" t="str">
            <v>Kit Carson County Memorial Hospital</v>
          </cell>
          <cell r="D68">
            <v>259</v>
          </cell>
          <cell r="E68">
            <v>256</v>
          </cell>
          <cell r="F68">
            <v>308</v>
          </cell>
          <cell r="G68">
            <v>159</v>
          </cell>
          <cell r="H68">
            <v>158</v>
          </cell>
          <cell r="I68">
            <v>205</v>
          </cell>
          <cell r="J68"/>
          <cell r="K68" t="str">
            <v>2019-2021</v>
          </cell>
          <cell r="L68">
            <v>174</v>
          </cell>
        </row>
        <row r="69">
          <cell r="A69">
            <v>61314</v>
          </cell>
          <cell r="B69" t="str">
            <v>061314</v>
          </cell>
          <cell r="C69" t="str">
            <v>Memorial Hospital</v>
          </cell>
          <cell r="D69">
            <v>853</v>
          </cell>
          <cell r="E69">
            <v>927</v>
          </cell>
          <cell r="F69">
            <v>819</v>
          </cell>
          <cell r="G69">
            <v>790</v>
          </cell>
          <cell r="H69">
            <v>527</v>
          </cell>
          <cell r="I69">
            <v>641</v>
          </cell>
          <cell r="J69"/>
          <cell r="K69" t="str">
            <v>2019-2021</v>
          </cell>
          <cell r="L69">
            <v>652.66666666666663</v>
          </cell>
        </row>
        <row r="70">
          <cell r="A70">
            <v>61315</v>
          </cell>
          <cell r="B70" t="str">
            <v>061315</v>
          </cell>
          <cell r="C70" t="str">
            <v>Yuma District Hospital</v>
          </cell>
          <cell r="D70">
            <v>171</v>
          </cell>
          <cell r="E70">
            <v>158</v>
          </cell>
          <cell r="F70">
            <v>183</v>
          </cell>
          <cell r="G70">
            <v>181</v>
          </cell>
          <cell r="H70">
            <v>185</v>
          </cell>
          <cell r="I70">
            <v>170</v>
          </cell>
          <cell r="J70"/>
          <cell r="K70" t="str">
            <v>2019-2021</v>
          </cell>
          <cell r="L70">
            <v>178.66666666666666</v>
          </cell>
        </row>
        <row r="71">
          <cell r="A71">
            <v>61316</v>
          </cell>
          <cell r="B71" t="str">
            <v>061316</v>
          </cell>
          <cell r="C71" t="str">
            <v>Spanish Peaks Regional Health Center</v>
          </cell>
          <cell r="D71">
            <v>139</v>
          </cell>
          <cell r="E71">
            <v>136</v>
          </cell>
          <cell r="F71">
            <v>139</v>
          </cell>
          <cell r="G71">
            <v>176</v>
          </cell>
          <cell r="H71">
            <v>126</v>
          </cell>
          <cell r="I71">
            <v>158</v>
          </cell>
          <cell r="J71"/>
          <cell r="K71" t="str">
            <v>2019-2021</v>
          </cell>
          <cell r="L71">
            <v>153.33333333333334</v>
          </cell>
        </row>
        <row r="72">
          <cell r="A72">
            <v>61317</v>
          </cell>
          <cell r="B72" t="str">
            <v>061317</v>
          </cell>
          <cell r="C72" t="str">
            <v>Grand River Medical Center</v>
          </cell>
          <cell r="D72">
            <v>504</v>
          </cell>
          <cell r="E72">
            <v>574</v>
          </cell>
          <cell r="F72">
            <v>573</v>
          </cell>
          <cell r="G72">
            <v>585</v>
          </cell>
          <cell r="H72">
            <v>522</v>
          </cell>
          <cell r="I72">
            <v>579</v>
          </cell>
          <cell r="J72"/>
          <cell r="K72" t="str">
            <v>2019-2021</v>
          </cell>
          <cell r="L72">
            <v>562</v>
          </cell>
        </row>
        <row r="73">
          <cell r="A73">
            <v>61318</v>
          </cell>
          <cell r="B73" t="str">
            <v>061318</v>
          </cell>
          <cell r="C73" t="str">
            <v>Kremmling Memorial Hospital</v>
          </cell>
          <cell r="D73">
            <v>112</v>
          </cell>
          <cell r="E73">
            <v>111</v>
          </cell>
          <cell r="F73">
            <v>101</v>
          </cell>
          <cell r="G73">
            <v>127</v>
          </cell>
          <cell r="H73">
            <v>141</v>
          </cell>
          <cell r="I73">
            <v>150</v>
          </cell>
          <cell r="J73"/>
          <cell r="K73" t="str">
            <v>2019-2021</v>
          </cell>
          <cell r="L73">
            <v>139.33333333333334</v>
          </cell>
        </row>
        <row r="74">
          <cell r="A74">
            <v>61319</v>
          </cell>
          <cell r="B74" t="str">
            <v>061319</v>
          </cell>
          <cell r="C74" t="str">
            <v xml:space="preserve">St Vincent Hospital </v>
          </cell>
          <cell r="D74">
            <v>2</v>
          </cell>
          <cell r="E74">
            <v>54</v>
          </cell>
          <cell r="F74">
            <v>104</v>
          </cell>
          <cell r="G74">
            <v>100</v>
          </cell>
          <cell r="H74">
            <v>95</v>
          </cell>
          <cell r="I74">
            <v>126</v>
          </cell>
          <cell r="J74"/>
          <cell r="K74" t="str">
            <v>2019-2021</v>
          </cell>
          <cell r="L74">
            <v>107</v>
          </cell>
        </row>
        <row r="75">
          <cell r="A75">
            <v>61320</v>
          </cell>
          <cell r="B75" t="str">
            <v>061320</v>
          </cell>
          <cell r="C75" t="str">
            <v>Gunnison Valley Hospital</v>
          </cell>
          <cell r="D75">
            <v>564</v>
          </cell>
          <cell r="E75">
            <v>527</v>
          </cell>
          <cell r="F75">
            <v>510</v>
          </cell>
          <cell r="G75">
            <v>563</v>
          </cell>
          <cell r="H75">
            <v>467</v>
          </cell>
          <cell r="I75">
            <v>513</v>
          </cell>
          <cell r="J75"/>
          <cell r="K75" t="str">
            <v>2019-2021</v>
          </cell>
          <cell r="L75">
            <v>514.33333333333337</v>
          </cell>
        </row>
        <row r="76">
          <cell r="A76">
            <v>61321</v>
          </cell>
          <cell r="B76" t="str">
            <v>061321</v>
          </cell>
          <cell r="C76" t="str">
            <v>Mt San Rafael Hospital</v>
          </cell>
          <cell r="D76">
            <v>515</v>
          </cell>
          <cell r="E76">
            <v>542</v>
          </cell>
          <cell r="F76">
            <v>479</v>
          </cell>
          <cell r="G76">
            <v>543</v>
          </cell>
          <cell r="H76">
            <v>461</v>
          </cell>
          <cell r="I76">
            <v>413</v>
          </cell>
          <cell r="J76"/>
          <cell r="K76" t="str">
            <v>2019-2021</v>
          </cell>
          <cell r="L76">
            <v>472.33333333333331</v>
          </cell>
        </row>
        <row r="77">
          <cell r="A77">
            <v>61322</v>
          </cell>
          <cell r="B77" t="str">
            <v>061322</v>
          </cell>
          <cell r="C77" t="str">
            <v>Heart Of Rockies Regional Medical Center</v>
          </cell>
          <cell r="D77">
            <v>928</v>
          </cell>
          <cell r="E77">
            <v>973</v>
          </cell>
          <cell r="F77">
            <v>979</v>
          </cell>
          <cell r="G77">
            <v>957</v>
          </cell>
          <cell r="H77">
            <v>797</v>
          </cell>
          <cell r="I77">
            <v>832</v>
          </cell>
          <cell r="J77"/>
          <cell r="K77" t="str">
            <v>2019-2021</v>
          </cell>
          <cell r="L77">
            <v>862</v>
          </cell>
        </row>
        <row r="78">
          <cell r="A78">
            <v>61323</v>
          </cell>
          <cell r="B78" t="str">
            <v>061323</v>
          </cell>
          <cell r="C78" t="str">
            <v>Prowers Medical Center</v>
          </cell>
          <cell r="D78">
            <v>883</v>
          </cell>
          <cell r="E78">
            <v>889</v>
          </cell>
          <cell r="F78">
            <v>537</v>
          </cell>
          <cell r="G78">
            <v>541</v>
          </cell>
          <cell r="H78">
            <v>485</v>
          </cell>
          <cell r="I78">
            <v>405</v>
          </cell>
          <cell r="J78"/>
          <cell r="K78" t="str">
            <v>2019-2021</v>
          </cell>
          <cell r="L78">
            <v>477</v>
          </cell>
        </row>
        <row r="79">
          <cell r="A79">
            <v>61324</v>
          </cell>
          <cell r="B79" t="str">
            <v>061324</v>
          </cell>
          <cell r="C79" t="str">
            <v>Aspen Valley Hospital</v>
          </cell>
          <cell r="D79">
            <v>751</v>
          </cell>
          <cell r="E79">
            <v>689</v>
          </cell>
          <cell r="F79">
            <v>716</v>
          </cell>
          <cell r="G79">
            <v>712</v>
          </cell>
          <cell r="H79">
            <v>593</v>
          </cell>
          <cell r="I79">
            <v>523</v>
          </cell>
          <cell r="J79"/>
          <cell r="K79" t="str">
            <v>2019-2021</v>
          </cell>
          <cell r="L79">
            <v>609.33333333333337</v>
          </cell>
        </row>
        <row r="80">
          <cell r="A80">
            <v>61325</v>
          </cell>
          <cell r="B80" t="str">
            <v>061325</v>
          </cell>
          <cell r="C80" t="str">
            <v>Pioneers Medical Center</v>
          </cell>
          <cell r="D80">
            <v>213</v>
          </cell>
          <cell r="E80">
            <v>211</v>
          </cell>
          <cell r="F80">
            <v>384</v>
          </cell>
          <cell r="G80">
            <v>445</v>
          </cell>
          <cell r="H80">
            <v>619</v>
          </cell>
          <cell r="I80">
            <v>518</v>
          </cell>
          <cell r="J80"/>
          <cell r="K80" t="str">
            <v>2019-2021</v>
          </cell>
          <cell r="L80">
            <v>527.33333333333337</v>
          </cell>
        </row>
        <row r="81">
          <cell r="A81">
            <v>61326</v>
          </cell>
          <cell r="B81" t="str">
            <v>061326</v>
          </cell>
          <cell r="C81" t="str">
            <v>Pikes Peak Regional Hospital</v>
          </cell>
          <cell r="D81">
            <v>539</v>
          </cell>
          <cell r="E81">
            <v>507</v>
          </cell>
          <cell r="F81"/>
          <cell r="G81">
            <v>392</v>
          </cell>
          <cell r="H81">
            <v>380</v>
          </cell>
          <cell r="I81">
            <v>391</v>
          </cell>
          <cell r="J81">
            <v>370</v>
          </cell>
          <cell r="K81" t="str">
            <v>2020-2022</v>
          </cell>
          <cell r="L81">
            <v>380.33333333333331</v>
          </cell>
        </row>
        <row r="82">
          <cell r="A82">
            <v>61327</v>
          </cell>
          <cell r="B82" t="str">
            <v>061327</v>
          </cell>
          <cell r="C82" t="str">
            <v>Southwest Memorial Hospital</v>
          </cell>
          <cell r="D82">
            <v>1043</v>
          </cell>
          <cell r="E82">
            <v>995</v>
          </cell>
          <cell r="F82">
            <v>1027</v>
          </cell>
          <cell r="G82">
            <v>939</v>
          </cell>
          <cell r="H82">
            <v>908</v>
          </cell>
          <cell r="I82">
            <v>931</v>
          </cell>
          <cell r="J82"/>
          <cell r="K82" t="str">
            <v>2019-2021</v>
          </cell>
          <cell r="L82">
            <v>926</v>
          </cell>
        </row>
        <row r="83">
          <cell r="A83">
            <v>61328</v>
          </cell>
          <cell r="B83" t="str">
            <v>061328</v>
          </cell>
          <cell r="C83" t="str">
            <v>Pagosa Mountain Hospital</v>
          </cell>
          <cell r="D83">
            <v>493</v>
          </cell>
          <cell r="E83">
            <v>424</v>
          </cell>
          <cell r="F83">
            <v>454</v>
          </cell>
          <cell r="G83">
            <v>379</v>
          </cell>
          <cell r="H83">
            <v>277</v>
          </cell>
          <cell r="I83">
            <v>330</v>
          </cell>
          <cell r="J83"/>
          <cell r="K83" t="str">
            <v>2019-2021</v>
          </cell>
          <cell r="L83">
            <v>328.66666666666669</v>
          </cell>
        </row>
        <row r="84">
          <cell r="A84">
            <v>61336</v>
          </cell>
          <cell r="B84" t="str">
            <v>061336</v>
          </cell>
          <cell r="C84" t="str">
            <v>Arkansas Valley Regional Medical Center</v>
          </cell>
          <cell r="D84"/>
          <cell r="E84"/>
          <cell r="F84">
            <v>1030</v>
          </cell>
          <cell r="G84">
            <v>1048</v>
          </cell>
          <cell r="H84">
            <v>953</v>
          </cell>
          <cell r="I84">
            <v>668</v>
          </cell>
          <cell r="J84">
            <v>697</v>
          </cell>
          <cell r="K84" t="str">
            <v>2020-2022</v>
          </cell>
          <cell r="L84">
            <v>772.66666666666663</v>
          </cell>
        </row>
        <row r="85">
          <cell r="A85">
            <v>61343</v>
          </cell>
          <cell r="B85" t="str">
            <v>061343</v>
          </cell>
          <cell r="C85" t="str">
            <v>Keefe Memorial Hospital</v>
          </cell>
          <cell r="D85"/>
          <cell r="E85"/>
          <cell r="F85">
            <v>56</v>
          </cell>
          <cell r="G85">
            <v>51</v>
          </cell>
          <cell r="H85">
            <v>40</v>
          </cell>
          <cell r="I85">
            <v>42</v>
          </cell>
          <cell r="J85"/>
          <cell r="K85" t="str">
            <v>2019-2021</v>
          </cell>
          <cell r="L85">
            <v>44.333333333333336</v>
          </cell>
        </row>
        <row r="86">
          <cell r="A86">
            <v>61344</v>
          </cell>
          <cell r="B86" t="str">
            <v>061344</v>
          </cell>
          <cell r="C86" t="str">
            <v>Centura Health-St Thomas More Hospital</v>
          </cell>
          <cell r="D86"/>
          <cell r="E86">
            <v>1783</v>
          </cell>
          <cell r="F86">
            <v>1808</v>
          </cell>
          <cell r="G86">
            <v>1735</v>
          </cell>
          <cell r="H86">
            <v>1621</v>
          </cell>
          <cell r="I86">
            <v>1642</v>
          </cell>
          <cell r="J86">
            <v>1579</v>
          </cell>
          <cell r="K86" t="str">
            <v>2020-2022</v>
          </cell>
          <cell r="L86">
            <v>1614</v>
          </cell>
        </row>
        <row r="87">
          <cell r="A87">
            <v>61991</v>
          </cell>
          <cell r="B87" t="str">
            <v>061991</v>
          </cell>
          <cell r="C87" t="str">
            <v>#N/A</v>
          </cell>
          <cell r="D87"/>
          <cell r="E87">
            <v>17</v>
          </cell>
          <cell r="F87">
            <v>12</v>
          </cell>
          <cell r="G87"/>
          <cell r="H87"/>
          <cell r="I87"/>
          <cell r="J87"/>
          <cell r="K87">
            <v>0</v>
          </cell>
          <cell r="L87" t="e">
            <v>#DIV/0!</v>
          </cell>
        </row>
        <row r="88">
          <cell r="A88">
            <v>63301</v>
          </cell>
          <cell r="B88" t="str">
            <v>063301</v>
          </cell>
          <cell r="C88" t="str">
            <v>Childrens Hospital Colorado</v>
          </cell>
          <cell r="D88">
            <v>15062</v>
          </cell>
          <cell r="E88">
            <v>15415</v>
          </cell>
          <cell r="F88">
            <v>15214</v>
          </cell>
          <cell r="G88">
            <v>14686</v>
          </cell>
          <cell r="H88">
            <v>12441</v>
          </cell>
          <cell r="I88">
            <v>14152</v>
          </cell>
          <cell r="J88"/>
          <cell r="K88" t="str">
            <v>2019-2021</v>
          </cell>
          <cell r="L88">
            <v>13759.666666666666</v>
          </cell>
        </row>
        <row r="89">
          <cell r="A89">
            <v>63303</v>
          </cell>
          <cell r="B89" t="str">
            <v>063303</v>
          </cell>
          <cell r="C89" t="str">
            <v>Childrens Hospital Colorado - Colorado Springs</v>
          </cell>
          <cell r="D89"/>
          <cell r="E89"/>
          <cell r="F89"/>
          <cell r="G89"/>
          <cell r="H89">
            <v>2975</v>
          </cell>
          <cell r="I89">
            <v>3831</v>
          </cell>
          <cell r="J89"/>
          <cell r="K89" t="str">
            <v>2020-2021</v>
          </cell>
          <cell r="L89">
            <v>3403</v>
          </cell>
        </row>
      </sheetData>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E8CBD3-5F1B-4B4C-AF6D-454EFFEF874E}" name="Table1" displayName="Table1" ref="A3:B3047" totalsRowShown="0" headerRowDxfId="5" headerRowBorderDxfId="4" tableBorderDxfId="3" headerRowCellStyle="Normal 3">
  <autoFilter ref="A3:B3047" xr:uid="{94863378-F3A1-4D2C-AE97-35EBF910B13A}"/>
  <tableColumns count="2">
    <tableColumn id="1" xr3:uid="{2EBA95C8-AE5F-4F3B-8F8D-B59EA9E54996}" name="Hospital CMS Certification Number (CCN)" dataDxfId="2"/>
    <tableColumn id="2" xr3:uid="{847FC030-044C-4C0B-A1F7-E1F33413D0BF}" name="FY 2023 Payment Adjustment Factor " dataDxfId="1"/>
  </tableColumns>
  <tableStyleInfo showFirstColumn="0" showLastColumn="0" showRowStripes="1" showColumnStripes="0"/>
  <extLst>
    <ext xmlns:x14="http://schemas.microsoft.com/office/spreadsheetml/2009/9/main" uri="{504A1905-F514-4f6f-8877-14C23A59335A}">
      <x14:table altText="Table 15: FY 2023 Hospital Readmissions Reduction Program Payment Adjustment Factor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cpf.colorado.gov/inpatient-hospital-paymen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hyperlink" Target="https://www.cms.gov/medicare/acute-inpatient-pps/fy-2023-ipps-final-rule-home-pag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s.gov/medicare/acute-inpatient-pps/fy-2023-ipps-final-rule-home-pag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hcpf.colorado.gov/inpatient-hospital-payment" TargetMode="External"/><Relationship Id="rId7" Type="http://schemas.openxmlformats.org/officeDocument/2006/relationships/hyperlink" Target="https://hcpf.colorado.gov/inpatient-hospital-payment" TargetMode="External"/><Relationship Id="rId2" Type="http://schemas.openxmlformats.org/officeDocument/2006/relationships/hyperlink" Target="https://www.cms.gov/medicare/acute-inpatient-pps/fy-2023-ipps-final-rule-home-page" TargetMode="External"/><Relationship Id="rId1" Type="http://schemas.openxmlformats.org/officeDocument/2006/relationships/hyperlink" Target="https://www.cms.gov/medicare/acute-inpatient-pps/fy-2023-ipps-final-rule-home-page" TargetMode="External"/><Relationship Id="rId6" Type="http://schemas.openxmlformats.org/officeDocument/2006/relationships/hyperlink" Target="https://leg.colorado.gov/sites/default/files/23lbnarrative.pdf" TargetMode="External"/><Relationship Id="rId5" Type="http://schemas.openxmlformats.org/officeDocument/2006/relationships/hyperlink" Target="https://data.cms.gov/provider-data/search?keyword=Hospital-Acquired%20Condition&amp;theme=Hospitals" TargetMode="External"/><Relationship Id="rId4" Type="http://schemas.openxmlformats.org/officeDocument/2006/relationships/hyperlink" Target="https://hcpf.colorado.gov/fy-2022-23-supplementals-and-fy-2023-24-budget-amendments-informational-only-caseloa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hcpf.colorado.gov/inpatient-hospital-payment" TargetMode="External"/><Relationship Id="rId7" Type="http://schemas.openxmlformats.org/officeDocument/2006/relationships/comments" Target="../comments1.xml"/><Relationship Id="rId2" Type="http://schemas.openxmlformats.org/officeDocument/2006/relationships/hyperlink" Target="https://www.cms.gov/medicare/acute-inpatient-pps/fy-2023-ipps-final-rule-home-page" TargetMode="External"/><Relationship Id="rId1" Type="http://schemas.openxmlformats.org/officeDocument/2006/relationships/hyperlink" Target="https://data.cms.gov/provider-data/search?keyword=Hospital-Acquired%20Condition&amp;theme=Hospitals"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s://hcpf.colorado.gov/inpatient-hospital-paymen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cpf.colorado.gov/sites/hcpf/files/S-1%2C%20MSP%20Exhibit%20B.pdf" TargetMode="External"/><Relationship Id="rId1" Type="http://schemas.openxmlformats.org/officeDocument/2006/relationships/hyperlink" Target="https://hcpf.colorado.gov/inpatient-hospital-paymen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www.cms.gov/medicare/acute-inpatient-pps/fy-2023-ipps-final-rule-home-pag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cms.gov/files/document/fy-2023-hac-reduction-program-fact-she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8860-00ED-40F5-ADB7-9C368745F8A3}">
  <sheetPr>
    <tabColor rgb="FF00B0F0"/>
  </sheetPr>
  <dimension ref="A1:A16"/>
  <sheetViews>
    <sheetView tabSelected="1" workbookViewId="0"/>
  </sheetViews>
  <sheetFormatPr defaultColWidth="8.90625" defaultRowHeight="18.5" x14ac:dyDescent="0.45"/>
  <cols>
    <col min="1" max="1" width="141.453125" style="603" customWidth="1"/>
    <col min="2" max="16384" width="8.90625" style="431"/>
  </cols>
  <sheetData>
    <row r="1" spans="1:1" s="190" customFormat="1" ht="23.5" x14ac:dyDescent="0.55000000000000004">
      <c r="A1" s="598" t="s">
        <v>3731</v>
      </c>
    </row>
    <row r="2" spans="1:1" s="190" customFormat="1" ht="10.75" customHeight="1" x14ac:dyDescent="0.45">
      <c r="A2" s="599"/>
    </row>
    <row r="3" spans="1:1" s="190" customFormat="1" x14ac:dyDescent="0.45">
      <c r="A3" s="600" t="s">
        <v>3791</v>
      </c>
    </row>
    <row r="4" spans="1:1" s="190" customFormat="1" x14ac:dyDescent="0.45">
      <c r="A4" s="600"/>
    </row>
    <row r="5" spans="1:1" s="190" customFormat="1" ht="36.9" customHeight="1" x14ac:dyDescent="0.45">
      <c r="A5" s="600" t="s">
        <v>3792</v>
      </c>
    </row>
    <row r="6" spans="1:1" x14ac:dyDescent="0.45">
      <c r="A6" s="601"/>
    </row>
    <row r="7" spans="1:1" ht="37" x14ac:dyDescent="0.45">
      <c r="A7" s="602" t="s">
        <v>3790</v>
      </c>
    </row>
    <row r="8" spans="1:1" x14ac:dyDescent="0.45">
      <c r="A8" s="601"/>
    </row>
    <row r="9" spans="1:1" s="190" customFormat="1" x14ac:dyDescent="0.45">
      <c r="A9" s="600" t="s">
        <v>3730</v>
      </c>
    </row>
    <row r="10" spans="1:1" s="190" customFormat="1" x14ac:dyDescent="0.45">
      <c r="A10" s="600"/>
    </row>
    <row r="11" spans="1:1" s="190" customFormat="1" x14ac:dyDescent="0.45">
      <c r="A11" s="600" t="s">
        <v>3788</v>
      </c>
    </row>
    <row r="12" spans="1:1" s="190" customFormat="1" x14ac:dyDescent="0.45">
      <c r="A12" s="600"/>
    </row>
    <row r="13" spans="1:1" s="190" customFormat="1" x14ac:dyDescent="0.45">
      <c r="A13" s="600" t="s">
        <v>3729</v>
      </c>
    </row>
    <row r="14" spans="1:1" x14ac:dyDescent="0.45">
      <c r="A14" s="601"/>
    </row>
    <row r="15" spans="1:1" x14ac:dyDescent="0.45">
      <c r="A15" s="601"/>
    </row>
    <row r="16" spans="1:1" x14ac:dyDescent="0.45">
      <c r="A16" s="601"/>
    </row>
  </sheetData>
  <hyperlinks>
    <hyperlink ref="A7" r:id="rId1" display="3.  Please access &quot;Inpatient Hospital Base Rates FY23-24&quot; document for the 30-day review of Inpatient Hospital Base Rates.  The rates listed in this document will be what hospitals are paid in FY 2023-24." xr:uid="{1E486CEB-D062-4898-AD10-137394D5A288}"/>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B761-E36F-4BA1-B77F-06AD6CB4CBDC}">
  <sheetPr>
    <tabColor rgb="FF00B0F0"/>
  </sheetPr>
  <dimension ref="A1:D3099"/>
  <sheetViews>
    <sheetView workbookViewId="0">
      <selection activeCell="N485" sqref="N485"/>
    </sheetView>
  </sheetViews>
  <sheetFormatPr defaultRowHeight="14.5" x14ac:dyDescent="0.35"/>
  <cols>
    <col min="1" max="1" width="17.90625" style="413" customWidth="1"/>
    <col min="2" max="2" width="19.453125" style="425" customWidth="1"/>
  </cols>
  <sheetData>
    <row r="1" spans="1:4" ht="32.9" customHeight="1" x14ac:dyDescent="0.35">
      <c r="A1" s="689" t="s">
        <v>580</v>
      </c>
      <c r="B1" s="690"/>
      <c r="D1" s="276" t="s">
        <v>3624</v>
      </c>
    </row>
    <row r="2" spans="1:4" s="285" customFormat="1" ht="34" customHeight="1" x14ac:dyDescent="0.35">
      <c r="A2" s="691" t="s">
        <v>581</v>
      </c>
      <c r="B2" s="692"/>
    </row>
    <row r="3" spans="1:4" ht="43.5" x14ac:dyDescent="0.35">
      <c r="A3" s="310" t="s">
        <v>582</v>
      </c>
      <c r="B3" s="310" t="s">
        <v>583</v>
      </c>
    </row>
    <row r="4" spans="1:4" ht="16.649999999999999" hidden="1" customHeight="1" x14ac:dyDescent="0.35">
      <c r="A4" s="426" t="s">
        <v>584</v>
      </c>
      <c r="B4" s="419">
        <v>0.99739999999999995</v>
      </c>
    </row>
    <row r="5" spans="1:4" hidden="1" x14ac:dyDescent="0.35">
      <c r="A5" s="426" t="s">
        <v>585</v>
      </c>
      <c r="B5" s="419">
        <v>0.99970000000000003</v>
      </c>
    </row>
    <row r="6" spans="1:4" hidden="1" x14ac:dyDescent="0.35">
      <c r="A6" s="426" t="s">
        <v>586</v>
      </c>
      <c r="B6" s="419">
        <v>0.97960000000000003</v>
      </c>
    </row>
    <row r="7" spans="1:4" hidden="1" x14ac:dyDescent="0.35">
      <c r="A7" s="426" t="s">
        <v>587</v>
      </c>
      <c r="B7" s="419">
        <v>0.99660000000000004</v>
      </c>
    </row>
    <row r="8" spans="1:4" hidden="1" x14ac:dyDescent="0.35">
      <c r="A8" s="426" t="s">
        <v>588</v>
      </c>
      <c r="B8" s="419">
        <v>1</v>
      </c>
    </row>
    <row r="9" spans="1:4" hidden="1" x14ac:dyDescent="0.35">
      <c r="A9" s="426" t="s">
        <v>589</v>
      </c>
      <c r="B9" s="419">
        <v>0.99350000000000005</v>
      </c>
    </row>
    <row r="10" spans="1:4" hidden="1" x14ac:dyDescent="0.35">
      <c r="A10" s="426" t="s">
        <v>590</v>
      </c>
      <c r="B10" s="419">
        <v>0.99729999999999996</v>
      </c>
    </row>
    <row r="11" spans="1:4" hidden="1" x14ac:dyDescent="0.35">
      <c r="A11" s="426" t="s">
        <v>591</v>
      </c>
      <c r="B11" s="419">
        <v>0.99929999999999997</v>
      </c>
    </row>
    <row r="12" spans="1:4" hidden="1" x14ac:dyDescent="0.35">
      <c r="A12" s="426" t="s">
        <v>592</v>
      </c>
      <c r="B12" s="419">
        <v>0.99129999999999996</v>
      </c>
    </row>
    <row r="13" spans="1:4" hidden="1" x14ac:dyDescent="0.35">
      <c r="A13" s="426" t="s">
        <v>593</v>
      </c>
      <c r="B13" s="419">
        <v>1</v>
      </c>
    </row>
    <row r="14" spans="1:4" hidden="1" x14ac:dyDescent="0.35">
      <c r="A14" s="426" t="s">
        <v>594</v>
      </c>
      <c r="B14" s="419">
        <v>1</v>
      </c>
    </row>
    <row r="15" spans="1:4" hidden="1" x14ac:dyDescent="0.35">
      <c r="A15" s="426" t="s">
        <v>595</v>
      </c>
      <c r="B15" s="419">
        <v>0.996</v>
      </c>
    </row>
    <row r="16" spans="1:4" s="312" customFormat="1" hidden="1" x14ac:dyDescent="0.35">
      <c r="A16" s="426" t="s">
        <v>596</v>
      </c>
      <c r="B16" s="419">
        <v>0.99409999999999998</v>
      </c>
    </row>
    <row r="17" spans="1:3" s="312" customFormat="1" hidden="1" x14ac:dyDescent="0.35">
      <c r="A17" s="426" t="s">
        <v>597</v>
      </c>
      <c r="B17" s="419">
        <v>0.99690000000000001</v>
      </c>
    </row>
    <row r="18" spans="1:3" s="312" customFormat="1" hidden="1" x14ac:dyDescent="0.35">
      <c r="A18" s="426" t="s">
        <v>598</v>
      </c>
      <c r="B18" s="419">
        <v>0.99770000000000003</v>
      </c>
    </row>
    <row r="19" spans="1:3" s="312" customFormat="1" hidden="1" x14ac:dyDescent="0.35">
      <c r="A19" s="426" t="s">
        <v>599</v>
      </c>
      <c r="B19" s="419">
        <v>0.99939999999999996</v>
      </c>
    </row>
    <row r="20" spans="1:3" hidden="1" x14ac:dyDescent="0.35">
      <c r="A20" s="426" t="s">
        <v>600</v>
      </c>
      <c r="B20" s="419">
        <v>0.9929</v>
      </c>
    </row>
    <row r="21" spans="1:3" hidden="1" x14ac:dyDescent="0.35">
      <c r="A21" s="426" t="s">
        <v>601</v>
      </c>
      <c r="B21" s="419">
        <v>0.99719999999999998</v>
      </c>
    </row>
    <row r="22" spans="1:3" hidden="1" x14ac:dyDescent="0.35">
      <c r="A22" s="426" t="s">
        <v>602</v>
      </c>
      <c r="B22" s="419">
        <v>0.99119999999999997</v>
      </c>
      <c r="C22" s="312"/>
    </row>
    <row r="23" spans="1:3" hidden="1" x14ac:dyDescent="0.35">
      <c r="A23" s="426" t="s">
        <v>603</v>
      </c>
      <c r="B23" s="419">
        <v>0.99380000000000002</v>
      </c>
      <c r="C23" s="312"/>
    </row>
    <row r="24" spans="1:3" hidden="1" x14ac:dyDescent="0.35">
      <c r="A24" s="426" t="s">
        <v>604</v>
      </c>
      <c r="B24" s="419">
        <v>0.99719999999999998</v>
      </c>
      <c r="C24" s="312"/>
    </row>
    <row r="25" spans="1:3" hidden="1" x14ac:dyDescent="0.35">
      <c r="A25" s="426" t="s">
        <v>605</v>
      </c>
      <c r="B25" s="419">
        <v>1</v>
      </c>
      <c r="C25" s="312"/>
    </row>
    <row r="26" spans="1:3" hidden="1" x14ac:dyDescent="0.35">
      <c r="A26" s="426" t="s">
        <v>606</v>
      </c>
      <c r="B26" s="419">
        <v>0.99890000000000001</v>
      </c>
      <c r="C26" s="312"/>
    </row>
    <row r="27" spans="1:3" hidden="1" x14ac:dyDescent="0.35">
      <c r="A27" s="426" t="s">
        <v>607</v>
      </c>
      <c r="B27" s="419">
        <v>0.99919999999999998</v>
      </c>
      <c r="C27" s="312"/>
    </row>
    <row r="28" spans="1:3" hidden="1" x14ac:dyDescent="0.35">
      <c r="A28" s="426" t="s">
        <v>608</v>
      </c>
      <c r="B28" s="419">
        <v>0.99480000000000002</v>
      </c>
    </row>
    <row r="29" spans="1:3" hidden="1" x14ac:dyDescent="0.35">
      <c r="A29" s="426" t="s">
        <v>609</v>
      </c>
      <c r="B29" s="419">
        <v>1</v>
      </c>
    </row>
    <row r="30" spans="1:3" hidden="1" x14ac:dyDescent="0.35">
      <c r="A30" s="426" t="s">
        <v>610</v>
      </c>
      <c r="B30" s="419">
        <v>1</v>
      </c>
    </row>
    <row r="31" spans="1:3" hidden="1" x14ac:dyDescent="0.35">
      <c r="A31" s="426" t="s">
        <v>611</v>
      </c>
      <c r="B31" s="419">
        <v>0.99490000000000001</v>
      </c>
    </row>
    <row r="32" spans="1:3" hidden="1" x14ac:dyDescent="0.35">
      <c r="A32" s="426" t="s">
        <v>612</v>
      </c>
      <c r="B32" s="419">
        <v>0.99750000000000005</v>
      </c>
    </row>
    <row r="33" spans="1:2" hidden="1" x14ac:dyDescent="0.35">
      <c r="A33" s="426" t="s">
        <v>613</v>
      </c>
      <c r="B33" s="419">
        <v>1</v>
      </c>
    </row>
    <row r="34" spans="1:2" hidden="1" x14ac:dyDescent="0.35">
      <c r="A34" s="426" t="s">
        <v>614</v>
      </c>
      <c r="B34" s="419">
        <v>0.999</v>
      </c>
    </row>
    <row r="35" spans="1:2" hidden="1" x14ac:dyDescent="0.35">
      <c r="A35" s="426" t="s">
        <v>615</v>
      </c>
      <c r="B35" s="419">
        <v>0.99739999999999995</v>
      </c>
    </row>
    <row r="36" spans="1:2" hidden="1" x14ac:dyDescent="0.35">
      <c r="A36" s="426" t="s">
        <v>616</v>
      </c>
      <c r="B36" s="419">
        <v>1</v>
      </c>
    </row>
    <row r="37" spans="1:2" hidden="1" x14ac:dyDescent="0.35">
      <c r="A37" s="426" t="s">
        <v>617</v>
      </c>
      <c r="B37" s="419">
        <v>1</v>
      </c>
    </row>
    <row r="38" spans="1:2" hidden="1" x14ac:dyDescent="0.35">
      <c r="A38" s="426" t="s">
        <v>618</v>
      </c>
      <c r="B38" s="419">
        <v>0.99980000000000002</v>
      </c>
    </row>
    <row r="39" spans="1:2" hidden="1" x14ac:dyDescent="0.35">
      <c r="A39" s="426" t="s">
        <v>619</v>
      </c>
      <c r="B39" s="419">
        <v>1</v>
      </c>
    </row>
    <row r="40" spans="1:2" hidden="1" x14ac:dyDescent="0.35">
      <c r="A40" s="426" t="s">
        <v>620</v>
      </c>
      <c r="B40" s="419">
        <v>0.99519999999999997</v>
      </c>
    </row>
    <row r="41" spans="1:2" hidden="1" x14ac:dyDescent="0.35">
      <c r="A41" s="426" t="s">
        <v>621</v>
      </c>
      <c r="B41" s="419">
        <v>0.99780000000000002</v>
      </c>
    </row>
    <row r="42" spans="1:2" hidden="1" x14ac:dyDescent="0.35">
      <c r="A42" s="426" t="s">
        <v>622</v>
      </c>
      <c r="B42" s="419">
        <v>0.99819999999999998</v>
      </c>
    </row>
    <row r="43" spans="1:2" hidden="1" x14ac:dyDescent="0.35">
      <c r="A43" s="426" t="s">
        <v>623</v>
      </c>
      <c r="B43" s="419">
        <v>0.99660000000000004</v>
      </c>
    </row>
    <row r="44" spans="1:2" hidden="1" x14ac:dyDescent="0.35">
      <c r="A44" s="426" t="s">
        <v>624</v>
      </c>
      <c r="B44" s="419">
        <v>1</v>
      </c>
    </row>
    <row r="45" spans="1:2" hidden="1" x14ac:dyDescent="0.35">
      <c r="A45" s="426" t="s">
        <v>625</v>
      </c>
      <c r="B45" s="419">
        <v>1</v>
      </c>
    </row>
    <row r="46" spans="1:2" hidden="1" x14ac:dyDescent="0.35">
      <c r="A46" s="426" t="s">
        <v>626</v>
      </c>
      <c r="B46" s="419">
        <v>0.99619999999999997</v>
      </c>
    </row>
    <row r="47" spans="1:2" hidden="1" x14ac:dyDescent="0.35">
      <c r="A47" s="426" t="s">
        <v>627</v>
      </c>
      <c r="B47" s="419">
        <v>0.99819999999999998</v>
      </c>
    </row>
    <row r="48" spans="1:2" hidden="1" x14ac:dyDescent="0.35">
      <c r="A48" s="426" t="s">
        <v>628</v>
      </c>
      <c r="B48" s="419">
        <v>1</v>
      </c>
    </row>
    <row r="49" spans="1:2" hidden="1" x14ac:dyDescent="0.35">
      <c r="A49" s="426" t="s">
        <v>629</v>
      </c>
      <c r="B49" s="419">
        <v>0.99760000000000004</v>
      </c>
    </row>
    <row r="50" spans="1:2" hidden="1" x14ac:dyDescent="0.35">
      <c r="A50" s="426" t="s">
        <v>630</v>
      </c>
      <c r="B50" s="419">
        <v>1</v>
      </c>
    </row>
    <row r="51" spans="1:2" hidden="1" x14ac:dyDescent="0.35">
      <c r="A51" s="426" t="s">
        <v>631</v>
      </c>
      <c r="B51" s="419">
        <v>1</v>
      </c>
    </row>
    <row r="52" spans="1:2" hidden="1" x14ac:dyDescent="0.35">
      <c r="A52" s="426" t="s">
        <v>632</v>
      </c>
      <c r="B52" s="419">
        <v>1</v>
      </c>
    </row>
    <row r="53" spans="1:2" hidden="1" x14ac:dyDescent="0.35">
      <c r="A53" s="426" t="s">
        <v>633</v>
      </c>
      <c r="B53" s="419">
        <v>0.98880000000000001</v>
      </c>
    </row>
    <row r="54" spans="1:2" hidden="1" x14ac:dyDescent="0.35">
      <c r="A54" s="426" t="s">
        <v>634</v>
      </c>
      <c r="B54" s="419">
        <v>0.99529999999999996</v>
      </c>
    </row>
    <row r="55" spans="1:2" hidden="1" x14ac:dyDescent="0.35">
      <c r="A55" s="426" t="s">
        <v>635</v>
      </c>
      <c r="B55" s="419">
        <v>1</v>
      </c>
    </row>
    <row r="56" spans="1:2" hidden="1" x14ac:dyDescent="0.35">
      <c r="A56" s="426" t="s">
        <v>636</v>
      </c>
      <c r="B56" s="419">
        <v>0.99850000000000005</v>
      </c>
    </row>
    <row r="57" spans="1:2" hidden="1" x14ac:dyDescent="0.35">
      <c r="A57" s="426" t="s">
        <v>637</v>
      </c>
      <c r="B57" s="419">
        <v>0.99360000000000004</v>
      </c>
    </row>
    <row r="58" spans="1:2" hidden="1" x14ac:dyDescent="0.35">
      <c r="A58" s="426" t="s">
        <v>638</v>
      </c>
      <c r="B58" s="419">
        <v>1</v>
      </c>
    </row>
    <row r="59" spans="1:2" hidden="1" x14ac:dyDescent="0.35">
      <c r="A59" s="426" t="s">
        <v>639</v>
      </c>
      <c r="B59" s="419">
        <v>1</v>
      </c>
    </row>
    <row r="60" spans="1:2" hidden="1" x14ac:dyDescent="0.35">
      <c r="A60" s="426" t="s">
        <v>640</v>
      </c>
      <c r="B60" s="419">
        <v>0.99950000000000006</v>
      </c>
    </row>
    <row r="61" spans="1:2" hidden="1" x14ac:dyDescent="0.35">
      <c r="A61" s="426" t="s">
        <v>641</v>
      </c>
      <c r="B61" s="419">
        <v>0.99390000000000001</v>
      </c>
    </row>
    <row r="62" spans="1:2" hidden="1" x14ac:dyDescent="0.35">
      <c r="A62" s="426" t="s">
        <v>642</v>
      </c>
      <c r="B62" s="419">
        <v>0.99919999999999998</v>
      </c>
    </row>
    <row r="63" spans="1:2" hidden="1" x14ac:dyDescent="0.35">
      <c r="A63" s="426" t="s">
        <v>643</v>
      </c>
      <c r="B63" s="419">
        <v>1</v>
      </c>
    </row>
    <row r="64" spans="1:2" hidden="1" x14ac:dyDescent="0.35">
      <c r="A64" s="426" t="s">
        <v>644</v>
      </c>
      <c r="B64" s="419">
        <v>1</v>
      </c>
    </row>
    <row r="65" spans="1:2" hidden="1" x14ac:dyDescent="0.35">
      <c r="A65" s="426" t="s">
        <v>645</v>
      </c>
      <c r="B65" s="419">
        <v>0.99980000000000002</v>
      </c>
    </row>
    <row r="66" spans="1:2" hidden="1" x14ac:dyDescent="0.35">
      <c r="A66" s="426" t="s">
        <v>646</v>
      </c>
      <c r="B66" s="419">
        <v>0.999</v>
      </c>
    </row>
    <row r="67" spans="1:2" hidden="1" x14ac:dyDescent="0.35">
      <c r="A67" s="426" t="s">
        <v>647</v>
      </c>
      <c r="B67" s="419">
        <v>0.99880000000000002</v>
      </c>
    </row>
    <row r="68" spans="1:2" hidden="1" x14ac:dyDescent="0.35">
      <c r="A68" s="426" t="s">
        <v>648</v>
      </c>
      <c r="B68" s="419">
        <v>1</v>
      </c>
    </row>
    <row r="69" spans="1:2" hidden="1" x14ac:dyDescent="0.35">
      <c r="A69" s="426" t="s">
        <v>649</v>
      </c>
      <c r="B69" s="419">
        <v>0.99870000000000003</v>
      </c>
    </row>
    <row r="70" spans="1:2" hidden="1" x14ac:dyDescent="0.35">
      <c r="A70" s="426" t="s">
        <v>650</v>
      </c>
      <c r="B70" s="419">
        <v>1</v>
      </c>
    </row>
    <row r="71" spans="1:2" hidden="1" x14ac:dyDescent="0.35">
      <c r="A71" s="426" t="s">
        <v>651</v>
      </c>
      <c r="B71" s="419">
        <v>1</v>
      </c>
    </row>
    <row r="72" spans="1:2" hidden="1" x14ac:dyDescent="0.35">
      <c r="A72" s="426" t="s">
        <v>652</v>
      </c>
      <c r="B72" s="419">
        <v>0.99019999999999997</v>
      </c>
    </row>
    <row r="73" spans="1:2" hidden="1" x14ac:dyDescent="0.35">
      <c r="A73" s="426" t="s">
        <v>653</v>
      </c>
      <c r="B73" s="419">
        <v>0.99219999999999997</v>
      </c>
    </row>
    <row r="74" spans="1:2" hidden="1" x14ac:dyDescent="0.35">
      <c r="A74" s="426" t="s">
        <v>654</v>
      </c>
      <c r="B74" s="419">
        <v>0.99609999999999999</v>
      </c>
    </row>
    <row r="75" spans="1:2" hidden="1" x14ac:dyDescent="0.35">
      <c r="A75" s="426" t="s">
        <v>655</v>
      </c>
      <c r="B75" s="419">
        <v>1</v>
      </c>
    </row>
    <row r="76" spans="1:2" hidden="1" x14ac:dyDescent="0.35">
      <c r="A76" s="426" t="s">
        <v>656</v>
      </c>
      <c r="B76" s="419">
        <v>0.999</v>
      </c>
    </row>
    <row r="77" spans="1:2" hidden="1" x14ac:dyDescent="0.35">
      <c r="A77" s="426" t="s">
        <v>657</v>
      </c>
      <c r="B77" s="419">
        <v>1</v>
      </c>
    </row>
    <row r="78" spans="1:2" hidden="1" x14ac:dyDescent="0.35">
      <c r="A78" s="426" t="s">
        <v>658</v>
      </c>
      <c r="B78" s="419">
        <v>0.99580000000000002</v>
      </c>
    </row>
    <row r="79" spans="1:2" hidden="1" x14ac:dyDescent="0.35">
      <c r="A79" s="426" t="s">
        <v>659</v>
      </c>
      <c r="B79" s="419">
        <v>0.99619999999999997</v>
      </c>
    </row>
    <row r="80" spans="1:2" hidden="1" x14ac:dyDescent="0.35">
      <c r="A80" s="426" t="s">
        <v>660</v>
      </c>
      <c r="B80" s="419">
        <v>1</v>
      </c>
    </row>
    <row r="81" spans="1:2" hidden="1" x14ac:dyDescent="0.35">
      <c r="A81" s="426" t="s">
        <v>661</v>
      </c>
      <c r="B81" s="419">
        <v>0.99719999999999998</v>
      </c>
    </row>
    <row r="82" spans="1:2" hidden="1" x14ac:dyDescent="0.35">
      <c r="A82" s="426" t="s">
        <v>662</v>
      </c>
      <c r="B82" s="419">
        <v>1</v>
      </c>
    </row>
    <row r="83" spans="1:2" hidden="1" x14ac:dyDescent="0.35">
      <c r="A83" s="426" t="s">
        <v>663</v>
      </c>
      <c r="B83" s="419">
        <v>1</v>
      </c>
    </row>
    <row r="84" spans="1:2" hidden="1" x14ac:dyDescent="0.35">
      <c r="A84" s="426" t="s">
        <v>664</v>
      </c>
      <c r="B84" s="419">
        <v>1</v>
      </c>
    </row>
    <row r="85" spans="1:2" hidden="1" x14ac:dyDescent="0.35">
      <c r="A85" s="426" t="s">
        <v>665</v>
      </c>
      <c r="B85" s="419">
        <v>0.99719999999999998</v>
      </c>
    </row>
    <row r="86" spans="1:2" hidden="1" x14ac:dyDescent="0.35">
      <c r="A86" s="426" t="s">
        <v>666</v>
      </c>
      <c r="B86" s="419">
        <v>0.99360000000000004</v>
      </c>
    </row>
    <row r="87" spans="1:2" hidden="1" x14ac:dyDescent="0.35">
      <c r="A87" s="426" t="s">
        <v>667</v>
      </c>
      <c r="B87" s="419">
        <v>0.99270000000000003</v>
      </c>
    </row>
    <row r="88" spans="1:2" hidden="1" x14ac:dyDescent="0.35">
      <c r="A88" s="426" t="s">
        <v>668</v>
      </c>
      <c r="B88" s="419">
        <v>1</v>
      </c>
    </row>
    <row r="89" spans="1:2" hidden="1" x14ac:dyDescent="0.35">
      <c r="A89" s="426" t="s">
        <v>669</v>
      </c>
      <c r="B89" s="419">
        <v>0.99850000000000005</v>
      </c>
    </row>
    <row r="90" spans="1:2" hidden="1" x14ac:dyDescent="0.35">
      <c r="A90" s="426" t="s">
        <v>670</v>
      </c>
      <c r="B90" s="419">
        <v>1</v>
      </c>
    </row>
    <row r="91" spans="1:2" hidden="1" x14ac:dyDescent="0.35">
      <c r="A91" s="426" t="s">
        <v>671</v>
      </c>
      <c r="B91" s="419">
        <v>0.97550000000000003</v>
      </c>
    </row>
    <row r="92" spans="1:2" hidden="1" x14ac:dyDescent="0.35">
      <c r="A92" s="426" t="s">
        <v>672</v>
      </c>
      <c r="B92" s="419">
        <v>0.99960000000000004</v>
      </c>
    </row>
    <row r="93" spans="1:2" hidden="1" x14ac:dyDescent="0.35">
      <c r="A93" s="426" t="s">
        <v>673</v>
      </c>
      <c r="B93" s="419">
        <v>1</v>
      </c>
    </row>
    <row r="94" spans="1:2" hidden="1" x14ac:dyDescent="0.35">
      <c r="A94" s="426" t="s">
        <v>674</v>
      </c>
      <c r="B94" s="419">
        <v>0.997</v>
      </c>
    </row>
    <row r="95" spans="1:2" hidden="1" x14ac:dyDescent="0.35">
      <c r="A95" s="426" t="s">
        <v>675</v>
      </c>
      <c r="B95" s="419">
        <v>0.99839999999999995</v>
      </c>
    </row>
    <row r="96" spans="1:2" hidden="1" x14ac:dyDescent="0.35">
      <c r="A96" s="426" t="s">
        <v>676</v>
      </c>
      <c r="B96" s="419">
        <v>0.99780000000000002</v>
      </c>
    </row>
    <row r="97" spans="1:2" hidden="1" x14ac:dyDescent="0.35">
      <c r="A97" s="426" t="s">
        <v>677</v>
      </c>
      <c r="B97" s="419">
        <v>0.997</v>
      </c>
    </row>
    <row r="98" spans="1:2" hidden="1" x14ac:dyDescent="0.35">
      <c r="A98" s="426" t="s">
        <v>678</v>
      </c>
      <c r="B98" s="419">
        <v>0.99480000000000002</v>
      </c>
    </row>
    <row r="99" spans="1:2" hidden="1" x14ac:dyDescent="0.35">
      <c r="A99" s="426" t="s">
        <v>679</v>
      </c>
      <c r="B99" s="419">
        <v>0.99950000000000006</v>
      </c>
    </row>
    <row r="100" spans="1:2" hidden="1" x14ac:dyDescent="0.35">
      <c r="A100" s="426" t="s">
        <v>680</v>
      </c>
      <c r="B100" s="419">
        <v>0.99970000000000003</v>
      </c>
    </row>
    <row r="101" spans="1:2" hidden="1" x14ac:dyDescent="0.35">
      <c r="A101" s="426" t="s">
        <v>681</v>
      </c>
      <c r="B101" s="419">
        <v>0.99880000000000002</v>
      </c>
    </row>
    <row r="102" spans="1:2" hidden="1" x14ac:dyDescent="0.35">
      <c r="A102" s="426" t="s">
        <v>682</v>
      </c>
      <c r="B102" s="419">
        <v>1</v>
      </c>
    </row>
    <row r="103" spans="1:2" hidden="1" x14ac:dyDescent="0.35">
      <c r="A103" s="426" t="s">
        <v>683</v>
      </c>
      <c r="B103" s="419">
        <v>0.99639999999999995</v>
      </c>
    </row>
    <row r="104" spans="1:2" hidden="1" x14ac:dyDescent="0.35">
      <c r="A104" s="426" t="s">
        <v>684</v>
      </c>
      <c r="B104" s="419">
        <v>0.99939999999999996</v>
      </c>
    </row>
    <row r="105" spans="1:2" hidden="1" x14ac:dyDescent="0.35">
      <c r="A105" s="426" t="s">
        <v>685</v>
      </c>
      <c r="B105" s="419">
        <v>1</v>
      </c>
    </row>
    <row r="106" spans="1:2" hidden="1" x14ac:dyDescent="0.35">
      <c r="A106" s="426" t="s">
        <v>686</v>
      </c>
      <c r="B106" s="419">
        <v>0.99880000000000002</v>
      </c>
    </row>
    <row r="107" spans="1:2" hidden="1" x14ac:dyDescent="0.35">
      <c r="A107" s="426" t="s">
        <v>687</v>
      </c>
      <c r="B107" s="419">
        <v>0.99039999999999995</v>
      </c>
    </row>
    <row r="108" spans="1:2" hidden="1" x14ac:dyDescent="0.35">
      <c r="A108" s="426" t="s">
        <v>688</v>
      </c>
      <c r="B108" s="419">
        <v>0.99809999999999999</v>
      </c>
    </row>
    <row r="109" spans="1:2" hidden="1" x14ac:dyDescent="0.35">
      <c r="A109" s="426" t="s">
        <v>689</v>
      </c>
      <c r="B109" s="419">
        <v>0.99519999999999997</v>
      </c>
    </row>
    <row r="110" spans="1:2" hidden="1" x14ac:dyDescent="0.35">
      <c r="A110" s="426" t="s">
        <v>690</v>
      </c>
      <c r="B110" s="419">
        <v>0.99770000000000003</v>
      </c>
    </row>
    <row r="111" spans="1:2" hidden="1" x14ac:dyDescent="0.35">
      <c r="A111" s="426" t="s">
        <v>691</v>
      </c>
      <c r="B111" s="419">
        <v>0.99790000000000001</v>
      </c>
    </row>
    <row r="112" spans="1:2" hidden="1" x14ac:dyDescent="0.35">
      <c r="A112" s="426" t="s">
        <v>692</v>
      </c>
      <c r="B112" s="419">
        <v>1</v>
      </c>
    </row>
    <row r="113" spans="1:2" hidden="1" x14ac:dyDescent="0.35">
      <c r="A113" s="426" t="s">
        <v>693</v>
      </c>
      <c r="B113" s="419">
        <v>0.99990000000000001</v>
      </c>
    </row>
    <row r="114" spans="1:2" hidden="1" x14ac:dyDescent="0.35">
      <c r="A114" s="426" t="s">
        <v>694</v>
      </c>
      <c r="B114" s="419">
        <v>0.99970000000000003</v>
      </c>
    </row>
    <row r="115" spans="1:2" hidden="1" x14ac:dyDescent="0.35">
      <c r="A115" s="426" t="s">
        <v>695</v>
      </c>
      <c r="B115" s="419">
        <v>0.98570000000000002</v>
      </c>
    </row>
    <row r="116" spans="1:2" hidden="1" x14ac:dyDescent="0.35">
      <c r="A116" s="426" t="s">
        <v>696</v>
      </c>
      <c r="B116" s="419">
        <v>1</v>
      </c>
    </row>
    <row r="117" spans="1:2" hidden="1" x14ac:dyDescent="0.35">
      <c r="A117" s="426" t="s">
        <v>697</v>
      </c>
      <c r="B117" s="419">
        <v>0.99860000000000004</v>
      </c>
    </row>
    <row r="118" spans="1:2" hidden="1" x14ac:dyDescent="0.35">
      <c r="A118" s="426" t="s">
        <v>698</v>
      </c>
      <c r="B118" s="419">
        <v>1</v>
      </c>
    </row>
    <row r="119" spans="1:2" hidden="1" x14ac:dyDescent="0.35">
      <c r="A119" s="426" t="s">
        <v>699</v>
      </c>
      <c r="B119" s="419">
        <v>1</v>
      </c>
    </row>
    <row r="120" spans="1:2" hidden="1" x14ac:dyDescent="0.35">
      <c r="A120" s="426" t="s">
        <v>700</v>
      </c>
      <c r="B120" s="419">
        <v>1</v>
      </c>
    </row>
    <row r="121" spans="1:2" hidden="1" x14ac:dyDescent="0.35">
      <c r="A121" s="426" t="s">
        <v>701</v>
      </c>
      <c r="B121" s="419">
        <v>0.97019999999999995</v>
      </c>
    </row>
    <row r="122" spans="1:2" hidden="1" x14ac:dyDescent="0.35">
      <c r="A122" s="426" t="s">
        <v>702</v>
      </c>
      <c r="B122" s="419">
        <v>1</v>
      </c>
    </row>
    <row r="123" spans="1:2" hidden="1" x14ac:dyDescent="0.35">
      <c r="A123" s="426" t="s">
        <v>703</v>
      </c>
      <c r="B123" s="419">
        <v>0.99560000000000004</v>
      </c>
    </row>
    <row r="124" spans="1:2" hidden="1" x14ac:dyDescent="0.35">
      <c r="A124" s="426" t="s">
        <v>704</v>
      </c>
      <c r="B124" s="419">
        <v>0.99209999999999998</v>
      </c>
    </row>
    <row r="125" spans="1:2" hidden="1" x14ac:dyDescent="0.35">
      <c r="A125" s="426" t="s">
        <v>705</v>
      </c>
      <c r="B125" s="419">
        <v>0.99990000000000001</v>
      </c>
    </row>
    <row r="126" spans="1:2" hidden="1" x14ac:dyDescent="0.35">
      <c r="A126" s="426" t="s">
        <v>706</v>
      </c>
      <c r="B126" s="419">
        <v>0.99950000000000006</v>
      </c>
    </row>
    <row r="127" spans="1:2" hidden="1" x14ac:dyDescent="0.35">
      <c r="A127" s="426" t="s">
        <v>707</v>
      </c>
      <c r="B127" s="419">
        <v>1</v>
      </c>
    </row>
    <row r="128" spans="1:2" hidden="1" x14ac:dyDescent="0.35">
      <c r="A128" s="426" t="s">
        <v>708</v>
      </c>
      <c r="B128" s="419">
        <v>1</v>
      </c>
    </row>
    <row r="129" spans="1:2" hidden="1" x14ac:dyDescent="0.35">
      <c r="A129" s="426" t="s">
        <v>709</v>
      </c>
      <c r="B129" s="419">
        <v>0.99490000000000001</v>
      </c>
    </row>
    <row r="130" spans="1:2" hidden="1" x14ac:dyDescent="0.35">
      <c r="A130" s="426" t="s">
        <v>710</v>
      </c>
      <c r="B130" s="419">
        <v>0.99809999999999999</v>
      </c>
    </row>
    <row r="131" spans="1:2" hidden="1" x14ac:dyDescent="0.35">
      <c r="A131" s="426" t="s">
        <v>711</v>
      </c>
      <c r="B131" s="419">
        <v>0.99970000000000003</v>
      </c>
    </row>
    <row r="132" spans="1:2" hidden="1" x14ac:dyDescent="0.35">
      <c r="A132" s="426" t="s">
        <v>712</v>
      </c>
      <c r="B132" s="419">
        <v>0.98870000000000002</v>
      </c>
    </row>
    <row r="133" spans="1:2" hidden="1" x14ac:dyDescent="0.35">
      <c r="A133" s="426" t="s">
        <v>713</v>
      </c>
      <c r="B133" s="419">
        <v>1</v>
      </c>
    </row>
    <row r="134" spans="1:2" hidden="1" x14ac:dyDescent="0.35">
      <c r="A134" s="426" t="s">
        <v>714</v>
      </c>
      <c r="B134" s="419">
        <v>1</v>
      </c>
    </row>
    <row r="135" spans="1:2" hidden="1" x14ac:dyDescent="0.35">
      <c r="A135" s="426" t="s">
        <v>715</v>
      </c>
      <c r="B135" s="419">
        <v>0.99860000000000004</v>
      </c>
    </row>
    <row r="136" spans="1:2" hidden="1" x14ac:dyDescent="0.35">
      <c r="A136" s="426" t="s">
        <v>716</v>
      </c>
      <c r="B136" s="419">
        <v>1</v>
      </c>
    </row>
    <row r="137" spans="1:2" hidden="1" x14ac:dyDescent="0.35">
      <c r="A137" s="426" t="s">
        <v>717</v>
      </c>
      <c r="B137" s="419">
        <v>0.97</v>
      </c>
    </row>
    <row r="138" spans="1:2" hidden="1" x14ac:dyDescent="0.35">
      <c r="A138" s="426" t="s">
        <v>718</v>
      </c>
      <c r="B138" s="419">
        <v>1</v>
      </c>
    </row>
    <row r="139" spans="1:2" hidden="1" x14ac:dyDescent="0.35">
      <c r="A139" s="426" t="s">
        <v>719</v>
      </c>
      <c r="B139" s="419">
        <v>0.99829999999999997</v>
      </c>
    </row>
    <row r="140" spans="1:2" hidden="1" x14ac:dyDescent="0.35">
      <c r="A140" s="426" t="s">
        <v>720</v>
      </c>
      <c r="B140" s="419">
        <v>0.99860000000000004</v>
      </c>
    </row>
    <row r="141" spans="1:2" hidden="1" x14ac:dyDescent="0.35">
      <c r="A141" s="426" t="s">
        <v>721</v>
      </c>
      <c r="B141" s="419">
        <v>0.99590000000000001</v>
      </c>
    </row>
    <row r="142" spans="1:2" hidden="1" x14ac:dyDescent="0.35">
      <c r="A142" s="426" t="s">
        <v>722</v>
      </c>
      <c r="B142" s="419">
        <v>0.99970000000000003</v>
      </c>
    </row>
    <row r="143" spans="1:2" hidden="1" x14ac:dyDescent="0.35">
      <c r="A143" s="426" t="s">
        <v>723</v>
      </c>
      <c r="B143" s="419">
        <v>0.99329999999999996</v>
      </c>
    </row>
    <row r="144" spans="1:2" hidden="1" x14ac:dyDescent="0.35">
      <c r="A144" s="426" t="s">
        <v>724</v>
      </c>
      <c r="B144" s="419">
        <v>1</v>
      </c>
    </row>
    <row r="145" spans="1:2" hidden="1" x14ac:dyDescent="0.35">
      <c r="A145" s="426" t="s">
        <v>725</v>
      </c>
      <c r="B145" s="419">
        <v>0.99690000000000001</v>
      </c>
    </row>
    <row r="146" spans="1:2" hidden="1" x14ac:dyDescent="0.35">
      <c r="A146" s="426" t="s">
        <v>726</v>
      </c>
      <c r="B146" s="419">
        <v>0.99990000000000001</v>
      </c>
    </row>
    <row r="147" spans="1:2" hidden="1" x14ac:dyDescent="0.35">
      <c r="A147" s="426" t="s">
        <v>727</v>
      </c>
      <c r="B147" s="419">
        <v>1</v>
      </c>
    </row>
    <row r="148" spans="1:2" hidden="1" x14ac:dyDescent="0.35">
      <c r="A148" s="426" t="s">
        <v>728</v>
      </c>
      <c r="B148" s="419">
        <v>0.99919999999999998</v>
      </c>
    </row>
    <row r="149" spans="1:2" hidden="1" x14ac:dyDescent="0.35">
      <c r="A149" s="426" t="s">
        <v>729</v>
      </c>
      <c r="B149" s="419">
        <v>1</v>
      </c>
    </row>
    <row r="150" spans="1:2" hidden="1" x14ac:dyDescent="0.35">
      <c r="A150" s="426" t="s">
        <v>730</v>
      </c>
      <c r="B150" s="419">
        <v>0.99890000000000001</v>
      </c>
    </row>
    <row r="151" spans="1:2" hidden="1" x14ac:dyDescent="0.35">
      <c r="A151" s="426" t="s">
        <v>731</v>
      </c>
      <c r="B151" s="419">
        <v>1</v>
      </c>
    </row>
    <row r="152" spans="1:2" hidden="1" x14ac:dyDescent="0.35">
      <c r="A152" s="426" t="s">
        <v>732</v>
      </c>
      <c r="B152" s="419">
        <v>1</v>
      </c>
    </row>
    <row r="153" spans="1:2" hidden="1" x14ac:dyDescent="0.35">
      <c r="A153" s="426" t="s">
        <v>733</v>
      </c>
      <c r="B153" s="419">
        <v>1</v>
      </c>
    </row>
    <row r="154" spans="1:2" hidden="1" x14ac:dyDescent="0.35">
      <c r="A154" s="426" t="s">
        <v>734</v>
      </c>
      <c r="B154" s="419">
        <v>1</v>
      </c>
    </row>
    <row r="155" spans="1:2" hidden="1" x14ac:dyDescent="0.35">
      <c r="A155" s="426" t="s">
        <v>735</v>
      </c>
      <c r="B155" s="419">
        <v>1</v>
      </c>
    </row>
    <row r="156" spans="1:2" hidden="1" x14ac:dyDescent="0.35">
      <c r="A156" s="426" t="s">
        <v>736</v>
      </c>
      <c r="B156" s="419">
        <v>0.99660000000000004</v>
      </c>
    </row>
    <row r="157" spans="1:2" hidden="1" x14ac:dyDescent="0.35">
      <c r="A157" s="426" t="s">
        <v>737</v>
      </c>
      <c r="B157" s="419">
        <v>0.99860000000000004</v>
      </c>
    </row>
    <row r="158" spans="1:2" hidden="1" x14ac:dyDescent="0.35">
      <c r="A158" s="426" t="s">
        <v>738</v>
      </c>
      <c r="B158" s="419">
        <v>0.99490000000000001</v>
      </c>
    </row>
    <row r="159" spans="1:2" hidden="1" x14ac:dyDescent="0.35">
      <c r="A159" s="426" t="s">
        <v>739</v>
      </c>
      <c r="B159" s="419">
        <v>0.99760000000000004</v>
      </c>
    </row>
    <row r="160" spans="1:2" hidden="1" x14ac:dyDescent="0.35">
      <c r="A160" s="426" t="s">
        <v>740</v>
      </c>
      <c r="B160" s="419">
        <v>0.99960000000000004</v>
      </c>
    </row>
    <row r="161" spans="1:2" hidden="1" x14ac:dyDescent="0.35">
      <c r="A161" s="426" t="s">
        <v>741</v>
      </c>
      <c r="B161" s="419">
        <v>0.99099999999999999</v>
      </c>
    </row>
    <row r="162" spans="1:2" hidden="1" x14ac:dyDescent="0.35">
      <c r="A162" s="426" t="s">
        <v>742</v>
      </c>
      <c r="B162" s="419">
        <v>0.99850000000000005</v>
      </c>
    </row>
    <row r="163" spans="1:2" hidden="1" x14ac:dyDescent="0.35">
      <c r="A163" s="426" t="s">
        <v>743</v>
      </c>
      <c r="B163" s="419">
        <v>0.99909999999999999</v>
      </c>
    </row>
    <row r="164" spans="1:2" hidden="1" x14ac:dyDescent="0.35">
      <c r="A164" s="426" t="s">
        <v>744</v>
      </c>
      <c r="B164" s="419">
        <v>0.99960000000000004</v>
      </c>
    </row>
    <row r="165" spans="1:2" hidden="1" x14ac:dyDescent="0.35">
      <c r="A165" s="426" t="s">
        <v>745</v>
      </c>
      <c r="B165" s="419">
        <v>1</v>
      </c>
    </row>
    <row r="166" spans="1:2" hidden="1" x14ac:dyDescent="0.35">
      <c r="A166" s="426" t="s">
        <v>746</v>
      </c>
      <c r="B166" s="419">
        <v>0.99970000000000003</v>
      </c>
    </row>
    <row r="167" spans="1:2" hidden="1" x14ac:dyDescent="0.35">
      <c r="A167" s="426" t="s">
        <v>747</v>
      </c>
      <c r="B167" s="419">
        <v>0.99309999999999998</v>
      </c>
    </row>
    <row r="168" spans="1:2" hidden="1" x14ac:dyDescent="0.35">
      <c r="A168" s="426" t="s">
        <v>748</v>
      </c>
      <c r="B168" s="419">
        <v>0.99839999999999995</v>
      </c>
    </row>
    <row r="169" spans="1:2" hidden="1" x14ac:dyDescent="0.35">
      <c r="A169" s="426" t="s">
        <v>749</v>
      </c>
      <c r="B169" s="419">
        <v>0.99839999999999995</v>
      </c>
    </row>
    <row r="170" spans="1:2" hidden="1" x14ac:dyDescent="0.35">
      <c r="A170" s="426" t="s">
        <v>750</v>
      </c>
      <c r="B170" s="419">
        <v>0.99239999999999995</v>
      </c>
    </row>
    <row r="171" spans="1:2" hidden="1" x14ac:dyDescent="0.35">
      <c r="A171" s="426" t="s">
        <v>751</v>
      </c>
      <c r="B171" s="419">
        <v>0.996</v>
      </c>
    </row>
    <row r="172" spans="1:2" hidden="1" x14ac:dyDescent="0.35">
      <c r="A172" s="426" t="s">
        <v>752</v>
      </c>
      <c r="B172" s="419">
        <v>0.99299999999999999</v>
      </c>
    </row>
    <row r="173" spans="1:2" hidden="1" x14ac:dyDescent="0.35">
      <c r="A173" s="426" t="s">
        <v>753</v>
      </c>
      <c r="B173" s="419">
        <v>0.98929999999999996</v>
      </c>
    </row>
    <row r="174" spans="1:2" hidden="1" x14ac:dyDescent="0.35">
      <c r="A174" s="426" t="s">
        <v>754</v>
      </c>
      <c r="B174" s="419">
        <v>0.996</v>
      </c>
    </row>
    <row r="175" spans="1:2" hidden="1" x14ac:dyDescent="0.35">
      <c r="A175" s="426" t="s">
        <v>755</v>
      </c>
      <c r="B175" s="419">
        <v>0.99719999999999998</v>
      </c>
    </row>
    <row r="176" spans="1:2" hidden="1" x14ac:dyDescent="0.35">
      <c r="A176" s="426" t="s">
        <v>756</v>
      </c>
      <c r="B176" s="419">
        <v>1</v>
      </c>
    </row>
    <row r="177" spans="1:2" hidden="1" x14ac:dyDescent="0.35">
      <c r="A177" s="426" t="s">
        <v>757</v>
      </c>
      <c r="B177" s="419">
        <v>0.99809999999999999</v>
      </c>
    </row>
    <row r="178" spans="1:2" hidden="1" x14ac:dyDescent="0.35">
      <c r="A178" s="426" t="s">
        <v>758</v>
      </c>
      <c r="B178" s="419">
        <v>0.99690000000000001</v>
      </c>
    </row>
    <row r="179" spans="1:2" hidden="1" x14ac:dyDescent="0.35">
      <c r="A179" s="426" t="s">
        <v>759</v>
      </c>
      <c r="B179" s="419">
        <v>0.99380000000000002</v>
      </c>
    </row>
    <row r="180" spans="1:2" hidden="1" x14ac:dyDescent="0.35">
      <c r="A180" s="426" t="s">
        <v>760</v>
      </c>
      <c r="B180" s="419">
        <v>0.99819999999999998</v>
      </c>
    </row>
    <row r="181" spans="1:2" hidden="1" x14ac:dyDescent="0.35">
      <c r="A181" s="426" t="s">
        <v>761</v>
      </c>
      <c r="B181" s="419">
        <v>0.99819999999999998</v>
      </c>
    </row>
    <row r="182" spans="1:2" hidden="1" x14ac:dyDescent="0.35">
      <c r="A182" s="426" t="s">
        <v>762</v>
      </c>
      <c r="B182" s="419">
        <v>0.99250000000000005</v>
      </c>
    </row>
    <row r="183" spans="1:2" hidden="1" x14ac:dyDescent="0.35">
      <c r="A183" s="426" t="s">
        <v>763</v>
      </c>
      <c r="B183" s="419">
        <v>0.99839999999999995</v>
      </c>
    </row>
    <row r="184" spans="1:2" hidden="1" x14ac:dyDescent="0.35">
      <c r="A184" s="426" t="s">
        <v>764</v>
      </c>
      <c r="B184" s="419">
        <v>0.99919999999999998</v>
      </c>
    </row>
    <row r="185" spans="1:2" hidden="1" x14ac:dyDescent="0.35">
      <c r="A185" s="426" t="s">
        <v>765</v>
      </c>
      <c r="B185" s="419">
        <v>0.9778</v>
      </c>
    </row>
    <row r="186" spans="1:2" hidden="1" x14ac:dyDescent="0.35">
      <c r="A186" s="426" t="s">
        <v>766</v>
      </c>
      <c r="B186" s="419">
        <v>0.99980000000000002</v>
      </c>
    </row>
    <row r="187" spans="1:2" hidden="1" x14ac:dyDescent="0.35">
      <c r="A187" s="426" t="s">
        <v>767</v>
      </c>
      <c r="B187" s="419">
        <v>0.99809999999999999</v>
      </c>
    </row>
    <row r="188" spans="1:2" hidden="1" x14ac:dyDescent="0.35">
      <c r="A188" s="426" t="s">
        <v>768</v>
      </c>
      <c r="B188" s="419">
        <v>0.99819999999999998</v>
      </c>
    </row>
    <row r="189" spans="1:2" hidden="1" x14ac:dyDescent="0.35">
      <c r="A189" s="426" t="s">
        <v>769</v>
      </c>
      <c r="B189" s="419">
        <v>0.99780000000000002</v>
      </c>
    </row>
    <row r="190" spans="1:2" hidden="1" x14ac:dyDescent="0.35">
      <c r="A190" s="426" t="s">
        <v>770</v>
      </c>
      <c r="B190" s="419">
        <v>0.98809999999999998</v>
      </c>
    </row>
    <row r="191" spans="1:2" hidden="1" x14ac:dyDescent="0.35">
      <c r="A191" s="426" t="s">
        <v>771</v>
      </c>
      <c r="B191" s="419">
        <v>0.99990000000000001</v>
      </c>
    </row>
    <row r="192" spans="1:2" hidden="1" x14ac:dyDescent="0.35">
      <c r="A192" s="426" t="s">
        <v>772</v>
      </c>
      <c r="B192" s="419">
        <v>0.99070000000000003</v>
      </c>
    </row>
    <row r="193" spans="1:2" hidden="1" x14ac:dyDescent="0.35">
      <c r="A193" s="426" t="s">
        <v>773</v>
      </c>
      <c r="B193" s="419">
        <v>0.99970000000000003</v>
      </c>
    </row>
    <row r="194" spans="1:2" hidden="1" x14ac:dyDescent="0.35">
      <c r="A194" s="426" t="s">
        <v>774</v>
      </c>
      <c r="B194" s="419">
        <v>1</v>
      </c>
    </row>
    <row r="195" spans="1:2" hidden="1" x14ac:dyDescent="0.35">
      <c r="A195" s="426" t="s">
        <v>775</v>
      </c>
      <c r="B195" s="419">
        <v>1</v>
      </c>
    </row>
    <row r="196" spans="1:2" hidden="1" x14ac:dyDescent="0.35">
      <c r="A196" s="426" t="s">
        <v>776</v>
      </c>
      <c r="B196" s="419">
        <v>0.99650000000000005</v>
      </c>
    </row>
    <row r="197" spans="1:2" hidden="1" x14ac:dyDescent="0.35">
      <c r="A197" s="426" t="s">
        <v>777</v>
      </c>
      <c r="B197" s="419">
        <v>0.99739999999999995</v>
      </c>
    </row>
    <row r="198" spans="1:2" hidden="1" x14ac:dyDescent="0.35">
      <c r="A198" s="426" t="s">
        <v>778</v>
      </c>
      <c r="B198" s="419">
        <v>0.99819999999999998</v>
      </c>
    </row>
    <row r="199" spans="1:2" hidden="1" x14ac:dyDescent="0.35">
      <c r="A199" s="426" t="s">
        <v>779</v>
      </c>
      <c r="B199" s="419">
        <v>1</v>
      </c>
    </row>
    <row r="200" spans="1:2" hidden="1" x14ac:dyDescent="0.35">
      <c r="A200" s="426" t="s">
        <v>780</v>
      </c>
      <c r="B200" s="419">
        <v>0.99390000000000001</v>
      </c>
    </row>
    <row r="201" spans="1:2" hidden="1" x14ac:dyDescent="0.35">
      <c r="A201" s="426" t="s">
        <v>781</v>
      </c>
      <c r="B201" s="419">
        <v>0.99929999999999997</v>
      </c>
    </row>
    <row r="202" spans="1:2" hidden="1" x14ac:dyDescent="0.35">
      <c r="A202" s="426" t="s">
        <v>782</v>
      </c>
      <c r="B202" s="419">
        <v>0.99990000000000001</v>
      </c>
    </row>
    <row r="203" spans="1:2" hidden="1" x14ac:dyDescent="0.35">
      <c r="A203" s="426" t="s">
        <v>783</v>
      </c>
      <c r="B203" s="419">
        <v>1</v>
      </c>
    </row>
    <row r="204" spans="1:2" hidden="1" x14ac:dyDescent="0.35">
      <c r="A204" s="426" t="s">
        <v>784</v>
      </c>
      <c r="B204" s="419">
        <v>0.99490000000000001</v>
      </c>
    </row>
    <row r="205" spans="1:2" hidden="1" x14ac:dyDescent="0.35">
      <c r="A205" s="426" t="s">
        <v>785</v>
      </c>
      <c r="B205" s="419">
        <v>1</v>
      </c>
    </row>
    <row r="206" spans="1:2" hidden="1" x14ac:dyDescent="0.35">
      <c r="A206" s="426" t="s">
        <v>786</v>
      </c>
      <c r="B206" s="419">
        <v>1</v>
      </c>
    </row>
    <row r="207" spans="1:2" hidden="1" x14ac:dyDescent="0.35">
      <c r="A207" s="426" t="s">
        <v>787</v>
      </c>
      <c r="B207" s="419">
        <v>0.99960000000000004</v>
      </c>
    </row>
    <row r="208" spans="1:2" hidden="1" x14ac:dyDescent="0.35">
      <c r="A208" s="426" t="s">
        <v>788</v>
      </c>
      <c r="B208" s="419">
        <v>0.99439999999999995</v>
      </c>
    </row>
    <row r="209" spans="1:2" hidden="1" x14ac:dyDescent="0.35">
      <c r="A209" s="426" t="s">
        <v>789</v>
      </c>
      <c r="B209" s="419">
        <v>0.99829999999999997</v>
      </c>
    </row>
    <row r="210" spans="1:2" hidden="1" x14ac:dyDescent="0.35">
      <c r="A210" s="426" t="s">
        <v>790</v>
      </c>
      <c r="B210" s="419">
        <v>0.99909999999999999</v>
      </c>
    </row>
    <row r="211" spans="1:2" hidden="1" x14ac:dyDescent="0.35">
      <c r="A211" s="426" t="s">
        <v>791</v>
      </c>
      <c r="B211" s="419">
        <v>0.99939999999999996</v>
      </c>
    </row>
    <row r="212" spans="1:2" hidden="1" x14ac:dyDescent="0.35">
      <c r="A212" s="426" t="s">
        <v>792</v>
      </c>
      <c r="B212" s="419">
        <v>1</v>
      </c>
    </row>
    <row r="213" spans="1:2" hidden="1" x14ac:dyDescent="0.35">
      <c r="A213" s="426" t="s">
        <v>793</v>
      </c>
      <c r="B213" s="419">
        <v>0.98839999999999995</v>
      </c>
    </row>
    <row r="214" spans="1:2" hidden="1" x14ac:dyDescent="0.35">
      <c r="A214" s="426" t="s">
        <v>794</v>
      </c>
      <c r="B214" s="419">
        <v>0.99790000000000001</v>
      </c>
    </row>
    <row r="215" spans="1:2" hidden="1" x14ac:dyDescent="0.35">
      <c r="A215" s="426" t="s">
        <v>795</v>
      </c>
      <c r="B215" s="419">
        <v>0.99419999999999997</v>
      </c>
    </row>
    <row r="216" spans="1:2" hidden="1" x14ac:dyDescent="0.35">
      <c r="A216" s="426" t="s">
        <v>796</v>
      </c>
      <c r="B216" s="419">
        <v>0.9829</v>
      </c>
    </row>
    <row r="217" spans="1:2" hidden="1" x14ac:dyDescent="0.35">
      <c r="A217" s="426" t="s">
        <v>797</v>
      </c>
      <c r="B217" s="419">
        <v>1</v>
      </c>
    </row>
    <row r="218" spans="1:2" hidden="1" x14ac:dyDescent="0.35">
      <c r="A218" s="426" t="s">
        <v>798</v>
      </c>
      <c r="B218" s="419">
        <v>1</v>
      </c>
    </row>
    <row r="219" spans="1:2" hidden="1" x14ac:dyDescent="0.35">
      <c r="A219" s="426" t="s">
        <v>799</v>
      </c>
      <c r="B219" s="419">
        <v>0.99980000000000002</v>
      </c>
    </row>
    <row r="220" spans="1:2" hidden="1" x14ac:dyDescent="0.35">
      <c r="A220" s="426" t="s">
        <v>800</v>
      </c>
      <c r="B220" s="419">
        <v>0.99909999999999999</v>
      </c>
    </row>
    <row r="221" spans="1:2" hidden="1" x14ac:dyDescent="0.35">
      <c r="A221" s="426" t="s">
        <v>801</v>
      </c>
      <c r="B221" s="419">
        <v>0.999</v>
      </c>
    </row>
    <row r="222" spans="1:2" hidden="1" x14ac:dyDescent="0.35">
      <c r="A222" s="426" t="s">
        <v>802</v>
      </c>
      <c r="B222" s="419">
        <v>1</v>
      </c>
    </row>
    <row r="223" spans="1:2" hidden="1" x14ac:dyDescent="0.35">
      <c r="A223" s="426" t="s">
        <v>803</v>
      </c>
      <c r="B223" s="419">
        <v>0.99960000000000004</v>
      </c>
    </row>
    <row r="224" spans="1:2" hidden="1" x14ac:dyDescent="0.35">
      <c r="A224" s="426" t="s">
        <v>804</v>
      </c>
      <c r="B224" s="419">
        <v>0.99609999999999999</v>
      </c>
    </row>
    <row r="225" spans="1:2" hidden="1" x14ac:dyDescent="0.35">
      <c r="A225" s="426" t="s">
        <v>805</v>
      </c>
      <c r="B225" s="419">
        <v>0.99890000000000001</v>
      </c>
    </row>
    <row r="226" spans="1:2" hidden="1" x14ac:dyDescent="0.35">
      <c r="A226" s="426" t="s">
        <v>806</v>
      </c>
      <c r="B226" s="419">
        <v>0.99</v>
      </c>
    </row>
    <row r="227" spans="1:2" hidden="1" x14ac:dyDescent="0.35">
      <c r="A227" s="426" t="s">
        <v>807</v>
      </c>
      <c r="B227" s="419">
        <v>0.99590000000000001</v>
      </c>
    </row>
    <row r="228" spans="1:2" hidden="1" x14ac:dyDescent="0.35">
      <c r="A228" s="426" t="s">
        <v>808</v>
      </c>
      <c r="B228" s="419">
        <v>0.99870000000000003</v>
      </c>
    </row>
    <row r="229" spans="1:2" hidden="1" x14ac:dyDescent="0.35">
      <c r="A229" s="426" t="s">
        <v>809</v>
      </c>
      <c r="B229" s="419">
        <v>1</v>
      </c>
    </row>
    <row r="230" spans="1:2" hidden="1" x14ac:dyDescent="0.35">
      <c r="A230" s="426" t="s">
        <v>810</v>
      </c>
      <c r="B230" s="419">
        <v>0.99790000000000001</v>
      </c>
    </row>
    <row r="231" spans="1:2" hidden="1" x14ac:dyDescent="0.35">
      <c r="A231" s="426" t="s">
        <v>811</v>
      </c>
      <c r="B231" s="419">
        <v>1</v>
      </c>
    </row>
    <row r="232" spans="1:2" hidden="1" x14ac:dyDescent="0.35">
      <c r="A232" s="426" t="s">
        <v>812</v>
      </c>
      <c r="B232" s="419">
        <v>1</v>
      </c>
    </row>
    <row r="233" spans="1:2" hidden="1" x14ac:dyDescent="0.35">
      <c r="A233" s="426" t="s">
        <v>813</v>
      </c>
      <c r="B233" s="419">
        <v>1</v>
      </c>
    </row>
    <row r="234" spans="1:2" hidden="1" x14ac:dyDescent="0.35">
      <c r="A234" s="426" t="s">
        <v>814</v>
      </c>
      <c r="B234" s="419">
        <v>1</v>
      </c>
    </row>
    <row r="235" spans="1:2" hidden="1" x14ac:dyDescent="0.35">
      <c r="A235" s="426" t="s">
        <v>815</v>
      </c>
      <c r="B235" s="419">
        <v>0.99860000000000004</v>
      </c>
    </row>
    <row r="236" spans="1:2" hidden="1" x14ac:dyDescent="0.35">
      <c r="A236" s="426" t="s">
        <v>816</v>
      </c>
      <c r="B236" s="419">
        <v>1</v>
      </c>
    </row>
    <row r="237" spans="1:2" hidden="1" x14ac:dyDescent="0.35">
      <c r="A237" s="426" t="s">
        <v>817</v>
      </c>
      <c r="B237" s="419">
        <v>0.99809999999999999</v>
      </c>
    </row>
    <row r="238" spans="1:2" hidden="1" x14ac:dyDescent="0.35">
      <c r="A238" s="426" t="s">
        <v>818</v>
      </c>
      <c r="B238" s="419">
        <v>0.99980000000000002</v>
      </c>
    </row>
    <row r="239" spans="1:2" hidden="1" x14ac:dyDescent="0.35">
      <c r="A239" s="426" t="s">
        <v>819</v>
      </c>
      <c r="B239" s="419">
        <v>0.9889</v>
      </c>
    </row>
    <row r="240" spans="1:2" hidden="1" x14ac:dyDescent="0.35">
      <c r="A240" s="426" t="s">
        <v>820</v>
      </c>
      <c r="B240" s="419">
        <v>0.99680000000000002</v>
      </c>
    </row>
    <row r="241" spans="1:2" hidden="1" x14ac:dyDescent="0.35">
      <c r="A241" s="426" t="s">
        <v>821</v>
      </c>
      <c r="B241" s="419">
        <v>0.99990000000000001</v>
      </c>
    </row>
    <row r="242" spans="1:2" hidden="1" x14ac:dyDescent="0.35">
      <c r="A242" s="426" t="s">
        <v>822</v>
      </c>
      <c r="B242" s="419">
        <v>0.99419999999999997</v>
      </c>
    </row>
    <row r="243" spans="1:2" hidden="1" x14ac:dyDescent="0.35">
      <c r="A243" s="426" t="s">
        <v>823</v>
      </c>
      <c r="B243" s="419">
        <v>0.996</v>
      </c>
    </row>
    <row r="244" spans="1:2" hidden="1" x14ac:dyDescent="0.35">
      <c r="A244" s="426" t="s">
        <v>824</v>
      </c>
      <c r="B244" s="419">
        <v>0.99470000000000003</v>
      </c>
    </row>
    <row r="245" spans="1:2" hidden="1" x14ac:dyDescent="0.35">
      <c r="A245" s="426" t="s">
        <v>825</v>
      </c>
      <c r="B245" s="419">
        <v>1</v>
      </c>
    </row>
    <row r="246" spans="1:2" hidden="1" x14ac:dyDescent="0.35">
      <c r="A246" s="426" t="s">
        <v>826</v>
      </c>
      <c r="B246" s="419">
        <v>0.999</v>
      </c>
    </row>
    <row r="247" spans="1:2" hidden="1" x14ac:dyDescent="0.35">
      <c r="A247" s="426" t="s">
        <v>827</v>
      </c>
      <c r="B247" s="419">
        <v>0.99880000000000002</v>
      </c>
    </row>
    <row r="248" spans="1:2" hidden="1" x14ac:dyDescent="0.35">
      <c r="A248" s="426" t="s">
        <v>828</v>
      </c>
      <c r="B248" s="419">
        <v>0.99990000000000001</v>
      </c>
    </row>
    <row r="249" spans="1:2" hidden="1" x14ac:dyDescent="0.35">
      <c r="A249" s="426" t="s">
        <v>829</v>
      </c>
      <c r="B249" s="419">
        <v>0.99560000000000004</v>
      </c>
    </row>
    <row r="250" spans="1:2" hidden="1" x14ac:dyDescent="0.35">
      <c r="A250" s="426" t="s">
        <v>830</v>
      </c>
      <c r="B250" s="419">
        <v>0.99780000000000002</v>
      </c>
    </row>
    <row r="251" spans="1:2" hidden="1" x14ac:dyDescent="0.35">
      <c r="A251" s="426" t="s">
        <v>831</v>
      </c>
      <c r="B251" s="419">
        <v>0.99980000000000002</v>
      </c>
    </row>
    <row r="252" spans="1:2" hidden="1" x14ac:dyDescent="0.35">
      <c r="A252" s="426" t="s">
        <v>832</v>
      </c>
      <c r="B252" s="419">
        <v>1</v>
      </c>
    </row>
    <row r="253" spans="1:2" hidden="1" x14ac:dyDescent="0.35">
      <c r="A253" s="426" t="s">
        <v>833</v>
      </c>
      <c r="B253" s="419">
        <v>0.99719999999999998</v>
      </c>
    </row>
    <row r="254" spans="1:2" hidden="1" x14ac:dyDescent="0.35">
      <c r="A254" s="426" t="s">
        <v>834</v>
      </c>
      <c r="B254" s="419">
        <v>1</v>
      </c>
    </row>
    <row r="255" spans="1:2" hidden="1" x14ac:dyDescent="0.35">
      <c r="A255" s="426" t="s">
        <v>835</v>
      </c>
      <c r="B255" s="419">
        <v>0.99390000000000001</v>
      </c>
    </row>
    <row r="256" spans="1:2" hidden="1" x14ac:dyDescent="0.35">
      <c r="A256" s="426" t="s">
        <v>836</v>
      </c>
      <c r="B256" s="419">
        <v>1</v>
      </c>
    </row>
    <row r="257" spans="1:2" hidden="1" x14ac:dyDescent="0.35">
      <c r="A257" s="426" t="s">
        <v>837</v>
      </c>
      <c r="B257" s="419">
        <v>0.99660000000000004</v>
      </c>
    </row>
    <row r="258" spans="1:2" hidden="1" x14ac:dyDescent="0.35">
      <c r="A258" s="426" t="s">
        <v>838</v>
      </c>
      <c r="B258" s="419">
        <v>1</v>
      </c>
    </row>
    <row r="259" spans="1:2" hidden="1" x14ac:dyDescent="0.35">
      <c r="A259" s="426" t="s">
        <v>839</v>
      </c>
      <c r="B259" s="419">
        <v>0.99839999999999995</v>
      </c>
    </row>
    <row r="260" spans="1:2" hidden="1" x14ac:dyDescent="0.35">
      <c r="A260" s="426" t="s">
        <v>840</v>
      </c>
      <c r="B260" s="419">
        <v>0.99770000000000003</v>
      </c>
    </row>
    <row r="261" spans="1:2" hidden="1" x14ac:dyDescent="0.35">
      <c r="A261" s="426" t="s">
        <v>841</v>
      </c>
      <c r="B261" s="419">
        <v>0.99919999999999998</v>
      </c>
    </row>
    <row r="262" spans="1:2" hidden="1" x14ac:dyDescent="0.35">
      <c r="A262" s="426" t="s">
        <v>842</v>
      </c>
      <c r="B262" s="419">
        <v>0.99429999999999996</v>
      </c>
    </row>
    <row r="263" spans="1:2" hidden="1" x14ac:dyDescent="0.35">
      <c r="A263" s="426" t="s">
        <v>843</v>
      </c>
      <c r="B263" s="419">
        <v>0.99519999999999997</v>
      </c>
    </row>
    <row r="264" spans="1:2" hidden="1" x14ac:dyDescent="0.35">
      <c r="A264" s="426" t="s">
        <v>844</v>
      </c>
      <c r="B264" s="419">
        <v>0.99860000000000004</v>
      </c>
    </row>
    <row r="265" spans="1:2" hidden="1" x14ac:dyDescent="0.35">
      <c r="A265" s="426" t="s">
        <v>845</v>
      </c>
      <c r="B265" s="419">
        <v>0.99419999999999997</v>
      </c>
    </row>
    <row r="266" spans="1:2" hidden="1" x14ac:dyDescent="0.35">
      <c r="A266" s="426" t="s">
        <v>846</v>
      </c>
      <c r="B266" s="419">
        <v>0.99909999999999999</v>
      </c>
    </row>
    <row r="267" spans="1:2" hidden="1" x14ac:dyDescent="0.35">
      <c r="A267" s="426" t="s">
        <v>847</v>
      </c>
      <c r="B267" s="419">
        <v>0.99870000000000003</v>
      </c>
    </row>
    <row r="268" spans="1:2" hidden="1" x14ac:dyDescent="0.35">
      <c r="A268" s="426" t="s">
        <v>848</v>
      </c>
      <c r="B268" s="419">
        <v>0.99950000000000006</v>
      </c>
    </row>
    <row r="269" spans="1:2" hidden="1" x14ac:dyDescent="0.35">
      <c r="A269" s="426" t="s">
        <v>849</v>
      </c>
      <c r="B269" s="419">
        <v>0.99839999999999995</v>
      </c>
    </row>
    <row r="270" spans="1:2" hidden="1" x14ac:dyDescent="0.35">
      <c r="A270" s="426" t="s">
        <v>850</v>
      </c>
      <c r="B270" s="419">
        <v>0.99719999999999998</v>
      </c>
    </row>
    <row r="271" spans="1:2" hidden="1" x14ac:dyDescent="0.35">
      <c r="A271" s="426" t="s">
        <v>851</v>
      </c>
      <c r="B271" s="419">
        <v>0.99960000000000004</v>
      </c>
    </row>
    <row r="272" spans="1:2" hidden="1" x14ac:dyDescent="0.35">
      <c r="A272" s="426" t="s">
        <v>852</v>
      </c>
      <c r="B272" s="419">
        <v>0.99950000000000006</v>
      </c>
    </row>
    <row r="273" spans="1:2" hidden="1" x14ac:dyDescent="0.35">
      <c r="A273" s="426" t="s">
        <v>853</v>
      </c>
      <c r="B273" s="419">
        <v>1</v>
      </c>
    </row>
    <row r="274" spans="1:2" hidden="1" x14ac:dyDescent="0.35">
      <c r="A274" s="426" t="s">
        <v>854</v>
      </c>
      <c r="B274" s="419">
        <v>0.99939999999999996</v>
      </c>
    </row>
    <row r="275" spans="1:2" hidden="1" x14ac:dyDescent="0.35">
      <c r="A275" s="426" t="s">
        <v>855</v>
      </c>
      <c r="B275" s="419">
        <v>1</v>
      </c>
    </row>
    <row r="276" spans="1:2" hidden="1" x14ac:dyDescent="0.35">
      <c r="A276" s="426" t="s">
        <v>856</v>
      </c>
      <c r="B276" s="419">
        <v>1</v>
      </c>
    </row>
    <row r="277" spans="1:2" hidden="1" x14ac:dyDescent="0.35">
      <c r="A277" s="426" t="s">
        <v>857</v>
      </c>
      <c r="B277" s="419">
        <v>0.99570000000000003</v>
      </c>
    </row>
    <row r="278" spans="1:2" hidden="1" x14ac:dyDescent="0.35">
      <c r="A278" s="426" t="s">
        <v>858</v>
      </c>
      <c r="B278" s="419">
        <v>0.99890000000000001</v>
      </c>
    </row>
    <row r="279" spans="1:2" hidden="1" x14ac:dyDescent="0.35">
      <c r="A279" s="426" t="s">
        <v>859</v>
      </c>
      <c r="B279" s="419">
        <v>0.99829999999999997</v>
      </c>
    </row>
    <row r="280" spans="1:2" hidden="1" x14ac:dyDescent="0.35">
      <c r="A280" s="426" t="s">
        <v>860</v>
      </c>
      <c r="B280" s="419">
        <v>0.99570000000000003</v>
      </c>
    </row>
    <row r="281" spans="1:2" hidden="1" x14ac:dyDescent="0.35">
      <c r="A281" s="426" t="s">
        <v>861</v>
      </c>
      <c r="B281" s="419">
        <v>1</v>
      </c>
    </row>
    <row r="282" spans="1:2" hidden="1" x14ac:dyDescent="0.35">
      <c r="A282" s="426" t="s">
        <v>862</v>
      </c>
      <c r="B282" s="419">
        <v>0.99919999999999998</v>
      </c>
    </row>
    <row r="283" spans="1:2" hidden="1" x14ac:dyDescent="0.35">
      <c r="A283" s="426" t="s">
        <v>863</v>
      </c>
      <c r="B283" s="419">
        <v>0.99909999999999999</v>
      </c>
    </row>
    <row r="284" spans="1:2" hidden="1" x14ac:dyDescent="0.35">
      <c r="A284" s="426" t="s">
        <v>864</v>
      </c>
      <c r="B284" s="419">
        <v>0.99770000000000003</v>
      </c>
    </row>
    <row r="285" spans="1:2" hidden="1" x14ac:dyDescent="0.35">
      <c r="A285" s="426" t="s">
        <v>865</v>
      </c>
      <c r="B285" s="419">
        <v>0.99339999999999995</v>
      </c>
    </row>
    <row r="286" spans="1:2" hidden="1" x14ac:dyDescent="0.35">
      <c r="A286" s="426" t="s">
        <v>866</v>
      </c>
      <c r="B286" s="419">
        <v>1</v>
      </c>
    </row>
    <row r="287" spans="1:2" hidden="1" x14ac:dyDescent="0.35">
      <c r="A287" s="426" t="s">
        <v>867</v>
      </c>
      <c r="B287" s="419">
        <v>0.99470000000000003</v>
      </c>
    </row>
    <row r="288" spans="1:2" hidden="1" x14ac:dyDescent="0.35">
      <c r="A288" s="426" t="s">
        <v>868</v>
      </c>
      <c r="B288" s="419">
        <v>0.99970000000000003</v>
      </c>
    </row>
    <row r="289" spans="1:2" hidden="1" x14ac:dyDescent="0.35">
      <c r="A289" s="426" t="s">
        <v>869</v>
      </c>
      <c r="B289" s="419">
        <v>0.999</v>
      </c>
    </row>
    <row r="290" spans="1:2" hidden="1" x14ac:dyDescent="0.35">
      <c r="A290" s="426" t="s">
        <v>870</v>
      </c>
      <c r="B290" s="419">
        <v>1</v>
      </c>
    </row>
    <row r="291" spans="1:2" hidden="1" x14ac:dyDescent="0.35">
      <c r="A291" s="426" t="s">
        <v>871</v>
      </c>
      <c r="B291" s="419">
        <v>0.99880000000000002</v>
      </c>
    </row>
    <row r="292" spans="1:2" hidden="1" x14ac:dyDescent="0.35">
      <c r="A292" s="426" t="s">
        <v>872</v>
      </c>
      <c r="B292" s="419">
        <v>0.98750000000000004</v>
      </c>
    </row>
    <row r="293" spans="1:2" hidden="1" x14ac:dyDescent="0.35">
      <c r="A293" s="426" t="s">
        <v>873</v>
      </c>
      <c r="B293" s="419">
        <v>0.99990000000000001</v>
      </c>
    </row>
    <row r="294" spans="1:2" hidden="1" x14ac:dyDescent="0.35">
      <c r="A294" s="426" t="s">
        <v>874</v>
      </c>
      <c r="B294" s="419">
        <v>0.99629999999999996</v>
      </c>
    </row>
    <row r="295" spans="1:2" hidden="1" x14ac:dyDescent="0.35">
      <c r="A295" s="426" t="s">
        <v>875</v>
      </c>
      <c r="B295" s="419">
        <v>0.99939999999999996</v>
      </c>
    </row>
    <row r="296" spans="1:2" hidden="1" x14ac:dyDescent="0.35">
      <c r="A296" s="426" t="s">
        <v>876</v>
      </c>
      <c r="B296" s="419">
        <v>0.99639999999999995</v>
      </c>
    </row>
    <row r="297" spans="1:2" hidden="1" x14ac:dyDescent="0.35">
      <c r="A297" s="426" t="s">
        <v>877</v>
      </c>
      <c r="B297" s="419">
        <v>1</v>
      </c>
    </row>
    <row r="298" spans="1:2" hidden="1" x14ac:dyDescent="0.35">
      <c r="A298" s="426" t="s">
        <v>878</v>
      </c>
      <c r="B298" s="419">
        <v>0.99960000000000004</v>
      </c>
    </row>
    <row r="299" spans="1:2" hidden="1" x14ac:dyDescent="0.35">
      <c r="A299" s="426" t="s">
        <v>879</v>
      </c>
      <c r="B299" s="419">
        <v>0.99819999999999998</v>
      </c>
    </row>
    <row r="300" spans="1:2" hidden="1" x14ac:dyDescent="0.35">
      <c r="A300" s="426" t="s">
        <v>880</v>
      </c>
      <c r="B300" s="419">
        <v>0.99929999999999997</v>
      </c>
    </row>
    <row r="301" spans="1:2" hidden="1" x14ac:dyDescent="0.35">
      <c r="A301" s="426" t="s">
        <v>881</v>
      </c>
      <c r="B301" s="419">
        <v>0.99970000000000003</v>
      </c>
    </row>
    <row r="302" spans="1:2" hidden="1" x14ac:dyDescent="0.35">
      <c r="A302" s="426" t="s">
        <v>882</v>
      </c>
      <c r="B302" s="419">
        <v>0.99980000000000002</v>
      </c>
    </row>
    <row r="303" spans="1:2" hidden="1" x14ac:dyDescent="0.35">
      <c r="A303" s="426" t="s">
        <v>883</v>
      </c>
      <c r="B303" s="419">
        <v>0.99939999999999996</v>
      </c>
    </row>
    <row r="304" spans="1:2" hidden="1" x14ac:dyDescent="0.35">
      <c r="A304" s="426" t="s">
        <v>884</v>
      </c>
      <c r="B304" s="419">
        <v>0.99519999999999997</v>
      </c>
    </row>
    <row r="305" spans="1:2" hidden="1" x14ac:dyDescent="0.35">
      <c r="A305" s="426" t="s">
        <v>885</v>
      </c>
      <c r="B305" s="419">
        <v>0.99529999999999996</v>
      </c>
    </row>
    <row r="306" spans="1:2" hidden="1" x14ac:dyDescent="0.35">
      <c r="A306" s="426" t="s">
        <v>886</v>
      </c>
      <c r="B306" s="419">
        <v>0.99580000000000002</v>
      </c>
    </row>
    <row r="307" spans="1:2" hidden="1" x14ac:dyDescent="0.35">
      <c r="A307" s="426" t="s">
        <v>887</v>
      </c>
      <c r="B307" s="419">
        <v>1</v>
      </c>
    </row>
    <row r="308" spans="1:2" hidden="1" x14ac:dyDescent="0.35">
      <c r="A308" s="426" t="s">
        <v>888</v>
      </c>
      <c r="B308" s="419">
        <v>0.99919999999999998</v>
      </c>
    </row>
    <row r="309" spans="1:2" hidden="1" x14ac:dyDescent="0.35">
      <c r="A309" s="426" t="s">
        <v>889</v>
      </c>
      <c r="B309" s="419">
        <v>0.99870000000000003</v>
      </c>
    </row>
    <row r="310" spans="1:2" hidden="1" x14ac:dyDescent="0.35">
      <c r="A310" s="426" t="s">
        <v>890</v>
      </c>
      <c r="B310" s="419">
        <v>1</v>
      </c>
    </row>
    <row r="311" spans="1:2" hidden="1" x14ac:dyDescent="0.35">
      <c r="A311" s="426" t="s">
        <v>891</v>
      </c>
      <c r="B311" s="419">
        <v>0.99860000000000004</v>
      </c>
    </row>
    <row r="312" spans="1:2" hidden="1" x14ac:dyDescent="0.35">
      <c r="A312" s="426" t="s">
        <v>892</v>
      </c>
      <c r="B312" s="419">
        <v>0.99360000000000004</v>
      </c>
    </row>
    <row r="313" spans="1:2" hidden="1" x14ac:dyDescent="0.35">
      <c r="A313" s="426" t="s">
        <v>893</v>
      </c>
      <c r="B313" s="419">
        <v>1</v>
      </c>
    </row>
    <row r="314" spans="1:2" hidden="1" x14ac:dyDescent="0.35">
      <c r="A314" s="426" t="s">
        <v>894</v>
      </c>
      <c r="B314" s="419">
        <v>0.99829999999999997</v>
      </c>
    </row>
    <row r="315" spans="1:2" hidden="1" x14ac:dyDescent="0.35">
      <c r="A315" s="426" t="s">
        <v>895</v>
      </c>
      <c r="B315" s="419">
        <v>0.99980000000000002</v>
      </c>
    </row>
    <row r="316" spans="1:2" hidden="1" x14ac:dyDescent="0.35">
      <c r="A316" s="426" t="s">
        <v>896</v>
      </c>
      <c r="B316" s="419">
        <v>1</v>
      </c>
    </row>
    <row r="317" spans="1:2" hidden="1" x14ac:dyDescent="0.35">
      <c r="A317" s="426" t="s">
        <v>897</v>
      </c>
      <c r="B317" s="419">
        <v>0.99990000000000001</v>
      </c>
    </row>
    <row r="318" spans="1:2" hidden="1" x14ac:dyDescent="0.35">
      <c r="A318" s="426" t="s">
        <v>898</v>
      </c>
      <c r="B318" s="419">
        <v>1</v>
      </c>
    </row>
    <row r="319" spans="1:2" hidden="1" x14ac:dyDescent="0.35">
      <c r="A319" s="426" t="s">
        <v>899</v>
      </c>
      <c r="B319" s="419">
        <v>0.99980000000000002</v>
      </c>
    </row>
    <row r="320" spans="1:2" hidden="1" x14ac:dyDescent="0.35">
      <c r="A320" s="426" t="s">
        <v>900</v>
      </c>
      <c r="B320" s="419">
        <v>0.99939999999999996</v>
      </c>
    </row>
    <row r="321" spans="1:2" hidden="1" x14ac:dyDescent="0.35">
      <c r="A321" s="426" t="s">
        <v>901</v>
      </c>
      <c r="B321" s="419">
        <v>1</v>
      </c>
    </row>
    <row r="322" spans="1:2" hidden="1" x14ac:dyDescent="0.35">
      <c r="A322" s="426" t="s">
        <v>902</v>
      </c>
      <c r="B322" s="419">
        <v>0.99890000000000001</v>
      </c>
    </row>
    <row r="323" spans="1:2" hidden="1" x14ac:dyDescent="0.35">
      <c r="A323" s="426" t="s">
        <v>903</v>
      </c>
      <c r="B323" s="419">
        <v>0.99590000000000001</v>
      </c>
    </row>
    <row r="324" spans="1:2" hidden="1" x14ac:dyDescent="0.35">
      <c r="A324" s="426" t="s">
        <v>904</v>
      </c>
      <c r="B324" s="419">
        <v>0.99870000000000003</v>
      </c>
    </row>
    <row r="325" spans="1:2" hidden="1" x14ac:dyDescent="0.35">
      <c r="A325" s="426" t="s">
        <v>905</v>
      </c>
      <c r="B325" s="419">
        <v>1</v>
      </c>
    </row>
    <row r="326" spans="1:2" hidden="1" x14ac:dyDescent="0.35">
      <c r="A326" s="426" t="s">
        <v>906</v>
      </c>
      <c r="B326" s="419">
        <v>1</v>
      </c>
    </row>
    <row r="327" spans="1:2" hidden="1" x14ac:dyDescent="0.35">
      <c r="A327" s="426" t="s">
        <v>907</v>
      </c>
      <c r="B327" s="419">
        <v>0.99950000000000006</v>
      </c>
    </row>
    <row r="328" spans="1:2" hidden="1" x14ac:dyDescent="0.35">
      <c r="A328" s="426" t="s">
        <v>908</v>
      </c>
      <c r="B328" s="419">
        <v>1</v>
      </c>
    </row>
    <row r="329" spans="1:2" hidden="1" x14ac:dyDescent="0.35">
      <c r="A329" s="426" t="s">
        <v>909</v>
      </c>
      <c r="B329" s="419">
        <v>0.99739999999999995</v>
      </c>
    </row>
    <row r="330" spans="1:2" hidden="1" x14ac:dyDescent="0.35">
      <c r="A330" s="426" t="s">
        <v>910</v>
      </c>
      <c r="B330" s="419">
        <v>1</v>
      </c>
    </row>
    <row r="331" spans="1:2" hidden="1" x14ac:dyDescent="0.35">
      <c r="A331" s="426" t="s">
        <v>911</v>
      </c>
      <c r="B331" s="419">
        <v>0.99929999999999997</v>
      </c>
    </row>
    <row r="332" spans="1:2" hidden="1" x14ac:dyDescent="0.35">
      <c r="A332" s="426" t="s">
        <v>912</v>
      </c>
      <c r="B332" s="419">
        <v>0.99560000000000004</v>
      </c>
    </row>
    <row r="333" spans="1:2" hidden="1" x14ac:dyDescent="0.35">
      <c r="A333" s="426" t="s">
        <v>913</v>
      </c>
      <c r="B333" s="419">
        <v>0.99890000000000001</v>
      </c>
    </row>
    <row r="334" spans="1:2" hidden="1" x14ac:dyDescent="0.35">
      <c r="A334" s="426" t="s">
        <v>914</v>
      </c>
      <c r="B334" s="419">
        <v>1</v>
      </c>
    </row>
    <row r="335" spans="1:2" hidden="1" x14ac:dyDescent="0.35">
      <c r="A335" s="426" t="s">
        <v>915</v>
      </c>
      <c r="B335" s="419">
        <v>0.99960000000000004</v>
      </c>
    </row>
    <row r="336" spans="1:2" hidden="1" x14ac:dyDescent="0.35">
      <c r="A336" s="426" t="s">
        <v>916</v>
      </c>
      <c r="B336" s="419">
        <v>0.99919999999999998</v>
      </c>
    </row>
    <row r="337" spans="1:2" hidden="1" x14ac:dyDescent="0.35">
      <c r="A337" s="426" t="s">
        <v>917</v>
      </c>
      <c r="B337" s="419">
        <v>1</v>
      </c>
    </row>
    <row r="338" spans="1:2" hidden="1" x14ac:dyDescent="0.35">
      <c r="A338" s="426" t="s">
        <v>918</v>
      </c>
      <c r="B338" s="419">
        <v>0.99890000000000001</v>
      </c>
    </row>
    <row r="339" spans="1:2" hidden="1" x14ac:dyDescent="0.35">
      <c r="A339" s="426" t="s">
        <v>919</v>
      </c>
      <c r="B339" s="419">
        <v>1</v>
      </c>
    </row>
    <row r="340" spans="1:2" hidden="1" x14ac:dyDescent="0.35">
      <c r="A340" s="426" t="s">
        <v>920</v>
      </c>
      <c r="B340" s="419">
        <v>0.99719999999999998</v>
      </c>
    </row>
    <row r="341" spans="1:2" hidden="1" x14ac:dyDescent="0.35">
      <c r="A341" s="426" t="s">
        <v>921</v>
      </c>
      <c r="B341" s="419">
        <v>0.99709999999999999</v>
      </c>
    </row>
    <row r="342" spans="1:2" hidden="1" x14ac:dyDescent="0.35">
      <c r="A342" s="426" t="s">
        <v>922</v>
      </c>
      <c r="B342" s="419">
        <v>0.99909999999999999</v>
      </c>
    </row>
    <row r="343" spans="1:2" hidden="1" x14ac:dyDescent="0.35">
      <c r="A343" s="426" t="s">
        <v>923</v>
      </c>
      <c r="B343" s="419">
        <v>1</v>
      </c>
    </row>
    <row r="344" spans="1:2" hidden="1" x14ac:dyDescent="0.35">
      <c r="A344" s="426" t="s">
        <v>924</v>
      </c>
      <c r="B344" s="419">
        <v>0.99960000000000004</v>
      </c>
    </row>
    <row r="345" spans="1:2" hidden="1" x14ac:dyDescent="0.35">
      <c r="A345" s="426" t="s">
        <v>925</v>
      </c>
      <c r="B345" s="419">
        <v>0.998</v>
      </c>
    </row>
    <row r="346" spans="1:2" hidden="1" x14ac:dyDescent="0.35">
      <c r="A346" s="426" t="s">
        <v>926</v>
      </c>
      <c r="B346" s="419">
        <v>0.99280000000000002</v>
      </c>
    </row>
    <row r="347" spans="1:2" hidden="1" x14ac:dyDescent="0.35">
      <c r="A347" s="426" t="s">
        <v>927</v>
      </c>
      <c r="B347" s="419">
        <v>0.99890000000000001</v>
      </c>
    </row>
    <row r="348" spans="1:2" hidden="1" x14ac:dyDescent="0.35">
      <c r="A348" s="426" t="s">
        <v>928</v>
      </c>
      <c r="B348" s="419">
        <v>0.99339999999999995</v>
      </c>
    </row>
    <row r="349" spans="1:2" hidden="1" x14ac:dyDescent="0.35">
      <c r="A349" s="426" t="s">
        <v>929</v>
      </c>
      <c r="B349" s="419">
        <v>1</v>
      </c>
    </row>
    <row r="350" spans="1:2" hidden="1" x14ac:dyDescent="0.35">
      <c r="A350" s="426" t="s">
        <v>930</v>
      </c>
      <c r="B350" s="419">
        <v>0.99639999999999995</v>
      </c>
    </row>
    <row r="351" spans="1:2" hidden="1" x14ac:dyDescent="0.35">
      <c r="A351" s="426" t="s">
        <v>931</v>
      </c>
      <c r="B351" s="419">
        <v>0.99780000000000002</v>
      </c>
    </row>
    <row r="352" spans="1:2" hidden="1" x14ac:dyDescent="0.35">
      <c r="A352" s="426" t="s">
        <v>932</v>
      </c>
      <c r="B352" s="419">
        <v>0.99819999999999998</v>
      </c>
    </row>
    <row r="353" spans="1:2" hidden="1" x14ac:dyDescent="0.35">
      <c r="A353" s="426" t="s">
        <v>933</v>
      </c>
      <c r="B353" s="419">
        <v>0.99719999999999998</v>
      </c>
    </row>
    <row r="354" spans="1:2" hidden="1" x14ac:dyDescent="0.35">
      <c r="A354" s="426" t="s">
        <v>934</v>
      </c>
      <c r="B354" s="419">
        <v>1</v>
      </c>
    </row>
    <row r="355" spans="1:2" hidden="1" x14ac:dyDescent="0.35">
      <c r="A355" s="426" t="s">
        <v>935</v>
      </c>
      <c r="B355" s="419">
        <v>0.99170000000000003</v>
      </c>
    </row>
    <row r="356" spans="1:2" hidden="1" x14ac:dyDescent="0.35">
      <c r="A356" s="426" t="s">
        <v>936</v>
      </c>
      <c r="B356" s="419">
        <v>0.99719999999999998</v>
      </c>
    </row>
    <row r="357" spans="1:2" hidden="1" x14ac:dyDescent="0.35">
      <c r="A357" s="426" t="s">
        <v>937</v>
      </c>
      <c r="B357" s="419">
        <v>0.99719999999999998</v>
      </c>
    </row>
    <row r="358" spans="1:2" hidden="1" x14ac:dyDescent="0.35">
      <c r="A358" s="426" t="s">
        <v>938</v>
      </c>
      <c r="B358" s="419">
        <v>0.99439999999999995</v>
      </c>
    </row>
    <row r="359" spans="1:2" hidden="1" x14ac:dyDescent="0.35">
      <c r="A359" s="426" t="s">
        <v>939</v>
      </c>
      <c r="B359" s="419">
        <v>0.99850000000000005</v>
      </c>
    </row>
    <row r="360" spans="1:2" hidden="1" x14ac:dyDescent="0.35">
      <c r="A360" s="426" t="s">
        <v>940</v>
      </c>
      <c r="B360" s="419">
        <v>0.99819999999999998</v>
      </c>
    </row>
    <row r="361" spans="1:2" hidden="1" x14ac:dyDescent="0.35">
      <c r="A361" s="426" t="s">
        <v>941</v>
      </c>
      <c r="B361" s="419">
        <v>0.99539999999999995</v>
      </c>
    </row>
    <row r="362" spans="1:2" hidden="1" x14ac:dyDescent="0.35">
      <c r="A362" s="426" t="s">
        <v>942</v>
      </c>
      <c r="B362" s="419">
        <v>1</v>
      </c>
    </row>
    <row r="363" spans="1:2" hidden="1" x14ac:dyDescent="0.35">
      <c r="A363" s="426" t="s">
        <v>943</v>
      </c>
      <c r="B363" s="419">
        <v>0.98229999999999995</v>
      </c>
    </row>
    <row r="364" spans="1:2" hidden="1" x14ac:dyDescent="0.35">
      <c r="A364" s="426" t="s">
        <v>944</v>
      </c>
      <c r="B364" s="419">
        <v>0.99870000000000003</v>
      </c>
    </row>
    <row r="365" spans="1:2" hidden="1" x14ac:dyDescent="0.35">
      <c r="A365" s="426" t="s">
        <v>945</v>
      </c>
      <c r="B365" s="419">
        <v>1</v>
      </c>
    </row>
    <row r="366" spans="1:2" hidden="1" x14ac:dyDescent="0.35">
      <c r="A366" s="426" t="s">
        <v>946</v>
      </c>
      <c r="B366" s="419">
        <v>0.99970000000000003</v>
      </c>
    </row>
    <row r="367" spans="1:2" hidden="1" x14ac:dyDescent="0.35">
      <c r="A367" s="426" t="s">
        <v>947</v>
      </c>
      <c r="B367" s="419">
        <v>1</v>
      </c>
    </row>
    <row r="368" spans="1:2" hidden="1" x14ac:dyDescent="0.35">
      <c r="A368" s="426" t="s">
        <v>948</v>
      </c>
      <c r="B368" s="419">
        <v>0.99739999999999995</v>
      </c>
    </row>
    <row r="369" spans="1:2" hidden="1" x14ac:dyDescent="0.35">
      <c r="A369" s="426" t="s">
        <v>949</v>
      </c>
      <c r="B369" s="419">
        <v>0.99870000000000003</v>
      </c>
    </row>
    <row r="370" spans="1:2" hidden="1" x14ac:dyDescent="0.35">
      <c r="A370" s="426" t="s">
        <v>950</v>
      </c>
      <c r="B370" s="419">
        <v>0.99829999999999997</v>
      </c>
    </row>
    <row r="371" spans="1:2" hidden="1" x14ac:dyDescent="0.35">
      <c r="A371" s="426" t="s">
        <v>951</v>
      </c>
      <c r="B371" s="419">
        <v>0.99219999999999997</v>
      </c>
    </row>
    <row r="372" spans="1:2" hidden="1" x14ac:dyDescent="0.35">
      <c r="A372" s="426" t="s">
        <v>952</v>
      </c>
      <c r="B372" s="419">
        <v>0.99829999999999997</v>
      </c>
    </row>
    <row r="373" spans="1:2" hidden="1" x14ac:dyDescent="0.35">
      <c r="A373" s="426" t="s">
        <v>953</v>
      </c>
      <c r="B373" s="419">
        <v>1</v>
      </c>
    </row>
    <row r="374" spans="1:2" hidden="1" x14ac:dyDescent="0.35">
      <c r="A374" s="426" t="s">
        <v>954</v>
      </c>
      <c r="B374" s="419">
        <v>0.99780000000000002</v>
      </c>
    </row>
    <row r="375" spans="1:2" hidden="1" x14ac:dyDescent="0.35">
      <c r="A375" s="426" t="s">
        <v>955</v>
      </c>
      <c r="B375" s="419">
        <v>0.98340000000000005</v>
      </c>
    </row>
    <row r="376" spans="1:2" hidden="1" x14ac:dyDescent="0.35">
      <c r="A376" s="426" t="s">
        <v>956</v>
      </c>
      <c r="B376" s="419">
        <v>0.99990000000000001</v>
      </c>
    </row>
    <row r="377" spans="1:2" hidden="1" x14ac:dyDescent="0.35">
      <c r="A377" s="426" t="s">
        <v>957</v>
      </c>
      <c r="B377" s="419">
        <v>0.99929999999999997</v>
      </c>
    </row>
    <row r="378" spans="1:2" hidden="1" x14ac:dyDescent="0.35">
      <c r="A378" s="426" t="s">
        <v>958</v>
      </c>
      <c r="B378" s="419">
        <v>0.99109999999999998</v>
      </c>
    </row>
    <row r="379" spans="1:2" hidden="1" x14ac:dyDescent="0.35">
      <c r="A379" s="426" t="s">
        <v>959</v>
      </c>
      <c r="B379" s="419">
        <v>0.99770000000000003</v>
      </c>
    </row>
    <row r="380" spans="1:2" hidden="1" x14ac:dyDescent="0.35">
      <c r="A380" s="426" t="s">
        <v>960</v>
      </c>
      <c r="B380" s="419">
        <v>1</v>
      </c>
    </row>
    <row r="381" spans="1:2" hidden="1" x14ac:dyDescent="0.35">
      <c r="A381" s="426" t="s">
        <v>961</v>
      </c>
      <c r="B381" s="419">
        <v>0.998</v>
      </c>
    </row>
    <row r="382" spans="1:2" hidden="1" x14ac:dyDescent="0.35">
      <c r="A382" s="426" t="s">
        <v>962</v>
      </c>
      <c r="B382" s="419">
        <v>1</v>
      </c>
    </row>
    <row r="383" spans="1:2" hidden="1" x14ac:dyDescent="0.35">
      <c r="A383" s="426" t="s">
        <v>963</v>
      </c>
      <c r="B383" s="419">
        <v>1</v>
      </c>
    </row>
    <row r="384" spans="1:2" hidden="1" x14ac:dyDescent="0.35">
      <c r="A384" s="426" t="s">
        <v>964</v>
      </c>
      <c r="B384" s="419">
        <v>0.99739999999999995</v>
      </c>
    </row>
    <row r="385" spans="1:2" hidden="1" x14ac:dyDescent="0.35">
      <c r="A385" s="426" t="s">
        <v>965</v>
      </c>
      <c r="B385" s="419">
        <v>0.99719999999999998</v>
      </c>
    </row>
    <row r="386" spans="1:2" hidden="1" x14ac:dyDescent="0.35">
      <c r="A386" s="426" t="s">
        <v>966</v>
      </c>
      <c r="B386" s="419">
        <v>1</v>
      </c>
    </row>
    <row r="387" spans="1:2" hidden="1" x14ac:dyDescent="0.35">
      <c r="A387" s="426" t="s">
        <v>967</v>
      </c>
      <c r="B387" s="419">
        <v>1</v>
      </c>
    </row>
    <row r="388" spans="1:2" hidden="1" x14ac:dyDescent="0.35">
      <c r="A388" s="426" t="s">
        <v>968</v>
      </c>
      <c r="B388" s="419">
        <v>0.99970000000000003</v>
      </c>
    </row>
    <row r="389" spans="1:2" hidden="1" x14ac:dyDescent="0.35">
      <c r="A389" s="426" t="s">
        <v>969</v>
      </c>
      <c r="B389" s="419">
        <v>0.99670000000000003</v>
      </c>
    </row>
    <row r="390" spans="1:2" hidden="1" x14ac:dyDescent="0.35">
      <c r="A390" s="426" t="s">
        <v>970</v>
      </c>
      <c r="B390" s="419">
        <v>0.99890000000000001</v>
      </c>
    </row>
    <row r="391" spans="1:2" hidden="1" x14ac:dyDescent="0.35">
      <c r="A391" s="426" t="s">
        <v>971</v>
      </c>
      <c r="B391" s="419">
        <v>0.996</v>
      </c>
    </row>
    <row r="392" spans="1:2" hidden="1" x14ac:dyDescent="0.35">
      <c r="A392" s="426" t="s">
        <v>972</v>
      </c>
      <c r="B392" s="419">
        <v>0.99970000000000003</v>
      </c>
    </row>
    <row r="393" spans="1:2" hidden="1" x14ac:dyDescent="0.35">
      <c r="A393" s="426" t="s">
        <v>973</v>
      </c>
      <c r="B393" s="419">
        <v>0.99939999999999996</v>
      </c>
    </row>
    <row r="394" spans="1:2" hidden="1" x14ac:dyDescent="0.35">
      <c r="A394" s="426" t="s">
        <v>974</v>
      </c>
      <c r="B394" s="419">
        <v>0.99980000000000002</v>
      </c>
    </row>
    <row r="395" spans="1:2" hidden="1" x14ac:dyDescent="0.35">
      <c r="A395" s="426" t="s">
        <v>975</v>
      </c>
      <c r="B395" s="419">
        <v>1</v>
      </c>
    </row>
    <row r="396" spans="1:2" hidden="1" x14ac:dyDescent="0.35">
      <c r="A396" s="426" t="s">
        <v>976</v>
      </c>
      <c r="B396" s="419">
        <v>1</v>
      </c>
    </row>
    <row r="397" spans="1:2" hidden="1" x14ac:dyDescent="0.35">
      <c r="A397" s="426" t="s">
        <v>977</v>
      </c>
      <c r="B397" s="419">
        <v>1</v>
      </c>
    </row>
    <row r="398" spans="1:2" hidden="1" x14ac:dyDescent="0.35">
      <c r="A398" s="426" t="s">
        <v>978</v>
      </c>
      <c r="B398" s="419">
        <v>0.99660000000000004</v>
      </c>
    </row>
    <row r="399" spans="1:2" hidden="1" x14ac:dyDescent="0.35">
      <c r="A399" s="426" t="s">
        <v>979</v>
      </c>
      <c r="B399" s="419">
        <v>0.99890000000000001</v>
      </c>
    </row>
    <row r="400" spans="1:2" hidden="1" x14ac:dyDescent="0.35">
      <c r="A400" s="426" t="s">
        <v>980</v>
      </c>
      <c r="B400" s="419">
        <v>0.99929999999999997</v>
      </c>
    </row>
    <row r="401" spans="1:2" hidden="1" x14ac:dyDescent="0.35">
      <c r="A401" s="426" t="s">
        <v>981</v>
      </c>
      <c r="B401" s="419">
        <v>1</v>
      </c>
    </row>
    <row r="402" spans="1:2" hidden="1" x14ac:dyDescent="0.35">
      <c r="A402" s="426" t="s">
        <v>982</v>
      </c>
      <c r="B402" s="419">
        <v>0.99809999999999999</v>
      </c>
    </row>
    <row r="403" spans="1:2" hidden="1" x14ac:dyDescent="0.35">
      <c r="A403" s="426" t="s">
        <v>983</v>
      </c>
      <c r="B403" s="419">
        <v>0.99990000000000001</v>
      </c>
    </row>
    <row r="404" spans="1:2" hidden="1" x14ac:dyDescent="0.35">
      <c r="A404" s="426" t="s">
        <v>984</v>
      </c>
      <c r="B404" s="419">
        <v>0.99519999999999997</v>
      </c>
    </row>
    <row r="405" spans="1:2" hidden="1" x14ac:dyDescent="0.35">
      <c r="A405" s="426" t="s">
        <v>985</v>
      </c>
      <c r="B405" s="419">
        <v>0.99950000000000006</v>
      </c>
    </row>
    <row r="406" spans="1:2" hidden="1" x14ac:dyDescent="0.35">
      <c r="A406" s="426" t="s">
        <v>986</v>
      </c>
      <c r="B406" s="419">
        <v>0.99850000000000005</v>
      </c>
    </row>
    <row r="407" spans="1:2" hidden="1" x14ac:dyDescent="0.35">
      <c r="A407" s="426" t="s">
        <v>987</v>
      </c>
      <c r="B407" s="419">
        <v>0.99790000000000001</v>
      </c>
    </row>
    <row r="408" spans="1:2" hidden="1" x14ac:dyDescent="0.35">
      <c r="A408" s="426" t="s">
        <v>988</v>
      </c>
      <c r="B408" s="419">
        <v>0.99980000000000002</v>
      </c>
    </row>
    <row r="409" spans="1:2" hidden="1" x14ac:dyDescent="0.35">
      <c r="A409" s="426" t="s">
        <v>989</v>
      </c>
      <c r="B409" s="419">
        <v>0.99929999999999997</v>
      </c>
    </row>
    <row r="410" spans="1:2" hidden="1" x14ac:dyDescent="0.35">
      <c r="A410" s="426" t="s">
        <v>990</v>
      </c>
      <c r="B410" s="419">
        <v>0.99870000000000003</v>
      </c>
    </row>
    <row r="411" spans="1:2" hidden="1" x14ac:dyDescent="0.35">
      <c r="A411" s="426" t="s">
        <v>991</v>
      </c>
      <c r="B411" s="419">
        <v>0.99719999999999998</v>
      </c>
    </row>
    <row r="412" spans="1:2" hidden="1" x14ac:dyDescent="0.35">
      <c r="A412" s="426" t="s">
        <v>992</v>
      </c>
      <c r="B412" s="419">
        <v>0.99829999999999997</v>
      </c>
    </row>
    <row r="413" spans="1:2" hidden="1" x14ac:dyDescent="0.35">
      <c r="A413" s="426" t="s">
        <v>993</v>
      </c>
      <c r="B413" s="419">
        <v>0.99829999999999997</v>
      </c>
    </row>
    <row r="414" spans="1:2" hidden="1" x14ac:dyDescent="0.35">
      <c r="A414" s="426" t="s">
        <v>994</v>
      </c>
      <c r="B414" s="419">
        <v>1</v>
      </c>
    </row>
    <row r="415" spans="1:2" hidden="1" x14ac:dyDescent="0.35">
      <c r="A415" s="426" t="s">
        <v>995</v>
      </c>
      <c r="B415" s="419">
        <v>1</v>
      </c>
    </row>
    <row r="416" spans="1:2" hidden="1" x14ac:dyDescent="0.35">
      <c r="A416" s="426" t="s">
        <v>996</v>
      </c>
      <c r="B416" s="419">
        <v>0.99890000000000001</v>
      </c>
    </row>
    <row r="417" spans="1:2" hidden="1" x14ac:dyDescent="0.35">
      <c r="A417" s="426" t="s">
        <v>997</v>
      </c>
      <c r="B417" s="419">
        <v>1</v>
      </c>
    </row>
    <row r="418" spans="1:2" hidden="1" x14ac:dyDescent="0.35">
      <c r="A418" s="426" t="s">
        <v>998</v>
      </c>
      <c r="B418" s="419">
        <v>0.99580000000000002</v>
      </c>
    </row>
    <row r="419" spans="1:2" hidden="1" x14ac:dyDescent="0.35">
      <c r="A419" s="426" t="s">
        <v>999</v>
      </c>
      <c r="B419" s="419">
        <v>0.99839999999999995</v>
      </c>
    </row>
    <row r="420" spans="1:2" hidden="1" x14ac:dyDescent="0.35">
      <c r="A420" s="426" t="s">
        <v>1000</v>
      </c>
      <c r="B420" s="419">
        <v>0.99550000000000005</v>
      </c>
    </row>
    <row r="421" spans="1:2" hidden="1" x14ac:dyDescent="0.35">
      <c r="A421" s="426" t="s">
        <v>1001</v>
      </c>
      <c r="B421" s="419">
        <v>0.99709999999999999</v>
      </c>
    </row>
    <row r="422" spans="1:2" hidden="1" x14ac:dyDescent="0.35">
      <c r="A422" s="426" t="s">
        <v>1002</v>
      </c>
      <c r="B422" s="419">
        <v>0.99950000000000006</v>
      </c>
    </row>
    <row r="423" spans="1:2" hidden="1" x14ac:dyDescent="0.35">
      <c r="A423" s="426" t="s">
        <v>1003</v>
      </c>
      <c r="B423" s="419">
        <v>1</v>
      </c>
    </row>
    <row r="424" spans="1:2" hidden="1" x14ac:dyDescent="0.35">
      <c r="A424" s="426" t="s">
        <v>1004</v>
      </c>
      <c r="B424" s="419">
        <v>1</v>
      </c>
    </row>
    <row r="425" spans="1:2" hidden="1" x14ac:dyDescent="0.35">
      <c r="A425" s="426" t="s">
        <v>1005</v>
      </c>
      <c r="B425" s="419">
        <v>0.99980000000000002</v>
      </c>
    </row>
    <row r="426" spans="1:2" hidden="1" x14ac:dyDescent="0.35">
      <c r="A426" s="426" t="s">
        <v>1006</v>
      </c>
      <c r="B426" s="419">
        <v>1</v>
      </c>
    </row>
    <row r="427" spans="1:2" hidden="1" x14ac:dyDescent="0.35">
      <c r="A427" s="426" t="s">
        <v>1007</v>
      </c>
      <c r="B427" s="419">
        <v>0.99890000000000001</v>
      </c>
    </row>
    <row r="428" spans="1:2" hidden="1" x14ac:dyDescent="0.35">
      <c r="A428" s="426" t="s">
        <v>1008</v>
      </c>
      <c r="B428" s="419">
        <v>1</v>
      </c>
    </row>
    <row r="429" spans="1:2" hidden="1" x14ac:dyDescent="0.35">
      <c r="A429" s="426" t="s">
        <v>1009</v>
      </c>
      <c r="B429" s="419">
        <v>1</v>
      </c>
    </row>
    <row r="430" spans="1:2" hidden="1" x14ac:dyDescent="0.35">
      <c r="A430" s="426" t="s">
        <v>1010</v>
      </c>
      <c r="B430" s="419">
        <v>0.99580000000000002</v>
      </c>
    </row>
    <row r="431" spans="1:2" hidden="1" x14ac:dyDescent="0.35">
      <c r="A431" s="426" t="s">
        <v>1011</v>
      </c>
      <c r="B431" s="419">
        <v>1</v>
      </c>
    </row>
    <row r="432" spans="1:2" hidden="1" x14ac:dyDescent="0.35">
      <c r="A432" s="426" t="s">
        <v>1012</v>
      </c>
      <c r="B432" s="419">
        <v>0.99929999999999997</v>
      </c>
    </row>
    <row r="433" spans="1:2" hidden="1" x14ac:dyDescent="0.35">
      <c r="A433" s="426" t="s">
        <v>1013</v>
      </c>
      <c r="B433" s="419">
        <v>0.99850000000000005</v>
      </c>
    </row>
    <row r="434" spans="1:2" hidden="1" x14ac:dyDescent="0.35">
      <c r="A434" s="426" t="s">
        <v>1014</v>
      </c>
      <c r="B434" s="419">
        <v>1</v>
      </c>
    </row>
    <row r="435" spans="1:2" hidden="1" x14ac:dyDescent="0.35">
      <c r="A435" s="426" t="s">
        <v>1015</v>
      </c>
      <c r="B435" s="419">
        <v>1</v>
      </c>
    </row>
    <row r="436" spans="1:2" hidden="1" x14ac:dyDescent="0.35">
      <c r="A436" s="426" t="s">
        <v>1016</v>
      </c>
      <c r="B436" s="419">
        <v>0.99819999999999998</v>
      </c>
    </row>
    <row r="437" spans="1:2" hidden="1" x14ac:dyDescent="0.35">
      <c r="A437" s="426" t="s">
        <v>1017</v>
      </c>
      <c r="B437" s="419">
        <v>1</v>
      </c>
    </row>
    <row r="438" spans="1:2" hidden="1" x14ac:dyDescent="0.35">
      <c r="A438" s="426" t="s">
        <v>1018</v>
      </c>
      <c r="B438" s="419">
        <v>1</v>
      </c>
    </row>
    <row r="439" spans="1:2" hidden="1" x14ac:dyDescent="0.35">
      <c r="A439" s="426" t="s">
        <v>1019</v>
      </c>
      <c r="B439" s="419">
        <v>0.99970000000000003</v>
      </c>
    </row>
    <row r="440" spans="1:2" hidden="1" x14ac:dyDescent="0.35">
      <c r="A440" s="426" t="s">
        <v>1020</v>
      </c>
      <c r="B440" s="419">
        <v>1</v>
      </c>
    </row>
    <row r="441" spans="1:2" hidden="1" x14ac:dyDescent="0.35">
      <c r="A441" s="426" t="s">
        <v>1021</v>
      </c>
      <c r="B441" s="419">
        <v>0.99809999999999999</v>
      </c>
    </row>
    <row r="442" spans="1:2" hidden="1" x14ac:dyDescent="0.35">
      <c r="A442" s="426" t="s">
        <v>1022</v>
      </c>
      <c r="B442" s="419">
        <v>1</v>
      </c>
    </row>
    <row r="443" spans="1:2" hidden="1" x14ac:dyDescent="0.35">
      <c r="A443" s="426" t="s">
        <v>1023</v>
      </c>
      <c r="B443" s="419">
        <v>1</v>
      </c>
    </row>
    <row r="444" spans="1:2" hidden="1" x14ac:dyDescent="0.35">
      <c r="A444" s="426" t="s">
        <v>1024</v>
      </c>
      <c r="B444" s="419">
        <v>1</v>
      </c>
    </row>
    <row r="445" spans="1:2" hidden="1" x14ac:dyDescent="0.35">
      <c r="A445" s="426" t="s">
        <v>1025</v>
      </c>
      <c r="B445" s="419">
        <v>0.99939999999999996</v>
      </c>
    </row>
    <row r="446" spans="1:2" hidden="1" x14ac:dyDescent="0.35">
      <c r="A446" s="426" t="s">
        <v>1026</v>
      </c>
      <c r="B446" s="419">
        <v>1</v>
      </c>
    </row>
    <row r="447" spans="1:2" hidden="1" x14ac:dyDescent="0.35">
      <c r="A447" s="426" t="s">
        <v>1027</v>
      </c>
      <c r="B447" s="419">
        <v>0.99639999999999995</v>
      </c>
    </row>
    <row r="448" spans="1:2" hidden="1" x14ac:dyDescent="0.35">
      <c r="A448" s="426" t="s">
        <v>1028</v>
      </c>
      <c r="B448" s="419">
        <v>0.99270000000000003</v>
      </c>
    </row>
    <row r="449" spans="1:2" hidden="1" x14ac:dyDescent="0.35">
      <c r="A449" s="426" t="s">
        <v>1029</v>
      </c>
      <c r="B449" s="419">
        <v>0.999</v>
      </c>
    </row>
    <row r="450" spans="1:2" hidden="1" x14ac:dyDescent="0.35">
      <c r="A450" s="426" t="s">
        <v>1030</v>
      </c>
      <c r="B450" s="419">
        <v>1</v>
      </c>
    </row>
    <row r="451" spans="1:2" hidden="1" x14ac:dyDescent="0.35">
      <c r="A451" s="426" t="s">
        <v>1031</v>
      </c>
      <c r="B451" s="419">
        <v>0.99970000000000003</v>
      </c>
    </row>
    <row r="452" spans="1:2" hidden="1" x14ac:dyDescent="0.35">
      <c r="A452" s="426" t="s">
        <v>1032</v>
      </c>
      <c r="B452" s="419">
        <v>0.99860000000000004</v>
      </c>
    </row>
    <row r="453" spans="1:2" hidden="1" x14ac:dyDescent="0.35">
      <c r="A453" s="426" t="s">
        <v>1033</v>
      </c>
      <c r="B453" s="419">
        <v>1</v>
      </c>
    </row>
    <row r="454" spans="1:2" hidden="1" x14ac:dyDescent="0.35">
      <c r="A454" s="426" t="s">
        <v>1034</v>
      </c>
      <c r="B454" s="419">
        <v>1</v>
      </c>
    </row>
    <row r="455" spans="1:2" hidden="1" x14ac:dyDescent="0.35">
      <c r="A455" s="426" t="s">
        <v>1035</v>
      </c>
      <c r="B455" s="419">
        <v>0.99719999999999998</v>
      </c>
    </row>
    <row r="456" spans="1:2" hidden="1" x14ac:dyDescent="0.35">
      <c r="A456" s="426" t="s">
        <v>1036</v>
      </c>
      <c r="B456" s="419">
        <v>0.99950000000000006</v>
      </c>
    </row>
    <row r="457" spans="1:2" hidden="1" x14ac:dyDescent="0.35">
      <c r="A457" s="426" t="s">
        <v>1037</v>
      </c>
      <c r="B457" s="419">
        <v>1</v>
      </c>
    </row>
    <row r="458" spans="1:2" hidden="1" x14ac:dyDescent="0.35">
      <c r="A458" s="426" t="s">
        <v>1038</v>
      </c>
      <c r="B458" s="419">
        <v>1</v>
      </c>
    </row>
    <row r="459" spans="1:2" hidden="1" x14ac:dyDescent="0.35">
      <c r="A459" s="426" t="s">
        <v>1039</v>
      </c>
      <c r="B459" s="419">
        <v>0.99790000000000001</v>
      </c>
    </row>
    <row r="460" spans="1:2" hidden="1" x14ac:dyDescent="0.35">
      <c r="A460" s="426" t="s">
        <v>1040</v>
      </c>
      <c r="B460" s="419">
        <v>0.99909999999999999</v>
      </c>
    </row>
    <row r="461" spans="1:2" hidden="1" x14ac:dyDescent="0.35">
      <c r="A461" s="426" t="s">
        <v>1041</v>
      </c>
      <c r="B461" s="419">
        <v>0.99429999999999996</v>
      </c>
    </row>
    <row r="462" spans="1:2" hidden="1" x14ac:dyDescent="0.35">
      <c r="A462" s="426" t="s">
        <v>1042</v>
      </c>
      <c r="B462" s="419">
        <v>1</v>
      </c>
    </row>
    <row r="463" spans="1:2" hidden="1" x14ac:dyDescent="0.35">
      <c r="A463" s="426" t="s">
        <v>1043</v>
      </c>
      <c r="B463" s="419">
        <v>1</v>
      </c>
    </row>
    <row r="464" spans="1:2" hidden="1" x14ac:dyDescent="0.35">
      <c r="A464" s="426" t="s">
        <v>1044</v>
      </c>
      <c r="B464" s="419">
        <v>1</v>
      </c>
    </row>
    <row r="465" spans="1:2" hidden="1" x14ac:dyDescent="0.35">
      <c r="A465" s="426" t="s">
        <v>1045</v>
      </c>
      <c r="B465" s="419">
        <v>1</v>
      </c>
    </row>
    <row r="466" spans="1:2" hidden="1" x14ac:dyDescent="0.35">
      <c r="A466" s="426" t="s">
        <v>1046</v>
      </c>
      <c r="B466" s="419">
        <v>0.99309999999999998</v>
      </c>
    </row>
    <row r="467" spans="1:2" hidden="1" x14ac:dyDescent="0.35">
      <c r="A467" s="426" t="s">
        <v>1047</v>
      </c>
      <c r="B467" s="419">
        <v>0.997</v>
      </c>
    </row>
    <row r="468" spans="1:2" hidden="1" x14ac:dyDescent="0.35">
      <c r="A468" s="426" t="s">
        <v>1048</v>
      </c>
      <c r="B468" s="419">
        <v>1</v>
      </c>
    </row>
    <row r="469" spans="1:2" hidden="1" x14ac:dyDescent="0.35">
      <c r="A469" s="426" t="s">
        <v>1049</v>
      </c>
      <c r="B469" s="419">
        <v>0.98899999999999999</v>
      </c>
    </row>
    <row r="470" spans="1:2" hidden="1" x14ac:dyDescent="0.35">
      <c r="A470" s="426" t="s">
        <v>1050</v>
      </c>
      <c r="B470" s="419">
        <v>0.99990000000000001</v>
      </c>
    </row>
    <row r="471" spans="1:2" hidden="1" x14ac:dyDescent="0.35">
      <c r="A471" s="426" t="s">
        <v>1051</v>
      </c>
      <c r="B471" s="419">
        <v>1</v>
      </c>
    </row>
    <row r="472" spans="1:2" hidden="1" x14ac:dyDescent="0.35">
      <c r="A472" s="426" t="s">
        <v>1052</v>
      </c>
      <c r="B472" s="419">
        <v>0.99609999999999999</v>
      </c>
    </row>
    <row r="473" spans="1:2" hidden="1" x14ac:dyDescent="0.35">
      <c r="A473" s="426" t="s">
        <v>1053</v>
      </c>
      <c r="B473" s="419">
        <v>1</v>
      </c>
    </row>
    <row r="474" spans="1:2" hidden="1" x14ac:dyDescent="0.35">
      <c r="A474" s="426" t="s">
        <v>1054</v>
      </c>
      <c r="B474" s="419">
        <v>0.99039999999999995</v>
      </c>
    </row>
    <row r="475" spans="1:2" hidden="1" x14ac:dyDescent="0.35">
      <c r="A475" s="426" t="s">
        <v>1055</v>
      </c>
      <c r="B475" s="419">
        <v>0.99780000000000002</v>
      </c>
    </row>
    <row r="476" spans="1:2" hidden="1" x14ac:dyDescent="0.35">
      <c r="A476" s="426" t="s">
        <v>1056</v>
      </c>
      <c r="B476" s="419">
        <v>0.999</v>
      </c>
    </row>
    <row r="477" spans="1:2" hidden="1" x14ac:dyDescent="0.35">
      <c r="A477" s="426" t="s">
        <v>1057</v>
      </c>
      <c r="B477" s="419">
        <v>1</v>
      </c>
    </row>
    <row r="478" spans="1:2" hidden="1" x14ac:dyDescent="0.35">
      <c r="A478" s="426" t="s">
        <v>1058</v>
      </c>
      <c r="B478" s="419">
        <v>1</v>
      </c>
    </row>
    <row r="479" spans="1:2" x14ac:dyDescent="0.35">
      <c r="A479" s="426" t="s">
        <v>40</v>
      </c>
      <c r="B479" s="419">
        <v>0.99629999999999996</v>
      </c>
    </row>
    <row r="480" spans="1:2" x14ac:dyDescent="0.35">
      <c r="A480" s="426" t="s">
        <v>42</v>
      </c>
      <c r="B480" s="419">
        <v>0.99550000000000005</v>
      </c>
    </row>
    <row r="481" spans="1:4" x14ac:dyDescent="0.35">
      <c r="A481" s="426" t="s">
        <v>44</v>
      </c>
      <c r="B481" s="419">
        <v>0.99819999999999998</v>
      </c>
    </row>
    <row r="482" spans="1:4" x14ac:dyDescent="0.35">
      <c r="A482" s="426" t="s">
        <v>46</v>
      </c>
      <c r="B482" s="419">
        <v>0.99990000000000001</v>
      </c>
    </row>
    <row r="483" spans="1:4" x14ac:dyDescent="0.35">
      <c r="A483" s="426" t="s">
        <v>48</v>
      </c>
      <c r="B483" s="419">
        <v>0.99019999999999997</v>
      </c>
    </row>
    <row r="484" spans="1:4" x14ac:dyDescent="0.35">
      <c r="A484" s="426" t="s">
        <v>51</v>
      </c>
      <c r="B484" s="419">
        <v>1</v>
      </c>
    </row>
    <row r="485" spans="1:4" x14ac:dyDescent="0.35">
      <c r="A485" s="426" t="s">
        <v>53</v>
      </c>
      <c r="B485" s="419">
        <v>1</v>
      </c>
    </row>
    <row r="486" spans="1:4" x14ac:dyDescent="0.35">
      <c r="A486" s="426" t="s">
        <v>55</v>
      </c>
      <c r="B486" s="419">
        <v>0.99990000000000001</v>
      </c>
    </row>
    <row r="487" spans="1:4" x14ac:dyDescent="0.35">
      <c r="A487" s="426" t="s">
        <v>57</v>
      </c>
      <c r="B487" s="419">
        <v>0.99960000000000004</v>
      </c>
    </row>
    <row r="488" spans="1:4" x14ac:dyDescent="0.35">
      <c r="A488" s="426" t="s">
        <v>59</v>
      </c>
      <c r="B488" s="419">
        <v>1</v>
      </c>
    </row>
    <row r="489" spans="1:4" x14ac:dyDescent="0.35">
      <c r="A489" s="426" t="s">
        <v>61</v>
      </c>
      <c r="B489" s="419">
        <v>0.99719999999999998</v>
      </c>
    </row>
    <row r="490" spans="1:4" x14ac:dyDescent="0.35">
      <c r="A490" s="426" t="s">
        <v>63</v>
      </c>
      <c r="B490" s="419">
        <v>1</v>
      </c>
    </row>
    <row r="491" spans="1:4" x14ac:dyDescent="0.35">
      <c r="A491" s="426" t="s">
        <v>65</v>
      </c>
      <c r="B491" s="419">
        <v>0.99790000000000001</v>
      </c>
      <c r="D491" s="276" t="s">
        <v>3732</v>
      </c>
    </row>
    <row r="492" spans="1:4" x14ac:dyDescent="0.35">
      <c r="A492" s="426" t="s">
        <v>67</v>
      </c>
      <c r="B492" s="419">
        <v>1</v>
      </c>
    </row>
    <row r="493" spans="1:4" x14ac:dyDescent="0.35">
      <c r="A493" s="426" t="s">
        <v>69</v>
      </c>
      <c r="B493" s="419">
        <v>0.99990000000000001</v>
      </c>
    </row>
    <row r="494" spans="1:4" x14ac:dyDescent="0.35">
      <c r="A494" s="426" t="s">
        <v>71</v>
      </c>
      <c r="B494" s="419">
        <v>0.99980000000000002</v>
      </c>
    </row>
    <row r="495" spans="1:4" x14ac:dyDescent="0.35">
      <c r="A495" s="426" t="s">
        <v>73</v>
      </c>
      <c r="B495" s="419">
        <v>0.99170000000000003</v>
      </c>
    </row>
    <row r="496" spans="1:4" x14ac:dyDescent="0.35">
      <c r="A496" s="426" t="s">
        <v>75</v>
      </c>
      <c r="B496" s="419">
        <v>0.99870000000000003</v>
      </c>
    </row>
    <row r="497" spans="1:2" x14ac:dyDescent="0.35">
      <c r="A497" s="426" t="s">
        <v>77</v>
      </c>
      <c r="B497" s="419">
        <v>0.99790000000000001</v>
      </c>
    </row>
    <row r="498" spans="1:2" x14ac:dyDescent="0.35">
      <c r="A498" s="426" t="s">
        <v>79</v>
      </c>
      <c r="B498" s="419">
        <v>0.99990000000000001</v>
      </c>
    </row>
    <row r="499" spans="1:2" x14ac:dyDescent="0.35">
      <c r="A499" s="426" t="s">
        <v>81</v>
      </c>
      <c r="B499" s="419">
        <v>0.99970000000000003</v>
      </c>
    </row>
    <row r="500" spans="1:2" x14ac:dyDescent="0.35">
      <c r="A500" s="426" t="s">
        <v>83</v>
      </c>
      <c r="B500" s="419">
        <v>0.99909999999999999</v>
      </c>
    </row>
    <row r="501" spans="1:2" x14ac:dyDescent="0.35">
      <c r="A501" s="426" t="s">
        <v>85</v>
      </c>
      <c r="B501" s="419">
        <v>1</v>
      </c>
    </row>
    <row r="502" spans="1:2" x14ac:dyDescent="0.35">
      <c r="A502" s="426" t="s">
        <v>87</v>
      </c>
      <c r="B502" s="419">
        <v>1</v>
      </c>
    </row>
    <row r="503" spans="1:2" x14ac:dyDescent="0.35">
      <c r="A503" s="426" t="s">
        <v>89</v>
      </c>
      <c r="B503" s="419">
        <v>1</v>
      </c>
    </row>
    <row r="504" spans="1:2" x14ac:dyDescent="0.35">
      <c r="A504" s="426" t="s">
        <v>91</v>
      </c>
      <c r="B504" s="419">
        <v>0.999</v>
      </c>
    </row>
    <row r="505" spans="1:2" x14ac:dyDescent="0.35">
      <c r="A505" s="426" t="s">
        <v>93</v>
      </c>
      <c r="B505" s="419">
        <v>0.99990000000000001</v>
      </c>
    </row>
    <row r="506" spans="1:2" x14ac:dyDescent="0.35">
      <c r="A506" s="426" t="s">
        <v>95</v>
      </c>
      <c r="B506" s="419">
        <v>0.99850000000000005</v>
      </c>
    </row>
    <row r="507" spans="1:2" x14ac:dyDescent="0.35">
      <c r="A507" s="426" t="s">
        <v>97</v>
      </c>
      <c r="B507" s="419">
        <v>0.99929999999999997</v>
      </c>
    </row>
    <row r="508" spans="1:2" x14ac:dyDescent="0.35">
      <c r="A508" s="426" t="s">
        <v>99</v>
      </c>
      <c r="B508" s="419">
        <v>1</v>
      </c>
    </row>
    <row r="509" spans="1:2" x14ac:dyDescent="0.35">
      <c r="A509" s="426" t="s">
        <v>101</v>
      </c>
      <c r="B509" s="419">
        <v>1</v>
      </c>
    </row>
    <row r="510" spans="1:2" x14ac:dyDescent="0.35">
      <c r="A510" s="426" t="s">
        <v>103</v>
      </c>
      <c r="B510" s="419">
        <v>0.99829999999999997</v>
      </c>
    </row>
    <row r="511" spans="1:2" x14ac:dyDescent="0.35">
      <c r="A511" s="426" t="s">
        <v>105</v>
      </c>
      <c r="B511" s="419">
        <v>1</v>
      </c>
    </row>
    <row r="512" spans="1:2" x14ac:dyDescent="0.35">
      <c r="A512" s="426" t="s">
        <v>107</v>
      </c>
      <c r="B512" s="419">
        <v>0.99790000000000001</v>
      </c>
    </row>
    <row r="513" spans="1:2" x14ac:dyDescent="0.35">
      <c r="A513" s="426" t="s">
        <v>109</v>
      </c>
      <c r="B513" s="419">
        <v>1</v>
      </c>
    </row>
    <row r="514" spans="1:2" x14ac:dyDescent="0.35">
      <c r="A514" s="426" t="s">
        <v>111</v>
      </c>
      <c r="B514" s="419">
        <v>1</v>
      </c>
    </row>
    <row r="515" spans="1:2" x14ac:dyDescent="0.35">
      <c r="A515" s="426" t="s">
        <v>113</v>
      </c>
      <c r="B515" s="419">
        <v>0.99950000000000006</v>
      </c>
    </row>
    <row r="516" spans="1:2" x14ac:dyDescent="0.35">
      <c r="A516" s="426" t="s">
        <v>115</v>
      </c>
      <c r="B516" s="419">
        <v>1</v>
      </c>
    </row>
    <row r="517" spans="1:2" x14ac:dyDescent="0.35">
      <c r="A517" s="426" t="s">
        <v>117</v>
      </c>
      <c r="B517" s="419">
        <v>0.99929999999999997</v>
      </c>
    </row>
    <row r="518" spans="1:2" x14ac:dyDescent="0.35">
      <c r="A518" s="426" t="s">
        <v>119</v>
      </c>
      <c r="B518" s="419">
        <v>1</v>
      </c>
    </row>
    <row r="519" spans="1:2" x14ac:dyDescent="0.35">
      <c r="A519" s="426" t="s">
        <v>121</v>
      </c>
      <c r="B519" s="419">
        <v>1</v>
      </c>
    </row>
    <row r="520" spans="1:2" x14ac:dyDescent="0.35">
      <c r="A520" s="426" t="s">
        <v>123</v>
      </c>
      <c r="B520" s="419">
        <v>0.99939999999999996</v>
      </c>
    </row>
    <row r="521" spans="1:2" x14ac:dyDescent="0.35">
      <c r="A521" s="426" t="s">
        <v>125</v>
      </c>
      <c r="B521" s="419">
        <v>1</v>
      </c>
    </row>
    <row r="522" spans="1:2" x14ac:dyDescent="0.35">
      <c r="A522" s="426" t="s">
        <v>128</v>
      </c>
      <c r="B522" s="419">
        <v>0.99670000000000003</v>
      </c>
    </row>
    <row r="523" spans="1:2" x14ac:dyDescent="0.35">
      <c r="A523" s="426" t="s">
        <v>130</v>
      </c>
      <c r="B523" s="419">
        <v>0.99590000000000001</v>
      </c>
    </row>
    <row r="524" spans="1:2" x14ac:dyDescent="0.35">
      <c r="A524" s="426" t="s">
        <v>132</v>
      </c>
      <c r="B524" s="419">
        <v>1</v>
      </c>
    </row>
    <row r="525" spans="1:2" x14ac:dyDescent="0.35">
      <c r="A525" s="426" t="s">
        <v>134</v>
      </c>
      <c r="B525" s="419">
        <v>0.99209999999999998</v>
      </c>
    </row>
    <row r="526" spans="1:2" x14ac:dyDescent="0.35">
      <c r="A526" s="426" t="s">
        <v>136</v>
      </c>
      <c r="B526" s="419">
        <v>1</v>
      </c>
    </row>
    <row r="527" spans="1:2" x14ac:dyDescent="0.35">
      <c r="A527" s="426" t="s">
        <v>138</v>
      </c>
      <c r="B527" s="419">
        <v>1</v>
      </c>
    </row>
    <row r="528" spans="1:2" x14ac:dyDescent="0.35">
      <c r="A528" s="426" t="s">
        <v>140</v>
      </c>
      <c r="B528" s="419">
        <v>1</v>
      </c>
    </row>
    <row r="529" spans="1:2" hidden="1" x14ac:dyDescent="0.35">
      <c r="A529" s="426" t="s">
        <v>1059</v>
      </c>
      <c r="B529" s="419">
        <v>0.99670000000000003</v>
      </c>
    </row>
    <row r="530" spans="1:2" hidden="1" x14ac:dyDescent="0.35">
      <c r="A530" s="426" t="s">
        <v>1060</v>
      </c>
      <c r="B530" s="419">
        <v>0.99229999999999996</v>
      </c>
    </row>
    <row r="531" spans="1:2" hidden="1" x14ac:dyDescent="0.35">
      <c r="A531" s="426" t="s">
        <v>1061</v>
      </c>
      <c r="B531" s="419">
        <v>0.99890000000000001</v>
      </c>
    </row>
    <row r="532" spans="1:2" hidden="1" x14ac:dyDescent="0.35">
      <c r="A532" s="426" t="s">
        <v>1062</v>
      </c>
      <c r="B532" s="419">
        <v>0.99490000000000001</v>
      </c>
    </row>
    <row r="533" spans="1:2" hidden="1" x14ac:dyDescent="0.35">
      <c r="A533" s="426" t="s">
        <v>1063</v>
      </c>
      <c r="B533" s="419">
        <v>0.99960000000000004</v>
      </c>
    </row>
    <row r="534" spans="1:2" hidden="1" x14ac:dyDescent="0.35">
      <c r="A534" s="426" t="s">
        <v>1064</v>
      </c>
      <c r="B534" s="419">
        <v>0.99819999999999998</v>
      </c>
    </row>
    <row r="535" spans="1:2" hidden="1" x14ac:dyDescent="0.35">
      <c r="A535" s="426" t="s">
        <v>1065</v>
      </c>
      <c r="B535" s="419">
        <v>0.99729999999999996</v>
      </c>
    </row>
    <row r="536" spans="1:2" hidden="1" x14ac:dyDescent="0.35">
      <c r="A536" s="426" t="s">
        <v>1066</v>
      </c>
      <c r="B536" s="419">
        <v>0.99299999999999999</v>
      </c>
    </row>
    <row r="537" spans="1:2" hidden="1" x14ac:dyDescent="0.35">
      <c r="A537" s="426" t="s">
        <v>1067</v>
      </c>
      <c r="B537" s="419">
        <v>0.99619999999999997</v>
      </c>
    </row>
    <row r="538" spans="1:2" hidden="1" x14ac:dyDescent="0.35">
      <c r="A538" s="426" t="s">
        <v>1068</v>
      </c>
      <c r="B538" s="419">
        <v>0.99550000000000005</v>
      </c>
    </row>
    <row r="539" spans="1:2" hidden="1" x14ac:dyDescent="0.35">
      <c r="A539" s="426" t="s">
        <v>1069</v>
      </c>
      <c r="B539" s="419">
        <v>0.99399999999999999</v>
      </c>
    </row>
    <row r="540" spans="1:2" hidden="1" x14ac:dyDescent="0.35">
      <c r="A540" s="426" t="s">
        <v>1070</v>
      </c>
      <c r="B540" s="419">
        <v>0.99380000000000002</v>
      </c>
    </row>
    <row r="541" spans="1:2" hidden="1" x14ac:dyDescent="0.35">
      <c r="A541" s="426" t="s">
        <v>1071</v>
      </c>
      <c r="B541" s="419">
        <v>0.99760000000000004</v>
      </c>
    </row>
    <row r="542" spans="1:2" hidden="1" x14ac:dyDescent="0.35">
      <c r="A542" s="426" t="s">
        <v>1072</v>
      </c>
      <c r="B542" s="419">
        <v>0.99029999999999996</v>
      </c>
    </row>
    <row r="543" spans="1:2" hidden="1" x14ac:dyDescent="0.35">
      <c r="A543" s="426" t="s">
        <v>1073</v>
      </c>
      <c r="B543" s="419">
        <v>0.99850000000000005</v>
      </c>
    </row>
    <row r="544" spans="1:2" hidden="1" x14ac:dyDescent="0.35">
      <c r="A544" s="426" t="s">
        <v>1074</v>
      </c>
      <c r="B544" s="419">
        <v>0.99590000000000001</v>
      </c>
    </row>
    <row r="545" spans="1:2" hidden="1" x14ac:dyDescent="0.35">
      <c r="A545" s="426" t="s">
        <v>1075</v>
      </c>
      <c r="B545" s="419">
        <v>0.98580000000000001</v>
      </c>
    </row>
    <row r="546" spans="1:2" hidden="1" x14ac:dyDescent="0.35">
      <c r="A546" s="426" t="s">
        <v>1076</v>
      </c>
      <c r="B546" s="419">
        <v>0.9929</v>
      </c>
    </row>
    <row r="547" spans="1:2" hidden="1" x14ac:dyDescent="0.35">
      <c r="A547" s="426" t="s">
        <v>1077</v>
      </c>
      <c r="B547" s="419">
        <v>0.99260000000000004</v>
      </c>
    </row>
    <row r="548" spans="1:2" hidden="1" x14ac:dyDescent="0.35">
      <c r="A548" s="426" t="s">
        <v>1078</v>
      </c>
      <c r="B548" s="419">
        <v>0.99460000000000004</v>
      </c>
    </row>
    <row r="549" spans="1:2" hidden="1" x14ac:dyDescent="0.35">
      <c r="A549" s="426" t="s">
        <v>1079</v>
      </c>
      <c r="B549" s="419">
        <v>0.99719999999999998</v>
      </c>
    </row>
    <row r="550" spans="1:2" hidden="1" x14ac:dyDescent="0.35">
      <c r="A550" s="426" t="s">
        <v>1080</v>
      </c>
      <c r="B550" s="419">
        <v>1</v>
      </c>
    </row>
    <row r="551" spans="1:2" hidden="1" x14ac:dyDescent="0.35">
      <c r="A551" s="426" t="s">
        <v>1081</v>
      </c>
      <c r="B551" s="419">
        <v>0.99770000000000003</v>
      </c>
    </row>
    <row r="552" spans="1:2" hidden="1" x14ac:dyDescent="0.35">
      <c r="A552" s="426" t="s">
        <v>1082</v>
      </c>
      <c r="B552" s="419">
        <v>0.99909999999999999</v>
      </c>
    </row>
    <row r="553" spans="1:2" hidden="1" x14ac:dyDescent="0.35">
      <c r="A553" s="426" t="s">
        <v>1083</v>
      </c>
      <c r="B553" s="419">
        <v>0.99919999999999998</v>
      </c>
    </row>
    <row r="554" spans="1:2" hidden="1" x14ac:dyDescent="0.35">
      <c r="A554" s="426" t="s">
        <v>1084</v>
      </c>
      <c r="B554" s="419">
        <v>0.99419999999999997</v>
      </c>
    </row>
    <row r="555" spans="1:2" hidden="1" x14ac:dyDescent="0.35">
      <c r="A555" s="426" t="s">
        <v>1085</v>
      </c>
      <c r="B555" s="419">
        <v>1</v>
      </c>
    </row>
    <row r="556" spans="1:2" hidden="1" x14ac:dyDescent="0.35">
      <c r="A556" s="426" t="s">
        <v>1086</v>
      </c>
      <c r="B556" s="419">
        <v>1</v>
      </c>
    </row>
    <row r="557" spans="1:2" hidden="1" x14ac:dyDescent="0.35">
      <c r="A557" s="426" t="s">
        <v>1087</v>
      </c>
      <c r="B557" s="419">
        <v>1</v>
      </c>
    </row>
    <row r="558" spans="1:2" hidden="1" x14ac:dyDescent="0.35">
      <c r="A558" s="426" t="s">
        <v>1088</v>
      </c>
      <c r="B558" s="419">
        <v>0.99950000000000006</v>
      </c>
    </row>
    <row r="559" spans="1:2" hidden="1" x14ac:dyDescent="0.35">
      <c r="A559" s="426" t="s">
        <v>1089</v>
      </c>
      <c r="B559" s="419">
        <v>0.99790000000000001</v>
      </c>
    </row>
    <row r="560" spans="1:2" hidden="1" x14ac:dyDescent="0.35">
      <c r="A560" s="426" t="s">
        <v>1090</v>
      </c>
      <c r="B560" s="419">
        <v>0.99360000000000004</v>
      </c>
    </row>
    <row r="561" spans="1:2" hidden="1" x14ac:dyDescent="0.35">
      <c r="A561" s="426" t="s">
        <v>1091</v>
      </c>
      <c r="B561" s="419">
        <v>0.99629999999999996</v>
      </c>
    </row>
    <row r="562" spans="1:2" hidden="1" x14ac:dyDescent="0.35">
      <c r="A562" s="426" t="s">
        <v>1092</v>
      </c>
      <c r="B562" s="419">
        <v>0.99990000000000001</v>
      </c>
    </row>
    <row r="563" spans="1:2" hidden="1" x14ac:dyDescent="0.35">
      <c r="A563" s="426" t="s">
        <v>1093</v>
      </c>
      <c r="B563" s="419">
        <v>0.99919999999999998</v>
      </c>
    </row>
    <row r="564" spans="1:2" hidden="1" x14ac:dyDescent="0.35">
      <c r="A564" s="426" t="s">
        <v>1094</v>
      </c>
      <c r="B564" s="419">
        <v>0.99719999999999998</v>
      </c>
    </row>
    <row r="565" spans="1:2" hidden="1" x14ac:dyDescent="0.35">
      <c r="A565" s="426" t="s">
        <v>1095</v>
      </c>
      <c r="B565" s="419">
        <v>0.99560000000000004</v>
      </c>
    </row>
    <row r="566" spans="1:2" hidden="1" x14ac:dyDescent="0.35">
      <c r="A566" s="426" t="s">
        <v>1096</v>
      </c>
      <c r="B566" s="419">
        <v>0.99739999999999995</v>
      </c>
    </row>
    <row r="567" spans="1:2" hidden="1" x14ac:dyDescent="0.35">
      <c r="A567" s="426" t="s">
        <v>1097</v>
      </c>
      <c r="B567" s="419">
        <v>0.99970000000000003</v>
      </c>
    </row>
    <row r="568" spans="1:2" hidden="1" x14ac:dyDescent="0.35">
      <c r="A568" s="426" t="s">
        <v>1098</v>
      </c>
      <c r="B568" s="419">
        <v>0.99770000000000003</v>
      </c>
    </row>
    <row r="569" spans="1:2" hidden="1" x14ac:dyDescent="0.35">
      <c r="A569" s="426" t="s">
        <v>1099</v>
      </c>
      <c r="B569" s="419">
        <v>0.99760000000000004</v>
      </c>
    </row>
    <row r="570" spans="1:2" hidden="1" x14ac:dyDescent="0.35">
      <c r="A570" s="426" t="s">
        <v>1100</v>
      </c>
      <c r="B570" s="419">
        <v>0.99739999999999995</v>
      </c>
    </row>
    <row r="571" spans="1:2" hidden="1" x14ac:dyDescent="0.35">
      <c r="A571" s="426" t="s">
        <v>1101</v>
      </c>
      <c r="B571" s="419">
        <v>0.99609999999999999</v>
      </c>
    </row>
    <row r="572" spans="1:2" hidden="1" x14ac:dyDescent="0.35">
      <c r="A572" s="426" t="s">
        <v>1102</v>
      </c>
      <c r="B572" s="419">
        <v>0.98160000000000003</v>
      </c>
    </row>
    <row r="573" spans="1:2" hidden="1" x14ac:dyDescent="0.35">
      <c r="A573" s="426" t="s">
        <v>1103</v>
      </c>
      <c r="B573" s="419">
        <v>0.98850000000000005</v>
      </c>
    </row>
    <row r="574" spans="1:2" hidden="1" x14ac:dyDescent="0.35">
      <c r="A574" s="426" t="s">
        <v>1104</v>
      </c>
      <c r="B574" s="419">
        <v>0.99960000000000004</v>
      </c>
    </row>
    <row r="575" spans="1:2" hidden="1" x14ac:dyDescent="0.35">
      <c r="A575" s="426" t="s">
        <v>1105</v>
      </c>
      <c r="B575" s="419">
        <v>0.99280000000000002</v>
      </c>
    </row>
    <row r="576" spans="1:2" hidden="1" x14ac:dyDescent="0.35">
      <c r="A576" s="426" t="s">
        <v>1106</v>
      </c>
      <c r="B576" s="419">
        <v>0.99260000000000004</v>
      </c>
    </row>
    <row r="577" spans="1:2" hidden="1" x14ac:dyDescent="0.35">
      <c r="A577" s="426" t="s">
        <v>1107</v>
      </c>
      <c r="B577" s="419">
        <v>0.99970000000000003</v>
      </c>
    </row>
    <row r="578" spans="1:2" hidden="1" x14ac:dyDescent="0.35">
      <c r="A578" s="426" t="s">
        <v>1108</v>
      </c>
      <c r="B578" s="419">
        <v>0.99709999999999999</v>
      </c>
    </row>
    <row r="579" spans="1:2" hidden="1" x14ac:dyDescent="0.35">
      <c r="A579" s="426" t="s">
        <v>1109</v>
      </c>
      <c r="B579" s="419">
        <v>0.99850000000000005</v>
      </c>
    </row>
    <row r="580" spans="1:2" hidden="1" x14ac:dyDescent="0.35">
      <c r="A580" s="426" t="s">
        <v>1110</v>
      </c>
      <c r="B580" s="419">
        <v>0.99850000000000005</v>
      </c>
    </row>
    <row r="581" spans="1:2" hidden="1" x14ac:dyDescent="0.35">
      <c r="A581" s="426" t="s">
        <v>1111</v>
      </c>
      <c r="B581" s="419">
        <v>0.99280000000000002</v>
      </c>
    </row>
    <row r="582" spans="1:2" hidden="1" x14ac:dyDescent="0.35">
      <c r="A582" s="426" t="s">
        <v>1112</v>
      </c>
      <c r="B582" s="419">
        <v>1</v>
      </c>
    </row>
    <row r="583" spans="1:2" hidden="1" x14ac:dyDescent="0.35">
      <c r="A583" s="426" t="s">
        <v>1113</v>
      </c>
      <c r="B583" s="419">
        <v>0.99850000000000005</v>
      </c>
    </row>
    <row r="584" spans="1:2" hidden="1" x14ac:dyDescent="0.35">
      <c r="A584" s="426" t="s">
        <v>1114</v>
      </c>
      <c r="B584" s="419">
        <v>0.99770000000000003</v>
      </c>
    </row>
    <row r="585" spans="1:2" hidden="1" x14ac:dyDescent="0.35">
      <c r="A585" s="426" t="s">
        <v>1115</v>
      </c>
      <c r="B585" s="419">
        <v>0.99539999999999995</v>
      </c>
    </row>
    <row r="586" spans="1:2" hidden="1" x14ac:dyDescent="0.35">
      <c r="A586" s="426" t="s">
        <v>1116</v>
      </c>
      <c r="B586" s="419">
        <v>0.98580000000000001</v>
      </c>
    </row>
    <row r="587" spans="1:2" hidden="1" x14ac:dyDescent="0.35">
      <c r="A587" s="426" t="s">
        <v>1117</v>
      </c>
      <c r="B587" s="419">
        <v>0.996</v>
      </c>
    </row>
    <row r="588" spans="1:2" hidden="1" x14ac:dyDescent="0.35">
      <c r="A588" s="426" t="s">
        <v>1118</v>
      </c>
      <c r="B588" s="419">
        <v>0.99760000000000004</v>
      </c>
    </row>
    <row r="589" spans="1:2" hidden="1" x14ac:dyDescent="0.35">
      <c r="A589" s="426" t="s">
        <v>1119</v>
      </c>
      <c r="B589" s="419">
        <v>0.99539999999999995</v>
      </c>
    </row>
    <row r="590" spans="1:2" hidden="1" x14ac:dyDescent="0.35">
      <c r="A590" s="426" t="s">
        <v>1120</v>
      </c>
      <c r="B590" s="419">
        <v>0.99690000000000001</v>
      </c>
    </row>
    <row r="591" spans="1:2" hidden="1" x14ac:dyDescent="0.35">
      <c r="A591" s="426" t="s">
        <v>1121</v>
      </c>
      <c r="B591" s="419">
        <v>0.99280000000000002</v>
      </c>
    </row>
    <row r="592" spans="1:2" hidden="1" x14ac:dyDescent="0.35">
      <c r="A592" s="426" t="s">
        <v>1122</v>
      </c>
      <c r="B592" s="419">
        <v>0.98550000000000004</v>
      </c>
    </row>
    <row r="593" spans="1:2" hidden="1" x14ac:dyDescent="0.35">
      <c r="A593" s="426" t="s">
        <v>1123</v>
      </c>
      <c r="B593" s="419">
        <v>0.99960000000000004</v>
      </c>
    </row>
    <row r="594" spans="1:2" hidden="1" x14ac:dyDescent="0.35">
      <c r="A594" s="426" t="s">
        <v>1124</v>
      </c>
      <c r="B594" s="419">
        <v>0.98640000000000005</v>
      </c>
    </row>
    <row r="595" spans="1:2" hidden="1" x14ac:dyDescent="0.35">
      <c r="A595" s="426" t="s">
        <v>1125</v>
      </c>
      <c r="B595" s="419">
        <v>0.99439999999999995</v>
      </c>
    </row>
    <row r="596" spans="1:2" hidden="1" x14ac:dyDescent="0.35">
      <c r="A596" s="426" t="s">
        <v>1126</v>
      </c>
      <c r="B596" s="419">
        <v>0.99870000000000003</v>
      </c>
    </row>
    <row r="597" spans="1:2" hidden="1" x14ac:dyDescent="0.35">
      <c r="A597" s="426" t="s">
        <v>1127</v>
      </c>
      <c r="B597" s="419">
        <v>0.99180000000000001</v>
      </c>
    </row>
    <row r="598" spans="1:2" hidden="1" x14ac:dyDescent="0.35">
      <c r="A598" s="426" t="s">
        <v>1128</v>
      </c>
      <c r="B598" s="419">
        <v>0.99760000000000004</v>
      </c>
    </row>
    <row r="599" spans="1:2" hidden="1" x14ac:dyDescent="0.35">
      <c r="A599" s="426" t="s">
        <v>1129</v>
      </c>
      <c r="B599" s="419">
        <v>0.9889</v>
      </c>
    </row>
    <row r="600" spans="1:2" hidden="1" x14ac:dyDescent="0.35">
      <c r="A600" s="426" t="s">
        <v>1130</v>
      </c>
      <c r="B600" s="419">
        <v>0.99929999999999997</v>
      </c>
    </row>
    <row r="601" spans="1:2" hidden="1" x14ac:dyDescent="0.35">
      <c r="A601" s="426" t="s">
        <v>1131</v>
      </c>
      <c r="B601" s="419">
        <v>0.98850000000000005</v>
      </c>
    </row>
    <row r="602" spans="1:2" hidden="1" x14ac:dyDescent="0.35">
      <c r="A602" s="426" t="s">
        <v>1132</v>
      </c>
      <c r="B602" s="419">
        <v>0.99680000000000002</v>
      </c>
    </row>
    <row r="603" spans="1:2" hidden="1" x14ac:dyDescent="0.35">
      <c r="A603" s="426" t="s">
        <v>1133</v>
      </c>
      <c r="B603" s="419">
        <v>0.99729999999999996</v>
      </c>
    </row>
    <row r="604" spans="1:2" hidden="1" x14ac:dyDescent="0.35">
      <c r="A604" s="426" t="s">
        <v>1134</v>
      </c>
      <c r="B604" s="419">
        <v>0.99429999999999996</v>
      </c>
    </row>
    <row r="605" spans="1:2" hidden="1" x14ac:dyDescent="0.35">
      <c r="A605" s="426" t="s">
        <v>1135</v>
      </c>
      <c r="B605" s="419">
        <v>0.99560000000000004</v>
      </c>
    </row>
    <row r="606" spans="1:2" hidden="1" x14ac:dyDescent="0.35">
      <c r="A606" s="426" t="s">
        <v>1136</v>
      </c>
      <c r="B606" s="419">
        <v>0.98680000000000001</v>
      </c>
    </row>
    <row r="607" spans="1:2" hidden="1" x14ac:dyDescent="0.35">
      <c r="A607" s="426" t="s">
        <v>1137</v>
      </c>
      <c r="B607" s="419">
        <v>0.99709999999999999</v>
      </c>
    </row>
    <row r="608" spans="1:2" hidden="1" x14ac:dyDescent="0.35">
      <c r="A608" s="426" t="s">
        <v>1138</v>
      </c>
      <c r="B608" s="419">
        <v>0.99939999999999996</v>
      </c>
    </row>
    <row r="609" spans="1:2" hidden="1" x14ac:dyDescent="0.35">
      <c r="A609" s="426" t="s">
        <v>1139</v>
      </c>
      <c r="B609" s="419">
        <v>0.99909999999999999</v>
      </c>
    </row>
    <row r="610" spans="1:2" hidden="1" x14ac:dyDescent="0.35">
      <c r="A610" s="426" t="s">
        <v>1140</v>
      </c>
      <c r="B610" s="419">
        <v>0.99390000000000001</v>
      </c>
    </row>
    <row r="611" spans="1:2" hidden="1" x14ac:dyDescent="0.35">
      <c r="A611" s="426" t="s">
        <v>1141</v>
      </c>
      <c r="B611" s="419">
        <v>0.99790000000000001</v>
      </c>
    </row>
    <row r="612" spans="1:2" hidden="1" x14ac:dyDescent="0.35">
      <c r="A612" s="426" t="s">
        <v>1142</v>
      </c>
      <c r="B612" s="419">
        <v>0.997</v>
      </c>
    </row>
    <row r="613" spans="1:2" hidden="1" x14ac:dyDescent="0.35">
      <c r="A613" s="426" t="s">
        <v>1143</v>
      </c>
      <c r="B613" s="419">
        <v>0.999</v>
      </c>
    </row>
    <row r="614" spans="1:2" hidden="1" x14ac:dyDescent="0.35">
      <c r="A614" s="426" t="s">
        <v>1144</v>
      </c>
      <c r="B614" s="419">
        <v>0.9929</v>
      </c>
    </row>
    <row r="615" spans="1:2" hidden="1" x14ac:dyDescent="0.35">
      <c r="A615" s="426" t="s">
        <v>1145</v>
      </c>
      <c r="B615" s="419">
        <v>0.99619999999999997</v>
      </c>
    </row>
    <row r="616" spans="1:2" hidden="1" x14ac:dyDescent="0.35">
      <c r="A616" s="426" t="s">
        <v>1146</v>
      </c>
      <c r="B616" s="419">
        <v>1</v>
      </c>
    </row>
    <row r="617" spans="1:2" hidden="1" x14ac:dyDescent="0.35">
      <c r="A617" s="426" t="s">
        <v>1147</v>
      </c>
      <c r="B617" s="419">
        <v>0.98299999999999998</v>
      </c>
    </row>
    <row r="618" spans="1:2" hidden="1" x14ac:dyDescent="0.35">
      <c r="A618" s="426" t="s">
        <v>1148</v>
      </c>
      <c r="B618" s="419">
        <v>0.98970000000000002</v>
      </c>
    </row>
    <row r="619" spans="1:2" hidden="1" x14ac:dyDescent="0.35">
      <c r="A619" s="426" t="s">
        <v>1149</v>
      </c>
      <c r="B619" s="419">
        <v>0.99809999999999999</v>
      </c>
    </row>
    <row r="620" spans="1:2" hidden="1" x14ac:dyDescent="0.35">
      <c r="A620" s="426" t="s">
        <v>1150</v>
      </c>
      <c r="B620" s="419">
        <v>0.9849</v>
      </c>
    </row>
    <row r="621" spans="1:2" hidden="1" x14ac:dyDescent="0.35">
      <c r="A621" s="426" t="s">
        <v>1151</v>
      </c>
      <c r="B621" s="419">
        <v>0.99680000000000002</v>
      </c>
    </row>
    <row r="622" spans="1:2" hidden="1" x14ac:dyDescent="0.35">
      <c r="A622" s="426" t="s">
        <v>1152</v>
      </c>
      <c r="B622" s="419">
        <v>0.99970000000000003</v>
      </c>
    </row>
    <row r="623" spans="1:2" hidden="1" x14ac:dyDescent="0.35">
      <c r="A623" s="426" t="s">
        <v>1153</v>
      </c>
      <c r="B623" s="419">
        <v>0.99729999999999996</v>
      </c>
    </row>
    <row r="624" spans="1:2" hidden="1" x14ac:dyDescent="0.35">
      <c r="A624" s="426" t="s">
        <v>1154</v>
      </c>
      <c r="B624" s="419">
        <v>0.99250000000000005</v>
      </c>
    </row>
    <row r="625" spans="1:2" hidden="1" x14ac:dyDescent="0.35">
      <c r="A625" s="426" t="s">
        <v>1155</v>
      </c>
      <c r="B625" s="419">
        <v>0.99609999999999999</v>
      </c>
    </row>
    <row r="626" spans="1:2" hidden="1" x14ac:dyDescent="0.35">
      <c r="A626" s="426" t="s">
        <v>1156</v>
      </c>
      <c r="B626" s="419">
        <v>0.99429999999999996</v>
      </c>
    </row>
    <row r="627" spans="1:2" hidden="1" x14ac:dyDescent="0.35">
      <c r="A627" s="426" t="s">
        <v>1157</v>
      </c>
      <c r="B627" s="419">
        <v>0.99380000000000002</v>
      </c>
    </row>
    <row r="628" spans="1:2" hidden="1" x14ac:dyDescent="0.35">
      <c r="A628" s="426" t="s">
        <v>1158</v>
      </c>
      <c r="B628" s="419">
        <v>0.99399999999999999</v>
      </c>
    </row>
    <row r="629" spans="1:2" hidden="1" x14ac:dyDescent="0.35">
      <c r="A629" s="426" t="s">
        <v>1159</v>
      </c>
      <c r="B629" s="419">
        <v>0.99670000000000003</v>
      </c>
    </row>
    <row r="630" spans="1:2" hidden="1" x14ac:dyDescent="0.35">
      <c r="A630" s="426" t="s">
        <v>1160</v>
      </c>
      <c r="B630" s="419">
        <v>1</v>
      </c>
    </row>
    <row r="631" spans="1:2" hidden="1" x14ac:dyDescent="0.35">
      <c r="A631" s="426" t="s">
        <v>1161</v>
      </c>
      <c r="B631" s="419">
        <v>0.99680000000000002</v>
      </c>
    </row>
    <row r="632" spans="1:2" hidden="1" x14ac:dyDescent="0.35">
      <c r="A632" s="426" t="s">
        <v>1162</v>
      </c>
      <c r="B632" s="419">
        <v>0.99419999999999997</v>
      </c>
    </row>
    <row r="633" spans="1:2" hidden="1" x14ac:dyDescent="0.35">
      <c r="A633" s="426" t="s">
        <v>1163</v>
      </c>
      <c r="B633" s="419">
        <v>0.99709999999999999</v>
      </c>
    </row>
    <row r="634" spans="1:2" hidden="1" x14ac:dyDescent="0.35">
      <c r="A634" s="426" t="s">
        <v>1164</v>
      </c>
      <c r="B634" s="419">
        <v>0.99890000000000001</v>
      </c>
    </row>
    <row r="635" spans="1:2" hidden="1" x14ac:dyDescent="0.35">
      <c r="A635" s="426" t="s">
        <v>1165</v>
      </c>
      <c r="B635" s="419">
        <v>0.99329999999999996</v>
      </c>
    </row>
    <row r="636" spans="1:2" hidden="1" x14ac:dyDescent="0.35">
      <c r="A636" s="426" t="s">
        <v>1166</v>
      </c>
      <c r="B636" s="419">
        <v>0.99829999999999997</v>
      </c>
    </row>
    <row r="637" spans="1:2" hidden="1" x14ac:dyDescent="0.35">
      <c r="A637" s="426" t="s">
        <v>1167</v>
      </c>
      <c r="B637" s="419">
        <v>0.99609999999999999</v>
      </c>
    </row>
    <row r="638" spans="1:2" hidden="1" x14ac:dyDescent="0.35">
      <c r="A638" s="426" t="s">
        <v>1168</v>
      </c>
      <c r="B638" s="419">
        <v>0.99850000000000005</v>
      </c>
    </row>
    <row r="639" spans="1:2" hidden="1" x14ac:dyDescent="0.35">
      <c r="A639" s="426" t="s">
        <v>1169</v>
      </c>
      <c r="B639" s="419">
        <v>1</v>
      </c>
    </row>
    <row r="640" spans="1:2" hidden="1" x14ac:dyDescent="0.35">
      <c r="A640" s="426" t="s">
        <v>1170</v>
      </c>
      <c r="B640" s="419">
        <v>0.997</v>
      </c>
    </row>
    <row r="641" spans="1:2" hidden="1" x14ac:dyDescent="0.35">
      <c r="A641" s="426" t="s">
        <v>1171</v>
      </c>
      <c r="B641" s="419">
        <v>0.99739999999999995</v>
      </c>
    </row>
    <row r="642" spans="1:2" hidden="1" x14ac:dyDescent="0.35">
      <c r="A642" s="426" t="s">
        <v>1172</v>
      </c>
      <c r="B642" s="419">
        <v>0.99929999999999997</v>
      </c>
    </row>
    <row r="643" spans="1:2" hidden="1" x14ac:dyDescent="0.35">
      <c r="A643" s="426" t="s">
        <v>1173</v>
      </c>
      <c r="B643" s="419">
        <v>0.999</v>
      </c>
    </row>
    <row r="644" spans="1:2" hidden="1" x14ac:dyDescent="0.35">
      <c r="A644" s="426" t="s">
        <v>1174</v>
      </c>
      <c r="B644" s="419">
        <v>0.99239999999999995</v>
      </c>
    </row>
    <row r="645" spans="1:2" hidden="1" x14ac:dyDescent="0.35">
      <c r="A645" s="426" t="s">
        <v>1175</v>
      </c>
      <c r="B645" s="419">
        <v>1</v>
      </c>
    </row>
    <row r="646" spans="1:2" hidden="1" x14ac:dyDescent="0.35">
      <c r="A646" s="426" t="s">
        <v>1176</v>
      </c>
      <c r="B646" s="419">
        <v>0.99809999999999999</v>
      </c>
    </row>
    <row r="647" spans="1:2" hidden="1" x14ac:dyDescent="0.35">
      <c r="A647" s="426" t="s">
        <v>1177</v>
      </c>
      <c r="B647" s="419">
        <v>0.99829999999999997</v>
      </c>
    </row>
    <row r="648" spans="1:2" hidden="1" x14ac:dyDescent="0.35">
      <c r="A648" s="426" t="s">
        <v>1178</v>
      </c>
      <c r="B648" s="419">
        <v>0.99299999999999999</v>
      </c>
    </row>
    <row r="649" spans="1:2" hidden="1" x14ac:dyDescent="0.35">
      <c r="A649" s="426" t="s">
        <v>1179</v>
      </c>
      <c r="B649" s="419">
        <v>1</v>
      </c>
    </row>
    <row r="650" spans="1:2" hidden="1" x14ac:dyDescent="0.35">
      <c r="A650" s="426" t="s">
        <v>1180</v>
      </c>
      <c r="B650" s="419">
        <v>0.99470000000000003</v>
      </c>
    </row>
    <row r="651" spans="1:2" hidden="1" x14ac:dyDescent="0.35">
      <c r="A651" s="426" t="s">
        <v>1181</v>
      </c>
      <c r="B651" s="419">
        <v>0.99939999999999996</v>
      </c>
    </row>
    <row r="652" spans="1:2" hidden="1" x14ac:dyDescent="0.35">
      <c r="A652" s="426" t="s">
        <v>1182</v>
      </c>
      <c r="B652" s="419">
        <v>0.99219999999999997</v>
      </c>
    </row>
    <row r="653" spans="1:2" hidden="1" x14ac:dyDescent="0.35">
      <c r="A653" s="426" t="s">
        <v>1183</v>
      </c>
      <c r="B653" s="419">
        <v>0.998</v>
      </c>
    </row>
    <row r="654" spans="1:2" hidden="1" x14ac:dyDescent="0.35">
      <c r="A654" s="426" t="s">
        <v>1184</v>
      </c>
      <c r="B654" s="419">
        <v>0.99339999999999995</v>
      </c>
    </row>
    <row r="655" spans="1:2" hidden="1" x14ac:dyDescent="0.35">
      <c r="A655" s="426" t="s">
        <v>1185</v>
      </c>
      <c r="B655" s="419">
        <v>0.98709999999999998</v>
      </c>
    </row>
    <row r="656" spans="1:2" hidden="1" x14ac:dyDescent="0.35">
      <c r="A656" s="426" t="s">
        <v>1186</v>
      </c>
      <c r="B656" s="419">
        <v>0.98750000000000004</v>
      </c>
    </row>
    <row r="657" spans="1:2" hidden="1" x14ac:dyDescent="0.35">
      <c r="A657" s="426" t="s">
        <v>1187</v>
      </c>
      <c r="B657" s="419">
        <v>0.999</v>
      </c>
    </row>
    <row r="658" spans="1:2" hidden="1" x14ac:dyDescent="0.35">
      <c r="A658" s="426" t="s">
        <v>1188</v>
      </c>
      <c r="B658" s="419">
        <v>0.99829999999999997</v>
      </c>
    </row>
    <row r="659" spans="1:2" hidden="1" x14ac:dyDescent="0.35">
      <c r="A659" s="426" t="s">
        <v>1189</v>
      </c>
      <c r="B659" s="419">
        <v>0.99050000000000005</v>
      </c>
    </row>
    <row r="660" spans="1:2" hidden="1" x14ac:dyDescent="0.35">
      <c r="A660" s="426" t="s">
        <v>1190</v>
      </c>
      <c r="B660" s="419">
        <v>0.99460000000000004</v>
      </c>
    </row>
    <row r="661" spans="1:2" hidden="1" x14ac:dyDescent="0.35">
      <c r="A661" s="426" t="s">
        <v>1191</v>
      </c>
      <c r="B661" s="419">
        <v>0.99809999999999999</v>
      </c>
    </row>
    <row r="662" spans="1:2" hidden="1" x14ac:dyDescent="0.35">
      <c r="A662" s="426" t="s">
        <v>1192</v>
      </c>
      <c r="B662" s="419">
        <v>0.98740000000000006</v>
      </c>
    </row>
    <row r="663" spans="1:2" hidden="1" x14ac:dyDescent="0.35">
      <c r="A663" s="426" t="s">
        <v>1193</v>
      </c>
      <c r="B663" s="419">
        <v>1</v>
      </c>
    </row>
    <row r="664" spans="1:2" hidden="1" x14ac:dyDescent="0.35">
      <c r="A664" s="426" t="s">
        <v>1194</v>
      </c>
      <c r="B664" s="419">
        <v>0.99619999999999997</v>
      </c>
    </row>
    <row r="665" spans="1:2" hidden="1" x14ac:dyDescent="0.35">
      <c r="A665" s="426" t="s">
        <v>1195</v>
      </c>
      <c r="B665" s="419">
        <v>0.99960000000000004</v>
      </c>
    </row>
    <row r="666" spans="1:2" hidden="1" x14ac:dyDescent="0.35">
      <c r="A666" s="426" t="s">
        <v>1196</v>
      </c>
      <c r="B666" s="419">
        <v>1</v>
      </c>
    </row>
    <row r="667" spans="1:2" hidden="1" x14ac:dyDescent="0.35">
      <c r="A667" s="426" t="s">
        <v>1197</v>
      </c>
      <c r="B667" s="419">
        <v>0.99970000000000003</v>
      </c>
    </row>
    <row r="668" spans="1:2" hidden="1" x14ac:dyDescent="0.35">
      <c r="A668" s="426" t="s">
        <v>1198</v>
      </c>
      <c r="B668" s="419">
        <v>0.99260000000000004</v>
      </c>
    </row>
    <row r="669" spans="1:2" hidden="1" x14ac:dyDescent="0.35">
      <c r="A669" s="426" t="s">
        <v>1199</v>
      </c>
      <c r="B669" s="419">
        <v>0.99409999999999998</v>
      </c>
    </row>
    <row r="670" spans="1:2" hidden="1" x14ac:dyDescent="0.35">
      <c r="A670" s="426" t="s">
        <v>1200</v>
      </c>
      <c r="B670" s="419">
        <v>0.99139999999999995</v>
      </c>
    </row>
    <row r="671" spans="1:2" hidden="1" x14ac:dyDescent="0.35">
      <c r="A671" s="426" t="s">
        <v>1201</v>
      </c>
      <c r="B671" s="419">
        <v>0.99580000000000002</v>
      </c>
    </row>
    <row r="672" spans="1:2" hidden="1" x14ac:dyDescent="0.35">
      <c r="A672" s="426" t="s">
        <v>1202</v>
      </c>
      <c r="B672" s="419">
        <v>0.98929999999999996</v>
      </c>
    </row>
    <row r="673" spans="1:2" hidden="1" x14ac:dyDescent="0.35">
      <c r="A673" s="426" t="s">
        <v>1203</v>
      </c>
      <c r="B673" s="419">
        <v>0.99719999999999998</v>
      </c>
    </row>
    <row r="674" spans="1:2" hidden="1" x14ac:dyDescent="0.35">
      <c r="A674" s="426" t="s">
        <v>1204</v>
      </c>
      <c r="B674" s="419">
        <v>0.99739999999999995</v>
      </c>
    </row>
    <row r="675" spans="1:2" hidden="1" x14ac:dyDescent="0.35">
      <c r="A675" s="426" t="s">
        <v>1205</v>
      </c>
      <c r="B675" s="419">
        <v>0.99809999999999999</v>
      </c>
    </row>
    <row r="676" spans="1:2" hidden="1" x14ac:dyDescent="0.35">
      <c r="A676" s="426" t="s">
        <v>1206</v>
      </c>
      <c r="B676" s="419">
        <v>0.98280000000000001</v>
      </c>
    </row>
    <row r="677" spans="1:2" hidden="1" x14ac:dyDescent="0.35">
      <c r="A677" s="426" t="s">
        <v>1207</v>
      </c>
      <c r="B677" s="419">
        <v>0.99490000000000001</v>
      </c>
    </row>
    <row r="678" spans="1:2" hidden="1" x14ac:dyDescent="0.35">
      <c r="A678" s="426" t="s">
        <v>1208</v>
      </c>
      <c r="B678" s="419">
        <v>0.99409999999999998</v>
      </c>
    </row>
    <row r="679" spans="1:2" hidden="1" x14ac:dyDescent="0.35">
      <c r="A679" s="426" t="s">
        <v>1209</v>
      </c>
      <c r="B679" s="419">
        <v>0.99829999999999997</v>
      </c>
    </row>
    <row r="680" spans="1:2" hidden="1" x14ac:dyDescent="0.35">
      <c r="A680" s="426" t="s">
        <v>1210</v>
      </c>
      <c r="B680" s="419">
        <v>0.99690000000000001</v>
      </c>
    </row>
    <row r="681" spans="1:2" hidden="1" x14ac:dyDescent="0.35">
      <c r="A681" s="426" t="s">
        <v>1211</v>
      </c>
      <c r="B681" s="419">
        <v>0.99580000000000002</v>
      </c>
    </row>
    <row r="682" spans="1:2" hidden="1" x14ac:dyDescent="0.35">
      <c r="A682" s="426" t="s">
        <v>1212</v>
      </c>
      <c r="B682" s="419">
        <v>0.99929999999999997</v>
      </c>
    </row>
    <row r="683" spans="1:2" hidden="1" x14ac:dyDescent="0.35">
      <c r="A683" s="426" t="s">
        <v>1213</v>
      </c>
      <c r="B683" s="419">
        <v>0.99119999999999997</v>
      </c>
    </row>
    <row r="684" spans="1:2" hidden="1" x14ac:dyDescent="0.35">
      <c r="A684" s="426" t="s">
        <v>1214</v>
      </c>
      <c r="B684" s="419">
        <v>0.999</v>
      </c>
    </row>
    <row r="685" spans="1:2" hidden="1" x14ac:dyDescent="0.35">
      <c r="A685" s="426" t="s">
        <v>1215</v>
      </c>
      <c r="B685" s="419">
        <v>0.98360000000000003</v>
      </c>
    </row>
    <row r="686" spans="1:2" hidden="1" x14ac:dyDescent="0.35">
      <c r="A686" s="426" t="s">
        <v>1216</v>
      </c>
      <c r="B686" s="419">
        <v>0.99019999999999997</v>
      </c>
    </row>
    <row r="687" spans="1:2" hidden="1" x14ac:dyDescent="0.35">
      <c r="A687" s="426" t="s">
        <v>1217</v>
      </c>
      <c r="B687" s="419">
        <v>0.99399999999999999</v>
      </c>
    </row>
    <row r="688" spans="1:2" hidden="1" x14ac:dyDescent="0.35">
      <c r="A688" s="426" t="s">
        <v>1218</v>
      </c>
      <c r="B688" s="419">
        <v>0.99339999999999995</v>
      </c>
    </row>
    <row r="689" spans="1:2" hidden="1" x14ac:dyDescent="0.35">
      <c r="A689" s="426" t="s">
        <v>1219</v>
      </c>
      <c r="B689" s="419">
        <v>0.99539999999999995</v>
      </c>
    </row>
    <row r="690" spans="1:2" hidden="1" x14ac:dyDescent="0.35">
      <c r="A690" s="426" t="s">
        <v>1220</v>
      </c>
      <c r="B690" s="419">
        <v>0.98429999999999995</v>
      </c>
    </row>
    <row r="691" spans="1:2" hidden="1" x14ac:dyDescent="0.35">
      <c r="A691" s="426" t="s">
        <v>1221</v>
      </c>
      <c r="B691" s="419">
        <v>0.99950000000000006</v>
      </c>
    </row>
    <row r="692" spans="1:2" hidden="1" x14ac:dyDescent="0.35">
      <c r="A692" s="426" t="s">
        <v>1222</v>
      </c>
      <c r="B692" s="419">
        <v>0.97750000000000004</v>
      </c>
    </row>
    <row r="693" spans="1:2" hidden="1" x14ac:dyDescent="0.35">
      <c r="A693" s="426" t="s">
        <v>1223</v>
      </c>
      <c r="B693" s="419">
        <v>0.99070000000000003</v>
      </c>
    </row>
    <row r="694" spans="1:2" hidden="1" x14ac:dyDescent="0.35">
      <c r="A694" s="426" t="s">
        <v>1224</v>
      </c>
      <c r="B694" s="419">
        <v>0.99529999999999996</v>
      </c>
    </row>
    <row r="695" spans="1:2" hidden="1" x14ac:dyDescent="0.35">
      <c r="A695" s="426" t="s">
        <v>1225</v>
      </c>
      <c r="B695" s="419">
        <v>0.99419999999999997</v>
      </c>
    </row>
    <row r="696" spans="1:2" hidden="1" x14ac:dyDescent="0.35">
      <c r="A696" s="426" t="s">
        <v>1226</v>
      </c>
      <c r="B696" s="419">
        <v>0.99760000000000004</v>
      </c>
    </row>
    <row r="697" spans="1:2" hidden="1" x14ac:dyDescent="0.35">
      <c r="A697" s="426" t="s">
        <v>1227</v>
      </c>
      <c r="B697" s="419">
        <v>0.99419999999999997</v>
      </c>
    </row>
    <row r="698" spans="1:2" hidden="1" x14ac:dyDescent="0.35">
      <c r="A698" s="426" t="s">
        <v>1228</v>
      </c>
      <c r="B698" s="419">
        <v>0.98850000000000005</v>
      </c>
    </row>
    <row r="699" spans="1:2" hidden="1" x14ac:dyDescent="0.35">
      <c r="A699" s="426" t="s">
        <v>1229</v>
      </c>
      <c r="B699" s="419">
        <v>0.98860000000000003</v>
      </c>
    </row>
    <row r="700" spans="1:2" hidden="1" x14ac:dyDescent="0.35">
      <c r="A700" s="426" t="s">
        <v>1230</v>
      </c>
      <c r="B700" s="419">
        <v>0.99560000000000004</v>
      </c>
    </row>
    <row r="701" spans="1:2" hidden="1" x14ac:dyDescent="0.35">
      <c r="A701" s="426" t="s">
        <v>1231</v>
      </c>
      <c r="B701" s="419">
        <v>0.97</v>
      </c>
    </row>
    <row r="702" spans="1:2" hidden="1" x14ac:dyDescent="0.35">
      <c r="A702" s="426" t="s">
        <v>1232</v>
      </c>
      <c r="B702" s="419">
        <v>0.98699999999999999</v>
      </c>
    </row>
    <row r="703" spans="1:2" hidden="1" x14ac:dyDescent="0.35">
      <c r="A703" s="426" t="s">
        <v>1233</v>
      </c>
      <c r="B703" s="419">
        <v>1</v>
      </c>
    </row>
    <row r="704" spans="1:2" hidden="1" x14ac:dyDescent="0.35">
      <c r="A704" s="426" t="s">
        <v>1234</v>
      </c>
      <c r="B704" s="419">
        <v>0.99209999999999998</v>
      </c>
    </row>
    <row r="705" spans="1:2" hidden="1" x14ac:dyDescent="0.35">
      <c r="A705" s="426" t="s">
        <v>1235</v>
      </c>
      <c r="B705" s="419">
        <v>0.99419999999999997</v>
      </c>
    </row>
    <row r="706" spans="1:2" hidden="1" x14ac:dyDescent="0.35">
      <c r="A706" s="426" t="s">
        <v>1236</v>
      </c>
      <c r="B706" s="419">
        <v>0.99399999999999999</v>
      </c>
    </row>
    <row r="707" spans="1:2" hidden="1" x14ac:dyDescent="0.35">
      <c r="A707" s="426" t="s">
        <v>1237</v>
      </c>
      <c r="B707" s="419">
        <v>0.99880000000000002</v>
      </c>
    </row>
    <row r="708" spans="1:2" hidden="1" x14ac:dyDescent="0.35">
      <c r="A708" s="426" t="s">
        <v>1238</v>
      </c>
      <c r="B708" s="419">
        <v>0.98860000000000003</v>
      </c>
    </row>
    <row r="709" spans="1:2" hidden="1" x14ac:dyDescent="0.35">
      <c r="A709" s="426" t="s">
        <v>1239</v>
      </c>
      <c r="B709" s="419">
        <v>0.99829999999999997</v>
      </c>
    </row>
    <row r="710" spans="1:2" hidden="1" x14ac:dyDescent="0.35">
      <c r="A710" s="426" t="s">
        <v>1240</v>
      </c>
      <c r="B710" s="419">
        <v>1</v>
      </c>
    </row>
    <row r="711" spans="1:2" hidden="1" x14ac:dyDescent="0.35">
      <c r="A711" s="426" t="s">
        <v>1241</v>
      </c>
      <c r="B711" s="419">
        <v>0.99750000000000005</v>
      </c>
    </row>
    <row r="712" spans="1:2" hidden="1" x14ac:dyDescent="0.35">
      <c r="A712" s="426" t="s">
        <v>1242</v>
      </c>
      <c r="B712" s="419">
        <v>0.99929999999999997</v>
      </c>
    </row>
    <row r="713" spans="1:2" hidden="1" x14ac:dyDescent="0.35">
      <c r="A713" s="426" t="s">
        <v>1243</v>
      </c>
      <c r="B713" s="419">
        <v>1</v>
      </c>
    </row>
    <row r="714" spans="1:2" hidden="1" x14ac:dyDescent="0.35">
      <c r="A714" s="426" t="s">
        <v>1244</v>
      </c>
      <c r="B714" s="419">
        <v>0.9879</v>
      </c>
    </row>
    <row r="715" spans="1:2" hidden="1" x14ac:dyDescent="0.35">
      <c r="A715" s="426" t="s">
        <v>1245</v>
      </c>
      <c r="B715" s="419">
        <v>0.99550000000000005</v>
      </c>
    </row>
    <row r="716" spans="1:2" hidden="1" x14ac:dyDescent="0.35">
      <c r="A716" s="426" t="s">
        <v>1246</v>
      </c>
      <c r="B716" s="419">
        <v>0.99990000000000001</v>
      </c>
    </row>
    <row r="717" spans="1:2" hidden="1" x14ac:dyDescent="0.35">
      <c r="A717" s="426" t="s">
        <v>1247</v>
      </c>
      <c r="B717" s="419">
        <v>0.99809999999999999</v>
      </c>
    </row>
    <row r="718" spans="1:2" hidden="1" x14ac:dyDescent="0.35">
      <c r="A718" s="426" t="s">
        <v>1248</v>
      </c>
      <c r="B718" s="419">
        <v>0.997</v>
      </c>
    </row>
    <row r="719" spans="1:2" hidden="1" x14ac:dyDescent="0.35">
      <c r="A719" s="426" t="s">
        <v>1249</v>
      </c>
      <c r="B719" s="419">
        <v>0.99</v>
      </c>
    </row>
    <row r="720" spans="1:2" hidden="1" x14ac:dyDescent="0.35">
      <c r="A720" s="426" t="s">
        <v>1250</v>
      </c>
      <c r="B720" s="419">
        <v>0.998</v>
      </c>
    </row>
    <row r="721" spans="1:2" hidden="1" x14ac:dyDescent="0.35">
      <c r="A721" s="426" t="s">
        <v>1251</v>
      </c>
      <c r="B721" s="419">
        <v>1</v>
      </c>
    </row>
    <row r="722" spans="1:2" hidden="1" x14ac:dyDescent="0.35">
      <c r="A722" s="426" t="s">
        <v>1252</v>
      </c>
      <c r="B722" s="419">
        <v>0.999</v>
      </c>
    </row>
    <row r="723" spans="1:2" hidden="1" x14ac:dyDescent="0.35">
      <c r="A723" s="426" t="s">
        <v>1253</v>
      </c>
      <c r="B723" s="419">
        <v>0.99909999999999999</v>
      </c>
    </row>
    <row r="724" spans="1:2" hidden="1" x14ac:dyDescent="0.35">
      <c r="A724" s="426" t="s">
        <v>1254</v>
      </c>
      <c r="B724" s="419">
        <v>1</v>
      </c>
    </row>
    <row r="725" spans="1:2" hidden="1" x14ac:dyDescent="0.35">
      <c r="A725" s="426" t="s">
        <v>1255</v>
      </c>
      <c r="B725" s="419">
        <v>1</v>
      </c>
    </row>
    <row r="726" spans="1:2" hidden="1" x14ac:dyDescent="0.35">
      <c r="A726" s="426" t="s">
        <v>1256</v>
      </c>
      <c r="B726" s="419">
        <v>1</v>
      </c>
    </row>
    <row r="727" spans="1:2" hidden="1" x14ac:dyDescent="0.35">
      <c r="A727" s="426" t="s">
        <v>1257</v>
      </c>
      <c r="B727" s="419">
        <v>0.99729999999999996</v>
      </c>
    </row>
    <row r="728" spans="1:2" hidden="1" x14ac:dyDescent="0.35">
      <c r="A728" s="426" t="s">
        <v>1258</v>
      </c>
      <c r="B728" s="419">
        <v>1</v>
      </c>
    </row>
    <row r="729" spans="1:2" hidden="1" x14ac:dyDescent="0.35">
      <c r="A729" s="426" t="s">
        <v>1259</v>
      </c>
      <c r="B729" s="419">
        <v>0.998</v>
      </c>
    </row>
    <row r="730" spans="1:2" hidden="1" x14ac:dyDescent="0.35">
      <c r="A730" s="426" t="s">
        <v>1260</v>
      </c>
      <c r="B730" s="419">
        <v>0.99339999999999995</v>
      </c>
    </row>
    <row r="731" spans="1:2" hidden="1" x14ac:dyDescent="0.35">
      <c r="A731" s="426" t="s">
        <v>1261</v>
      </c>
      <c r="B731" s="419">
        <v>1</v>
      </c>
    </row>
    <row r="732" spans="1:2" hidden="1" x14ac:dyDescent="0.35">
      <c r="A732" s="426" t="s">
        <v>1262</v>
      </c>
      <c r="B732" s="419">
        <v>0.99729999999999996</v>
      </c>
    </row>
    <row r="733" spans="1:2" hidden="1" x14ac:dyDescent="0.35">
      <c r="A733" s="426" t="s">
        <v>1263</v>
      </c>
      <c r="B733" s="419">
        <v>1</v>
      </c>
    </row>
    <row r="734" spans="1:2" hidden="1" x14ac:dyDescent="0.35">
      <c r="A734" s="426" t="s">
        <v>1264</v>
      </c>
      <c r="B734" s="419">
        <v>1</v>
      </c>
    </row>
    <row r="735" spans="1:2" hidden="1" x14ac:dyDescent="0.35">
      <c r="A735" s="426" t="s">
        <v>1265</v>
      </c>
      <c r="B735" s="419">
        <v>0.999</v>
      </c>
    </row>
    <row r="736" spans="1:2" hidden="1" x14ac:dyDescent="0.35">
      <c r="A736" s="426" t="s">
        <v>1266</v>
      </c>
      <c r="B736" s="419">
        <v>0.99780000000000002</v>
      </c>
    </row>
    <row r="737" spans="1:2" hidden="1" x14ac:dyDescent="0.35">
      <c r="A737" s="426" t="s">
        <v>1267</v>
      </c>
      <c r="B737" s="419">
        <v>0.99570000000000003</v>
      </c>
    </row>
    <row r="738" spans="1:2" hidden="1" x14ac:dyDescent="0.35">
      <c r="A738" s="426" t="s">
        <v>1268</v>
      </c>
      <c r="B738" s="419">
        <v>1</v>
      </c>
    </row>
    <row r="739" spans="1:2" hidden="1" x14ac:dyDescent="0.35">
      <c r="A739" s="426" t="s">
        <v>1269</v>
      </c>
      <c r="B739" s="419">
        <v>0.99939999999999996</v>
      </c>
    </row>
    <row r="740" spans="1:2" hidden="1" x14ac:dyDescent="0.35">
      <c r="A740" s="426" t="s">
        <v>1270</v>
      </c>
      <c r="B740" s="419">
        <v>0.99780000000000002</v>
      </c>
    </row>
    <row r="741" spans="1:2" hidden="1" x14ac:dyDescent="0.35">
      <c r="A741" s="426" t="s">
        <v>1271</v>
      </c>
      <c r="B741" s="419">
        <v>0.99829999999999997</v>
      </c>
    </row>
    <row r="742" spans="1:2" hidden="1" x14ac:dyDescent="0.35">
      <c r="A742" s="426" t="s">
        <v>1272</v>
      </c>
      <c r="B742" s="419">
        <v>0.99970000000000003</v>
      </c>
    </row>
    <row r="743" spans="1:2" hidden="1" x14ac:dyDescent="0.35">
      <c r="A743" s="426" t="s">
        <v>1273</v>
      </c>
      <c r="B743" s="419">
        <v>0.99339999999999995</v>
      </c>
    </row>
    <row r="744" spans="1:2" hidden="1" x14ac:dyDescent="0.35">
      <c r="A744" s="426" t="s">
        <v>1274</v>
      </c>
      <c r="B744" s="419">
        <v>0.99750000000000005</v>
      </c>
    </row>
    <row r="745" spans="1:2" hidden="1" x14ac:dyDescent="0.35">
      <c r="A745" s="426" t="s">
        <v>1275</v>
      </c>
      <c r="B745" s="419">
        <v>0.99229999999999996</v>
      </c>
    </row>
    <row r="746" spans="1:2" hidden="1" x14ac:dyDescent="0.35">
      <c r="A746" s="426" t="s">
        <v>1276</v>
      </c>
      <c r="B746" s="419">
        <v>1</v>
      </c>
    </row>
    <row r="747" spans="1:2" hidden="1" x14ac:dyDescent="0.35">
      <c r="A747" s="426" t="s">
        <v>1277</v>
      </c>
      <c r="B747" s="419">
        <v>0.99609999999999999</v>
      </c>
    </row>
    <row r="748" spans="1:2" hidden="1" x14ac:dyDescent="0.35">
      <c r="A748" s="426" t="s">
        <v>1278</v>
      </c>
      <c r="B748" s="419">
        <v>1</v>
      </c>
    </row>
    <row r="749" spans="1:2" hidden="1" x14ac:dyDescent="0.35">
      <c r="A749" s="426" t="s">
        <v>1279</v>
      </c>
      <c r="B749" s="419">
        <v>0.98650000000000004</v>
      </c>
    </row>
    <row r="750" spans="1:2" hidden="1" x14ac:dyDescent="0.35">
      <c r="A750" s="426" t="s">
        <v>1280</v>
      </c>
      <c r="B750" s="419">
        <v>0.99580000000000002</v>
      </c>
    </row>
    <row r="751" spans="1:2" hidden="1" x14ac:dyDescent="0.35">
      <c r="A751" s="426" t="s">
        <v>1281</v>
      </c>
      <c r="B751" s="419">
        <v>0.99729999999999996</v>
      </c>
    </row>
    <row r="752" spans="1:2" hidden="1" x14ac:dyDescent="0.35">
      <c r="A752" s="426" t="s">
        <v>1282</v>
      </c>
      <c r="B752" s="419">
        <v>0.99629999999999996</v>
      </c>
    </row>
    <row r="753" spans="1:2" hidden="1" x14ac:dyDescent="0.35">
      <c r="A753" s="426" t="s">
        <v>1283</v>
      </c>
      <c r="B753" s="419">
        <v>0.99419999999999997</v>
      </c>
    </row>
    <row r="754" spans="1:2" hidden="1" x14ac:dyDescent="0.35">
      <c r="A754" s="426" t="s">
        <v>1284</v>
      </c>
      <c r="B754" s="419">
        <v>0.99639999999999995</v>
      </c>
    </row>
    <row r="755" spans="1:2" hidden="1" x14ac:dyDescent="0.35">
      <c r="A755" s="426" t="s">
        <v>1285</v>
      </c>
      <c r="B755" s="419">
        <v>0.998</v>
      </c>
    </row>
    <row r="756" spans="1:2" hidden="1" x14ac:dyDescent="0.35">
      <c r="A756" s="426" t="s">
        <v>1286</v>
      </c>
      <c r="B756" s="419">
        <v>0.99939999999999996</v>
      </c>
    </row>
    <row r="757" spans="1:2" hidden="1" x14ac:dyDescent="0.35">
      <c r="A757" s="426" t="s">
        <v>1287</v>
      </c>
      <c r="B757" s="419">
        <v>1</v>
      </c>
    </row>
    <row r="758" spans="1:2" hidden="1" x14ac:dyDescent="0.35">
      <c r="A758" s="426" t="s">
        <v>1288</v>
      </c>
      <c r="B758" s="419">
        <v>0.99750000000000005</v>
      </c>
    </row>
    <row r="759" spans="1:2" hidden="1" x14ac:dyDescent="0.35">
      <c r="A759" s="426" t="s">
        <v>1289</v>
      </c>
      <c r="B759" s="419">
        <v>0.99160000000000004</v>
      </c>
    </row>
    <row r="760" spans="1:2" hidden="1" x14ac:dyDescent="0.35">
      <c r="A760" s="426" t="s">
        <v>1290</v>
      </c>
      <c r="B760" s="419">
        <v>1</v>
      </c>
    </row>
    <row r="761" spans="1:2" hidden="1" x14ac:dyDescent="0.35">
      <c r="A761" s="426" t="s">
        <v>1291</v>
      </c>
      <c r="B761" s="419">
        <v>0.99150000000000005</v>
      </c>
    </row>
    <row r="762" spans="1:2" hidden="1" x14ac:dyDescent="0.35">
      <c r="A762" s="426" t="s">
        <v>1292</v>
      </c>
      <c r="B762" s="419">
        <v>0.99790000000000001</v>
      </c>
    </row>
    <row r="763" spans="1:2" hidden="1" x14ac:dyDescent="0.35">
      <c r="A763" s="426" t="s">
        <v>1293</v>
      </c>
      <c r="B763" s="419">
        <v>0.99890000000000001</v>
      </c>
    </row>
    <row r="764" spans="1:2" hidden="1" x14ac:dyDescent="0.35">
      <c r="A764" s="426" t="s">
        <v>1294</v>
      </c>
      <c r="B764" s="419">
        <v>1</v>
      </c>
    </row>
    <row r="765" spans="1:2" hidden="1" x14ac:dyDescent="0.35">
      <c r="A765" s="426" t="s">
        <v>1295</v>
      </c>
      <c r="B765" s="419">
        <v>0.99990000000000001</v>
      </c>
    </row>
    <row r="766" spans="1:2" hidden="1" x14ac:dyDescent="0.35">
      <c r="A766" s="426" t="s">
        <v>1296</v>
      </c>
      <c r="B766" s="419">
        <v>0.99960000000000004</v>
      </c>
    </row>
    <row r="767" spans="1:2" hidden="1" x14ac:dyDescent="0.35">
      <c r="A767" s="426" t="s">
        <v>1297</v>
      </c>
      <c r="B767" s="419">
        <v>0.99670000000000003</v>
      </c>
    </row>
    <row r="768" spans="1:2" hidden="1" x14ac:dyDescent="0.35">
      <c r="A768" s="426" t="s">
        <v>1298</v>
      </c>
      <c r="B768" s="419">
        <v>0.99680000000000002</v>
      </c>
    </row>
    <row r="769" spans="1:2" hidden="1" x14ac:dyDescent="0.35">
      <c r="A769" s="426" t="s">
        <v>1299</v>
      </c>
      <c r="B769" s="419">
        <v>0.99880000000000002</v>
      </c>
    </row>
    <row r="770" spans="1:2" hidden="1" x14ac:dyDescent="0.35">
      <c r="A770" s="426" t="s">
        <v>1300</v>
      </c>
      <c r="B770" s="419">
        <v>0.99329999999999996</v>
      </c>
    </row>
    <row r="771" spans="1:2" hidden="1" x14ac:dyDescent="0.35">
      <c r="A771" s="426" t="s">
        <v>1301</v>
      </c>
      <c r="B771" s="419">
        <v>1</v>
      </c>
    </row>
    <row r="772" spans="1:2" hidden="1" x14ac:dyDescent="0.35">
      <c r="A772" s="426" t="s">
        <v>1302</v>
      </c>
      <c r="B772" s="419">
        <v>1</v>
      </c>
    </row>
    <row r="773" spans="1:2" hidden="1" x14ac:dyDescent="0.35">
      <c r="A773" s="426" t="s">
        <v>1303</v>
      </c>
      <c r="B773" s="419">
        <v>0.99939999999999996</v>
      </c>
    </row>
    <row r="774" spans="1:2" hidden="1" x14ac:dyDescent="0.35">
      <c r="A774" s="426" t="s">
        <v>1304</v>
      </c>
      <c r="B774" s="419">
        <v>0.99990000000000001</v>
      </c>
    </row>
    <row r="775" spans="1:2" hidden="1" x14ac:dyDescent="0.35">
      <c r="A775" s="426" t="s">
        <v>1305</v>
      </c>
      <c r="B775" s="419">
        <v>0.99429999999999996</v>
      </c>
    </row>
    <row r="776" spans="1:2" hidden="1" x14ac:dyDescent="0.35">
      <c r="A776" s="426" t="s">
        <v>1306</v>
      </c>
      <c r="B776" s="419">
        <v>0.99809999999999999</v>
      </c>
    </row>
    <row r="777" spans="1:2" hidden="1" x14ac:dyDescent="0.35">
      <c r="A777" s="426" t="s">
        <v>1307</v>
      </c>
      <c r="B777" s="419">
        <v>0.99670000000000003</v>
      </c>
    </row>
    <row r="778" spans="1:2" hidden="1" x14ac:dyDescent="0.35">
      <c r="A778" s="426" t="s">
        <v>1308</v>
      </c>
      <c r="B778" s="419">
        <v>0.99370000000000003</v>
      </c>
    </row>
    <row r="779" spans="1:2" hidden="1" x14ac:dyDescent="0.35">
      <c r="A779" s="426" t="s">
        <v>1309</v>
      </c>
      <c r="B779" s="419">
        <v>0.99680000000000002</v>
      </c>
    </row>
    <row r="780" spans="1:2" hidden="1" x14ac:dyDescent="0.35">
      <c r="A780" s="426" t="s">
        <v>1310</v>
      </c>
      <c r="B780" s="419">
        <v>1</v>
      </c>
    </row>
    <row r="781" spans="1:2" hidden="1" x14ac:dyDescent="0.35">
      <c r="A781" s="426" t="s">
        <v>1311</v>
      </c>
      <c r="B781" s="419">
        <v>0.99909999999999999</v>
      </c>
    </row>
    <row r="782" spans="1:2" hidden="1" x14ac:dyDescent="0.35">
      <c r="A782" s="426" t="s">
        <v>1312</v>
      </c>
      <c r="B782" s="419">
        <v>0.99619999999999997</v>
      </c>
    </row>
    <row r="783" spans="1:2" hidden="1" x14ac:dyDescent="0.35">
      <c r="A783" s="426" t="s">
        <v>1313</v>
      </c>
      <c r="B783" s="419">
        <v>1</v>
      </c>
    </row>
    <row r="784" spans="1:2" hidden="1" x14ac:dyDescent="0.35">
      <c r="A784" s="426" t="s">
        <v>1314</v>
      </c>
      <c r="B784" s="419">
        <v>1</v>
      </c>
    </row>
    <row r="785" spans="1:2" hidden="1" x14ac:dyDescent="0.35">
      <c r="A785" s="426" t="s">
        <v>1315</v>
      </c>
      <c r="B785" s="419">
        <v>0.99770000000000003</v>
      </c>
    </row>
    <row r="786" spans="1:2" hidden="1" x14ac:dyDescent="0.35">
      <c r="A786" s="426" t="s">
        <v>1316</v>
      </c>
      <c r="B786" s="419">
        <v>1</v>
      </c>
    </row>
    <row r="787" spans="1:2" hidden="1" x14ac:dyDescent="0.35">
      <c r="A787" s="426" t="s">
        <v>1317</v>
      </c>
      <c r="B787" s="419">
        <v>1</v>
      </c>
    </row>
    <row r="788" spans="1:2" hidden="1" x14ac:dyDescent="0.35">
      <c r="A788" s="426" t="s">
        <v>1318</v>
      </c>
      <c r="B788" s="419">
        <v>1</v>
      </c>
    </row>
    <row r="789" spans="1:2" hidden="1" x14ac:dyDescent="0.35">
      <c r="A789" s="426" t="s">
        <v>1319</v>
      </c>
      <c r="B789" s="419">
        <v>0.99280000000000002</v>
      </c>
    </row>
    <row r="790" spans="1:2" hidden="1" x14ac:dyDescent="0.35">
      <c r="A790" s="426" t="s">
        <v>1320</v>
      </c>
      <c r="B790" s="419">
        <v>0.99199999999999999</v>
      </c>
    </row>
    <row r="791" spans="1:2" hidden="1" x14ac:dyDescent="0.35">
      <c r="A791" s="426" t="s">
        <v>1321</v>
      </c>
      <c r="B791" s="419">
        <v>1</v>
      </c>
    </row>
    <row r="792" spans="1:2" hidden="1" x14ac:dyDescent="0.35">
      <c r="A792" s="426" t="s">
        <v>1322</v>
      </c>
      <c r="B792" s="419">
        <v>1</v>
      </c>
    </row>
    <row r="793" spans="1:2" hidden="1" x14ac:dyDescent="0.35">
      <c r="A793" s="426" t="s">
        <v>1323</v>
      </c>
      <c r="B793" s="419">
        <v>1</v>
      </c>
    </row>
    <row r="794" spans="1:2" hidden="1" x14ac:dyDescent="0.35">
      <c r="A794" s="426" t="s">
        <v>1324</v>
      </c>
      <c r="B794" s="419">
        <v>0.99860000000000004</v>
      </c>
    </row>
    <row r="795" spans="1:2" hidden="1" x14ac:dyDescent="0.35">
      <c r="A795" s="426" t="s">
        <v>1325</v>
      </c>
      <c r="B795" s="419">
        <v>0.99939999999999996</v>
      </c>
    </row>
    <row r="796" spans="1:2" hidden="1" x14ac:dyDescent="0.35">
      <c r="A796" s="426" t="s">
        <v>1326</v>
      </c>
      <c r="B796" s="419">
        <v>0.99390000000000001</v>
      </c>
    </row>
    <row r="797" spans="1:2" hidden="1" x14ac:dyDescent="0.35">
      <c r="A797" s="426" t="s">
        <v>1327</v>
      </c>
      <c r="B797" s="419">
        <v>0.97060000000000002</v>
      </c>
    </row>
    <row r="798" spans="1:2" hidden="1" x14ac:dyDescent="0.35">
      <c r="A798" s="426" t="s">
        <v>1328</v>
      </c>
      <c r="B798" s="419">
        <v>0.998</v>
      </c>
    </row>
    <row r="799" spans="1:2" hidden="1" x14ac:dyDescent="0.35">
      <c r="A799" s="426" t="s">
        <v>1329</v>
      </c>
      <c r="B799" s="419">
        <v>1</v>
      </c>
    </row>
    <row r="800" spans="1:2" hidden="1" x14ac:dyDescent="0.35">
      <c r="A800" s="426" t="s">
        <v>1330</v>
      </c>
      <c r="B800" s="419">
        <v>1</v>
      </c>
    </row>
    <row r="801" spans="1:2" hidden="1" x14ac:dyDescent="0.35">
      <c r="A801" s="426" t="s">
        <v>1331</v>
      </c>
      <c r="B801" s="419">
        <v>1</v>
      </c>
    </row>
    <row r="802" spans="1:2" hidden="1" x14ac:dyDescent="0.35">
      <c r="A802" s="426" t="s">
        <v>1332</v>
      </c>
      <c r="B802" s="419">
        <v>1</v>
      </c>
    </row>
    <row r="803" spans="1:2" hidden="1" x14ac:dyDescent="0.35">
      <c r="A803" s="426" t="s">
        <v>1333</v>
      </c>
      <c r="B803" s="419">
        <v>0.999</v>
      </c>
    </row>
    <row r="804" spans="1:2" hidden="1" x14ac:dyDescent="0.35">
      <c r="A804" s="426" t="s">
        <v>1334</v>
      </c>
      <c r="B804" s="419">
        <v>1</v>
      </c>
    </row>
    <row r="805" spans="1:2" hidden="1" x14ac:dyDescent="0.35">
      <c r="A805" s="426" t="s">
        <v>1335</v>
      </c>
      <c r="B805" s="419">
        <v>0.99709999999999999</v>
      </c>
    </row>
    <row r="806" spans="1:2" hidden="1" x14ac:dyDescent="0.35">
      <c r="A806" s="426" t="s">
        <v>1336</v>
      </c>
      <c r="B806" s="419">
        <v>0.99239999999999995</v>
      </c>
    </row>
    <row r="807" spans="1:2" hidden="1" x14ac:dyDescent="0.35">
      <c r="A807" s="426" t="s">
        <v>1337</v>
      </c>
      <c r="B807" s="419">
        <v>0.99980000000000002</v>
      </c>
    </row>
    <row r="808" spans="1:2" hidden="1" x14ac:dyDescent="0.35">
      <c r="A808" s="426" t="s">
        <v>1338</v>
      </c>
      <c r="B808" s="419">
        <v>0.99709999999999999</v>
      </c>
    </row>
    <row r="809" spans="1:2" hidden="1" x14ac:dyDescent="0.35">
      <c r="A809" s="426" t="s">
        <v>1339</v>
      </c>
      <c r="B809" s="419">
        <v>0.99650000000000005</v>
      </c>
    </row>
    <row r="810" spans="1:2" hidden="1" x14ac:dyDescent="0.35">
      <c r="A810" s="426" t="s">
        <v>1340</v>
      </c>
      <c r="B810" s="419">
        <v>0.98519999999999996</v>
      </c>
    </row>
    <row r="811" spans="1:2" hidden="1" x14ac:dyDescent="0.35">
      <c r="A811" s="426" t="s">
        <v>1341</v>
      </c>
      <c r="B811" s="419">
        <v>0.99950000000000006</v>
      </c>
    </row>
    <row r="812" spans="1:2" hidden="1" x14ac:dyDescent="0.35">
      <c r="A812" s="426" t="s">
        <v>1342</v>
      </c>
      <c r="B812" s="419">
        <v>0.99819999999999998</v>
      </c>
    </row>
    <row r="813" spans="1:2" hidden="1" x14ac:dyDescent="0.35">
      <c r="A813" s="426" t="s">
        <v>1343</v>
      </c>
      <c r="B813" s="419">
        <v>0.99490000000000001</v>
      </c>
    </row>
    <row r="814" spans="1:2" hidden="1" x14ac:dyDescent="0.35">
      <c r="A814" s="426" t="s">
        <v>1344</v>
      </c>
      <c r="B814" s="419">
        <v>0.99939999999999996</v>
      </c>
    </row>
    <row r="815" spans="1:2" hidden="1" x14ac:dyDescent="0.35">
      <c r="A815" s="426" t="s">
        <v>1345</v>
      </c>
      <c r="B815" s="419">
        <v>0.99829999999999997</v>
      </c>
    </row>
    <row r="816" spans="1:2" hidden="1" x14ac:dyDescent="0.35">
      <c r="A816" s="426" t="s">
        <v>1346</v>
      </c>
      <c r="B816" s="419">
        <v>0.99180000000000001</v>
      </c>
    </row>
    <row r="817" spans="1:2" hidden="1" x14ac:dyDescent="0.35">
      <c r="A817" s="426" t="s">
        <v>1347</v>
      </c>
      <c r="B817" s="419">
        <v>0.99980000000000002</v>
      </c>
    </row>
    <row r="818" spans="1:2" hidden="1" x14ac:dyDescent="0.35">
      <c r="A818" s="426" t="s">
        <v>1348</v>
      </c>
      <c r="B818" s="419">
        <v>0.99980000000000002</v>
      </c>
    </row>
    <row r="819" spans="1:2" hidden="1" x14ac:dyDescent="0.35">
      <c r="A819" s="426" t="s">
        <v>1349</v>
      </c>
      <c r="B819" s="419">
        <v>0.99639999999999995</v>
      </c>
    </row>
    <row r="820" spans="1:2" hidden="1" x14ac:dyDescent="0.35">
      <c r="A820" s="426" t="s">
        <v>1350</v>
      </c>
      <c r="B820" s="419">
        <v>0.98750000000000004</v>
      </c>
    </row>
    <row r="821" spans="1:2" hidden="1" x14ac:dyDescent="0.35">
      <c r="A821" s="426" t="s">
        <v>1351</v>
      </c>
      <c r="B821" s="419">
        <v>0.99860000000000004</v>
      </c>
    </row>
    <row r="822" spans="1:2" hidden="1" x14ac:dyDescent="0.35">
      <c r="A822" s="426" t="s">
        <v>1352</v>
      </c>
      <c r="B822" s="419">
        <v>0.99519999999999997</v>
      </c>
    </row>
    <row r="823" spans="1:2" hidden="1" x14ac:dyDescent="0.35">
      <c r="A823" s="426" t="s">
        <v>1353</v>
      </c>
      <c r="B823" s="419">
        <v>0.99950000000000006</v>
      </c>
    </row>
    <row r="824" spans="1:2" hidden="1" x14ac:dyDescent="0.35">
      <c r="A824" s="426" t="s">
        <v>1354</v>
      </c>
      <c r="B824" s="419">
        <v>0.99960000000000004</v>
      </c>
    </row>
    <row r="825" spans="1:2" hidden="1" x14ac:dyDescent="0.35">
      <c r="A825" s="426" t="s">
        <v>1355</v>
      </c>
      <c r="B825" s="419">
        <v>0.99780000000000002</v>
      </c>
    </row>
    <row r="826" spans="1:2" hidden="1" x14ac:dyDescent="0.35">
      <c r="A826" s="426" t="s">
        <v>1356</v>
      </c>
      <c r="B826" s="419">
        <v>0.99299999999999999</v>
      </c>
    </row>
    <row r="827" spans="1:2" hidden="1" x14ac:dyDescent="0.35">
      <c r="A827" s="426" t="s">
        <v>1357</v>
      </c>
      <c r="B827" s="419">
        <v>1</v>
      </c>
    </row>
    <row r="828" spans="1:2" hidden="1" x14ac:dyDescent="0.35">
      <c r="A828" s="426" t="s">
        <v>1358</v>
      </c>
      <c r="B828" s="419">
        <v>1</v>
      </c>
    </row>
    <row r="829" spans="1:2" hidden="1" x14ac:dyDescent="0.35">
      <c r="A829" s="426" t="s">
        <v>1359</v>
      </c>
      <c r="B829" s="419">
        <v>1</v>
      </c>
    </row>
    <row r="830" spans="1:2" hidden="1" x14ac:dyDescent="0.35">
      <c r="A830" s="426" t="s">
        <v>1360</v>
      </c>
      <c r="B830" s="419">
        <v>1</v>
      </c>
    </row>
    <row r="831" spans="1:2" hidden="1" x14ac:dyDescent="0.35">
      <c r="A831" s="426" t="s">
        <v>1361</v>
      </c>
      <c r="B831" s="419">
        <v>0.99819999999999998</v>
      </c>
    </row>
    <row r="832" spans="1:2" hidden="1" x14ac:dyDescent="0.35">
      <c r="A832" s="426" t="s">
        <v>1362</v>
      </c>
      <c r="B832" s="419">
        <v>0.99909999999999999</v>
      </c>
    </row>
    <row r="833" spans="1:2" hidden="1" x14ac:dyDescent="0.35">
      <c r="A833" s="426" t="s">
        <v>1363</v>
      </c>
      <c r="B833" s="419">
        <v>1</v>
      </c>
    </row>
    <row r="834" spans="1:2" hidden="1" x14ac:dyDescent="0.35">
      <c r="A834" s="426" t="s">
        <v>1364</v>
      </c>
      <c r="B834" s="419">
        <v>0.99970000000000003</v>
      </c>
    </row>
    <row r="835" spans="1:2" hidden="1" x14ac:dyDescent="0.35">
      <c r="A835" s="426" t="s">
        <v>1365</v>
      </c>
      <c r="B835" s="419">
        <v>0.99709999999999999</v>
      </c>
    </row>
    <row r="836" spans="1:2" hidden="1" x14ac:dyDescent="0.35">
      <c r="A836" s="426" t="s">
        <v>1366</v>
      </c>
      <c r="B836" s="419">
        <v>0.99970000000000003</v>
      </c>
    </row>
    <row r="837" spans="1:2" hidden="1" x14ac:dyDescent="0.35">
      <c r="A837" s="426" t="s">
        <v>1367</v>
      </c>
      <c r="B837" s="419">
        <v>0.99980000000000002</v>
      </c>
    </row>
    <row r="838" spans="1:2" hidden="1" x14ac:dyDescent="0.35">
      <c r="A838" s="426" t="s">
        <v>1368</v>
      </c>
      <c r="B838" s="419">
        <v>0.99860000000000004</v>
      </c>
    </row>
    <row r="839" spans="1:2" hidden="1" x14ac:dyDescent="0.35">
      <c r="A839" s="426" t="s">
        <v>1369</v>
      </c>
      <c r="B839" s="419">
        <v>0.99870000000000003</v>
      </c>
    </row>
    <row r="840" spans="1:2" hidden="1" x14ac:dyDescent="0.35">
      <c r="A840" s="426" t="s">
        <v>1370</v>
      </c>
      <c r="B840" s="419">
        <v>0.99970000000000003</v>
      </c>
    </row>
    <row r="841" spans="1:2" hidden="1" x14ac:dyDescent="0.35">
      <c r="A841" s="426" t="s">
        <v>1371</v>
      </c>
      <c r="B841" s="419">
        <v>0.99829999999999997</v>
      </c>
    </row>
    <row r="842" spans="1:2" hidden="1" x14ac:dyDescent="0.35">
      <c r="A842" s="426" t="s">
        <v>1372</v>
      </c>
      <c r="B842" s="419">
        <v>0.99690000000000001</v>
      </c>
    </row>
    <row r="843" spans="1:2" hidden="1" x14ac:dyDescent="0.35">
      <c r="A843" s="426" t="s">
        <v>1373</v>
      </c>
      <c r="B843" s="419">
        <v>1</v>
      </c>
    </row>
    <row r="844" spans="1:2" hidden="1" x14ac:dyDescent="0.35">
      <c r="A844" s="426" t="s">
        <v>1374</v>
      </c>
      <c r="B844" s="419">
        <v>1</v>
      </c>
    </row>
    <row r="845" spans="1:2" hidden="1" x14ac:dyDescent="0.35">
      <c r="A845" s="426" t="s">
        <v>1375</v>
      </c>
      <c r="B845" s="419">
        <v>1</v>
      </c>
    </row>
    <row r="846" spans="1:2" hidden="1" x14ac:dyDescent="0.35">
      <c r="A846" s="426" t="s">
        <v>1376</v>
      </c>
      <c r="B846" s="419">
        <v>1</v>
      </c>
    </row>
    <row r="847" spans="1:2" hidden="1" x14ac:dyDescent="0.35">
      <c r="A847" s="426" t="s">
        <v>1377</v>
      </c>
      <c r="B847" s="419">
        <v>0.99239999999999995</v>
      </c>
    </row>
    <row r="848" spans="1:2" hidden="1" x14ac:dyDescent="0.35">
      <c r="A848" s="426" t="s">
        <v>1378</v>
      </c>
      <c r="B848" s="419">
        <v>1</v>
      </c>
    </row>
    <row r="849" spans="1:2" hidden="1" x14ac:dyDescent="0.35">
      <c r="A849" s="426" t="s">
        <v>1379</v>
      </c>
      <c r="B849" s="419">
        <v>0.99980000000000002</v>
      </c>
    </row>
    <row r="850" spans="1:2" hidden="1" x14ac:dyDescent="0.35">
      <c r="A850" s="426" t="s">
        <v>1380</v>
      </c>
      <c r="B850" s="419">
        <v>1</v>
      </c>
    </row>
    <row r="851" spans="1:2" hidden="1" x14ac:dyDescent="0.35">
      <c r="A851" s="426" t="s">
        <v>1381</v>
      </c>
      <c r="B851" s="419">
        <v>0.99809999999999999</v>
      </c>
    </row>
    <row r="852" spans="1:2" hidden="1" x14ac:dyDescent="0.35">
      <c r="A852" s="426" t="s">
        <v>1382</v>
      </c>
      <c r="B852" s="419">
        <v>1</v>
      </c>
    </row>
    <row r="853" spans="1:2" hidden="1" x14ac:dyDescent="0.35">
      <c r="A853" s="426" t="s">
        <v>1383</v>
      </c>
      <c r="B853" s="419">
        <v>0.99790000000000001</v>
      </c>
    </row>
    <row r="854" spans="1:2" hidden="1" x14ac:dyDescent="0.35">
      <c r="A854" s="426" t="s">
        <v>1384</v>
      </c>
      <c r="B854" s="419">
        <v>1</v>
      </c>
    </row>
    <row r="855" spans="1:2" hidden="1" x14ac:dyDescent="0.35">
      <c r="A855" s="426" t="s">
        <v>1385</v>
      </c>
      <c r="B855" s="419">
        <v>1</v>
      </c>
    </row>
    <row r="856" spans="1:2" hidden="1" x14ac:dyDescent="0.35">
      <c r="A856" s="426" t="s">
        <v>1386</v>
      </c>
      <c r="B856" s="419">
        <v>0.997</v>
      </c>
    </row>
    <row r="857" spans="1:2" hidden="1" x14ac:dyDescent="0.35">
      <c r="A857" s="426" t="s">
        <v>1387</v>
      </c>
      <c r="B857" s="419">
        <v>1</v>
      </c>
    </row>
    <row r="858" spans="1:2" hidden="1" x14ac:dyDescent="0.35">
      <c r="A858" s="426" t="s">
        <v>1388</v>
      </c>
      <c r="B858" s="419">
        <v>0.99160000000000004</v>
      </c>
    </row>
    <row r="859" spans="1:2" hidden="1" x14ac:dyDescent="0.35">
      <c r="A859" s="426" t="s">
        <v>1389</v>
      </c>
      <c r="B859" s="419">
        <v>0.9919</v>
      </c>
    </row>
    <row r="860" spans="1:2" hidden="1" x14ac:dyDescent="0.35">
      <c r="A860" s="426" t="s">
        <v>1390</v>
      </c>
      <c r="B860" s="419">
        <v>0.98980000000000001</v>
      </c>
    </row>
    <row r="861" spans="1:2" hidden="1" x14ac:dyDescent="0.35">
      <c r="A861" s="426" t="s">
        <v>1391</v>
      </c>
      <c r="B861" s="419">
        <v>0.999</v>
      </c>
    </row>
    <row r="862" spans="1:2" hidden="1" x14ac:dyDescent="0.35">
      <c r="A862" s="426" t="s">
        <v>1392</v>
      </c>
      <c r="B862" s="419">
        <v>0.99950000000000006</v>
      </c>
    </row>
    <row r="863" spans="1:2" hidden="1" x14ac:dyDescent="0.35">
      <c r="A863" s="426" t="s">
        <v>1393</v>
      </c>
      <c r="B863" s="419">
        <v>0.99129999999999996</v>
      </c>
    </row>
    <row r="864" spans="1:2" hidden="1" x14ac:dyDescent="0.35">
      <c r="A864" s="426" t="s">
        <v>1394</v>
      </c>
      <c r="B864" s="419">
        <v>0.99729999999999996</v>
      </c>
    </row>
    <row r="865" spans="1:2" hidden="1" x14ac:dyDescent="0.35">
      <c r="A865" s="426" t="s">
        <v>1395</v>
      </c>
      <c r="B865" s="419">
        <v>0.99460000000000004</v>
      </c>
    </row>
    <row r="866" spans="1:2" hidden="1" x14ac:dyDescent="0.35">
      <c r="A866" s="426" t="s">
        <v>1396</v>
      </c>
      <c r="B866" s="419">
        <v>0.99770000000000003</v>
      </c>
    </row>
    <row r="867" spans="1:2" hidden="1" x14ac:dyDescent="0.35">
      <c r="A867" s="426" t="s">
        <v>1397</v>
      </c>
      <c r="B867" s="419">
        <v>0.99729999999999996</v>
      </c>
    </row>
    <row r="868" spans="1:2" hidden="1" x14ac:dyDescent="0.35">
      <c r="A868" s="426" t="s">
        <v>1398</v>
      </c>
      <c r="B868" s="419">
        <v>1</v>
      </c>
    </row>
    <row r="869" spans="1:2" hidden="1" x14ac:dyDescent="0.35">
      <c r="A869" s="426" t="s">
        <v>1399</v>
      </c>
      <c r="B869" s="419">
        <v>0.99380000000000002</v>
      </c>
    </row>
    <row r="870" spans="1:2" hidden="1" x14ac:dyDescent="0.35">
      <c r="A870" s="426" t="s">
        <v>1400</v>
      </c>
      <c r="B870" s="419">
        <v>0.99839999999999995</v>
      </c>
    </row>
    <row r="871" spans="1:2" hidden="1" x14ac:dyDescent="0.35">
      <c r="A871" s="426" t="s">
        <v>1401</v>
      </c>
      <c r="B871" s="419">
        <v>0.997</v>
      </c>
    </row>
    <row r="872" spans="1:2" hidden="1" x14ac:dyDescent="0.35">
      <c r="A872" s="426" t="s">
        <v>1402</v>
      </c>
      <c r="B872" s="419">
        <v>1</v>
      </c>
    </row>
    <row r="873" spans="1:2" hidden="1" x14ac:dyDescent="0.35">
      <c r="A873" s="426" t="s">
        <v>1403</v>
      </c>
      <c r="B873" s="419">
        <v>0.99919999999999998</v>
      </c>
    </row>
    <row r="874" spans="1:2" hidden="1" x14ac:dyDescent="0.35">
      <c r="A874" s="426" t="s">
        <v>1404</v>
      </c>
      <c r="B874" s="419">
        <v>0.99709999999999999</v>
      </c>
    </row>
    <row r="875" spans="1:2" hidden="1" x14ac:dyDescent="0.35">
      <c r="A875" s="426" t="s">
        <v>1405</v>
      </c>
      <c r="B875" s="419">
        <v>0.99890000000000001</v>
      </c>
    </row>
    <row r="876" spans="1:2" hidden="1" x14ac:dyDescent="0.35">
      <c r="A876" s="426" t="s">
        <v>1406</v>
      </c>
      <c r="B876" s="419">
        <v>0.99960000000000004</v>
      </c>
    </row>
    <row r="877" spans="1:2" hidden="1" x14ac:dyDescent="0.35">
      <c r="A877" s="426" t="s">
        <v>1407</v>
      </c>
      <c r="B877" s="419">
        <v>0.99539999999999995</v>
      </c>
    </row>
    <row r="878" spans="1:2" hidden="1" x14ac:dyDescent="0.35">
      <c r="A878" s="426" t="s">
        <v>1408</v>
      </c>
      <c r="B878" s="419">
        <v>0.99450000000000005</v>
      </c>
    </row>
    <row r="879" spans="1:2" hidden="1" x14ac:dyDescent="0.35">
      <c r="A879" s="426" t="s">
        <v>1409</v>
      </c>
      <c r="B879" s="419">
        <v>0.99760000000000004</v>
      </c>
    </row>
    <row r="880" spans="1:2" hidden="1" x14ac:dyDescent="0.35">
      <c r="A880" s="426" t="s">
        <v>1410</v>
      </c>
      <c r="B880" s="419">
        <v>1</v>
      </c>
    </row>
    <row r="881" spans="1:2" hidden="1" x14ac:dyDescent="0.35">
      <c r="A881" s="426" t="s">
        <v>1411</v>
      </c>
      <c r="B881" s="419">
        <v>0.99929999999999997</v>
      </c>
    </row>
    <row r="882" spans="1:2" hidden="1" x14ac:dyDescent="0.35">
      <c r="A882" s="426" t="s">
        <v>1412</v>
      </c>
      <c r="B882" s="419">
        <v>1</v>
      </c>
    </row>
    <row r="883" spans="1:2" hidden="1" x14ac:dyDescent="0.35">
      <c r="A883" s="426" t="s">
        <v>1413</v>
      </c>
      <c r="B883" s="419">
        <v>0.98909999999999998</v>
      </c>
    </row>
    <row r="884" spans="1:2" hidden="1" x14ac:dyDescent="0.35">
      <c r="A884" s="426" t="s">
        <v>1414</v>
      </c>
      <c r="B884" s="419">
        <v>0.99929999999999997</v>
      </c>
    </row>
    <row r="885" spans="1:2" hidden="1" x14ac:dyDescent="0.35">
      <c r="A885" s="426" t="s">
        <v>1415</v>
      </c>
      <c r="B885" s="419">
        <v>0.99419999999999997</v>
      </c>
    </row>
    <row r="886" spans="1:2" hidden="1" x14ac:dyDescent="0.35">
      <c r="A886" s="426" t="s">
        <v>1416</v>
      </c>
      <c r="B886" s="419">
        <v>0.99199999999999999</v>
      </c>
    </row>
    <row r="887" spans="1:2" hidden="1" x14ac:dyDescent="0.35">
      <c r="A887" s="426" t="s">
        <v>1417</v>
      </c>
      <c r="B887" s="419">
        <v>0.99170000000000003</v>
      </c>
    </row>
    <row r="888" spans="1:2" hidden="1" x14ac:dyDescent="0.35">
      <c r="A888" s="426" t="s">
        <v>1418</v>
      </c>
      <c r="B888" s="419">
        <v>0.99409999999999998</v>
      </c>
    </row>
    <row r="889" spans="1:2" hidden="1" x14ac:dyDescent="0.35">
      <c r="A889" s="426" t="s">
        <v>1419</v>
      </c>
      <c r="B889" s="419">
        <v>1</v>
      </c>
    </row>
    <row r="890" spans="1:2" hidden="1" x14ac:dyDescent="0.35">
      <c r="A890" s="426" t="s">
        <v>1420</v>
      </c>
      <c r="B890" s="419">
        <v>0.99680000000000002</v>
      </c>
    </row>
    <row r="891" spans="1:2" hidden="1" x14ac:dyDescent="0.35">
      <c r="A891" s="426" t="s">
        <v>1421</v>
      </c>
      <c r="B891" s="419">
        <v>0.98819999999999997</v>
      </c>
    </row>
    <row r="892" spans="1:2" hidden="1" x14ac:dyDescent="0.35">
      <c r="A892" s="426" t="s">
        <v>1422</v>
      </c>
      <c r="B892" s="419">
        <v>1</v>
      </c>
    </row>
    <row r="893" spans="1:2" hidden="1" x14ac:dyDescent="0.35">
      <c r="A893" s="426" t="s">
        <v>1423</v>
      </c>
      <c r="B893" s="419">
        <v>0.99609999999999999</v>
      </c>
    </row>
    <row r="894" spans="1:2" hidden="1" x14ac:dyDescent="0.35">
      <c r="A894" s="426" t="s">
        <v>1424</v>
      </c>
      <c r="B894" s="419">
        <v>0.99860000000000004</v>
      </c>
    </row>
    <row r="895" spans="1:2" hidden="1" x14ac:dyDescent="0.35">
      <c r="A895" s="426" t="s">
        <v>1425</v>
      </c>
      <c r="B895" s="419">
        <v>0.99780000000000002</v>
      </c>
    </row>
    <row r="896" spans="1:2" hidden="1" x14ac:dyDescent="0.35">
      <c r="A896" s="426" t="s">
        <v>1426</v>
      </c>
      <c r="B896" s="419">
        <v>0.99199999999999999</v>
      </c>
    </row>
    <row r="897" spans="1:2" hidden="1" x14ac:dyDescent="0.35">
      <c r="A897" s="426" t="s">
        <v>1427</v>
      </c>
      <c r="B897" s="419">
        <v>0.99199999999999999</v>
      </c>
    </row>
    <row r="898" spans="1:2" hidden="1" x14ac:dyDescent="0.35">
      <c r="A898" s="426" t="s">
        <v>1428</v>
      </c>
      <c r="B898" s="419">
        <v>1</v>
      </c>
    </row>
    <row r="899" spans="1:2" hidden="1" x14ac:dyDescent="0.35">
      <c r="A899" s="426" t="s">
        <v>1429</v>
      </c>
      <c r="B899" s="419">
        <v>1</v>
      </c>
    </row>
    <row r="900" spans="1:2" hidden="1" x14ac:dyDescent="0.35">
      <c r="A900" s="426" t="s">
        <v>1430</v>
      </c>
      <c r="B900" s="419">
        <v>0.99429999999999996</v>
      </c>
    </row>
    <row r="901" spans="1:2" hidden="1" x14ac:dyDescent="0.35">
      <c r="A901" s="426" t="s">
        <v>1431</v>
      </c>
      <c r="B901" s="419">
        <v>0.99299999999999999</v>
      </c>
    </row>
    <row r="902" spans="1:2" hidden="1" x14ac:dyDescent="0.35">
      <c r="A902" s="426" t="s">
        <v>1432</v>
      </c>
      <c r="B902" s="419">
        <v>1</v>
      </c>
    </row>
    <row r="903" spans="1:2" hidden="1" x14ac:dyDescent="0.35">
      <c r="A903" s="426" t="s">
        <v>1433</v>
      </c>
      <c r="B903" s="419">
        <v>0.98619999999999997</v>
      </c>
    </row>
    <row r="904" spans="1:2" hidden="1" x14ac:dyDescent="0.35">
      <c r="A904" s="426" t="s">
        <v>1434</v>
      </c>
      <c r="B904" s="419">
        <v>0.99750000000000005</v>
      </c>
    </row>
    <row r="905" spans="1:2" hidden="1" x14ac:dyDescent="0.35">
      <c r="A905" s="426" t="s">
        <v>1435</v>
      </c>
      <c r="B905" s="419">
        <v>1</v>
      </c>
    </row>
    <row r="906" spans="1:2" hidden="1" x14ac:dyDescent="0.35">
      <c r="A906" s="426" t="s">
        <v>1436</v>
      </c>
      <c r="B906" s="419">
        <v>0.99809999999999999</v>
      </c>
    </row>
    <row r="907" spans="1:2" hidden="1" x14ac:dyDescent="0.35">
      <c r="A907" s="426" t="s">
        <v>1437</v>
      </c>
      <c r="B907" s="419">
        <v>0.99919999999999998</v>
      </c>
    </row>
    <row r="908" spans="1:2" hidden="1" x14ac:dyDescent="0.35">
      <c r="A908" s="426" t="s">
        <v>1438</v>
      </c>
      <c r="B908" s="419">
        <v>0.99690000000000001</v>
      </c>
    </row>
    <row r="909" spans="1:2" hidden="1" x14ac:dyDescent="0.35">
      <c r="A909" s="426" t="s">
        <v>1439</v>
      </c>
      <c r="B909" s="419">
        <v>0.99750000000000005</v>
      </c>
    </row>
    <row r="910" spans="1:2" hidden="1" x14ac:dyDescent="0.35">
      <c r="A910" s="426" t="s">
        <v>1440</v>
      </c>
      <c r="B910" s="419">
        <v>1</v>
      </c>
    </row>
    <row r="911" spans="1:2" hidden="1" x14ac:dyDescent="0.35">
      <c r="A911" s="426" t="s">
        <v>1441</v>
      </c>
      <c r="B911" s="419">
        <v>1</v>
      </c>
    </row>
    <row r="912" spans="1:2" hidden="1" x14ac:dyDescent="0.35">
      <c r="A912" s="426" t="s">
        <v>1442</v>
      </c>
      <c r="B912" s="419">
        <v>0.99690000000000001</v>
      </c>
    </row>
    <row r="913" spans="1:2" hidden="1" x14ac:dyDescent="0.35">
      <c r="A913" s="426" t="s">
        <v>1443</v>
      </c>
      <c r="B913" s="419">
        <v>0.99250000000000005</v>
      </c>
    </row>
    <row r="914" spans="1:2" hidden="1" x14ac:dyDescent="0.35">
      <c r="A914" s="426" t="s">
        <v>1444</v>
      </c>
      <c r="B914" s="419">
        <v>0.99529999999999996</v>
      </c>
    </row>
    <row r="915" spans="1:2" hidden="1" x14ac:dyDescent="0.35">
      <c r="A915" s="426" t="s">
        <v>1445</v>
      </c>
      <c r="B915" s="419">
        <v>0.99380000000000002</v>
      </c>
    </row>
    <row r="916" spans="1:2" hidden="1" x14ac:dyDescent="0.35">
      <c r="A916" s="426" t="s">
        <v>1446</v>
      </c>
      <c r="B916" s="419">
        <v>0.99919999999999998</v>
      </c>
    </row>
    <row r="917" spans="1:2" hidden="1" x14ac:dyDescent="0.35">
      <c r="A917" s="426" t="s">
        <v>1447</v>
      </c>
      <c r="B917" s="419">
        <v>0.99970000000000003</v>
      </c>
    </row>
    <row r="918" spans="1:2" hidden="1" x14ac:dyDescent="0.35">
      <c r="A918" s="426" t="s">
        <v>1448</v>
      </c>
      <c r="B918" s="419">
        <v>0.99119999999999997</v>
      </c>
    </row>
    <row r="919" spans="1:2" hidden="1" x14ac:dyDescent="0.35">
      <c r="A919" s="426" t="s">
        <v>1449</v>
      </c>
      <c r="B919" s="419">
        <v>0.99680000000000002</v>
      </c>
    </row>
    <row r="920" spans="1:2" hidden="1" x14ac:dyDescent="0.35">
      <c r="A920" s="426" t="s">
        <v>1450</v>
      </c>
      <c r="B920" s="419">
        <v>0.99550000000000005</v>
      </c>
    </row>
    <row r="921" spans="1:2" hidden="1" x14ac:dyDescent="0.35">
      <c r="A921" s="426" t="s">
        <v>1451</v>
      </c>
      <c r="B921" s="419">
        <v>0.99229999999999996</v>
      </c>
    </row>
    <row r="922" spans="1:2" hidden="1" x14ac:dyDescent="0.35">
      <c r="A922" s="426" t="s">
        <v>1452</v>
      </c>
      <c r="B922" s="419">
        <v>0.99609999999999999</v>
      </c>
    </row>
    <row r="923" spans="1:2" hidden="1" x14ac:dyDescent="0.35">
      <c r="A923" s="426" t="s">
        <v>1453</v>
      </c>
      <c r="B923" s="419">
        <v>1</v>
      </c>
    </row>
    <row r="924" spans="1:2" hidden="1" x14ac:dyDescent="0.35">
      <c r="A924" s="426" t="s">
        <v>1454</v>
      </c>
      <c r="B924" s="419">
        <v>0.99160000000000004</v>
      </c>
    </row>
    <row r="925" spans="1:2" hidden="1" x14ac:dyDescent="0.35">
      <c r="A925" s="426" t="s">
        <v>1455</v>
      </c>
      <c r="B925" s="419">
        <v>0.98070000000000002</v>
      </c>
    </row>
    <row r="926" spans="1:2" hidden="1" x14ac:dyDescent="0.35">
      <c r="A926" s="426" t="s">
        <v>1456</v>
      </c>
      <c r="B926" s="419">
        <v>0.99670000000000003</v>
      </c>
    </row>
    <row r="927" spans="1:2" hidden="1" x14ac:dyDescent="0.35">
      <c r="A927" s="426" t="s">
        <v>1457</v>
      </c>
      <c r="B927" s="419">
        <v>0.99470000000000003</v>
      </c>
    </row>
    <row r="928" spans="1:2" hidden="1" x14ac:dyDescent="0.35">
      <c r="A928" s="426" t="s">
        <v>1458</v>
      </c>
      <c r="B928" s="419">
        <v>0.99039999999999995</v>
      </c>
    </row>
    <row r="929" spans="1:2" hidden="1" x14ac:dyDescent="0.35">
      <c r="A929" s="426" t="s">
        <v>1459</v>
      </c>
      <c r="B929" s="419">
        <v>0.99260000000000004</v>
      </c>
    </row>
    <row r="930" spans="1:2" hidden="1" x14ac:dyDescent="0.35">
      <c r="A930" s="426" t="s">
        <v>1460</v>
      </c>
      <c r="B930" s="419">
        <v>0.99870000000000003</v>
      </c>
    </row>
    <row r="931" spans="1:2" hidden="1" x14ac:dyDescent="0.35">
      <c r="A931" s="426" t="s">
        <v>1461</v>
      </c>
      <c r="B931" s="419">
        <v>0.98899999999999999</v>
      </c>
    </row>
    <row r="932" spans="1:2" hidden="1" x14ac:dyDescent="0.35">
      <c r="A932" s="426" t="s">
        <v>1462</v>
      </c>
      <c r="B932" s="419">
        <v>0.99790000000000001</v>
      </c>
    </row>
    <row r="933" spans="1:2" hidden="1" x14ac:dyDescent="0.35">
      <c r="A933" s="426" t="s">
        <v>1463</v>
      </c>
      <c r="B933" s="419">
        <v>0.99890000000000001</v>
      </c>
    </row>
    <row r="934" spans="1:2" hidden="1" x14ac:dyDescent="0.35">
      <c r="A934" s="426" t="s">
        <v>1464</v>
      </c>
      <c r="B934" s="419">
        <v>0.99480000000000002</v>
      </c>
    </row>
    <row r="935" spans="1:2" hidden="1" x14ac:dyDescent="0.35">
      <c r="A935" s="426" t="s">
        <v>1465</v>
      </c>
      <c r="B935" s="419">
        <v>0.99680000000000002</v>
      </c>
    </row>
    <row r="936" spans="1:2" hidden="1" x14ac:dyDescent="0.35">
      <c r="A936" s="426" t="s">
        <v>1466</v>
      </c>
      <c r="B936" s="419">
        <v>0.99980000000000002</v>
      </c>
    </row>
    <row r="937" spans="1:2" hidden="1" x14ac:dyDescent="0.35">
      <c r="A937" s="426" t="s">
        <v>1467</v>
      </c>
      <c r="B937" s="419">
        <v>1</v>
      </c>
    </row>
    <row r="938" spans="1:2" hidden="1" x14ac:dyDescent="0.35">
      <c r="A938" s="426" t="s">
        <v>1468</v>
      </c>
      <c r="B938" s="419">
        <v>0.99950000000000006</v>
      </c>
    </row>
    <row r="939" spans="1:2" hidden="1" x14ac:dyDescent="0.35">
      <c r="A939" s="426" t="s">
        <v>1469</v>
      </c>
      <c r="B939" s="419">
        <v>0.995</v>
      </c>
    </row>
    <row r="940" spans="1:2" hidden="1" x14ac:dyDescent="0.35">
      <c r="A940" s="426" t="s">
        <v>1470</v>
      </c>
      <c r="B940" s="419">
        <v>0.99880000000000002</v>
      </c>
    </row>
    <row r="941" spans="1:2" hidden="1" x14ac:dyDescent="0.35">
      <c r="A941" s="426" t="s">
        <v>1471</v>
      </c>
      <c r="B941" s="419">
        <v>0.995</v>
      </c>
    </row>
    <row r="942" spans="1:2" hidden="1" x14ac:dyDescent="0.35">
      <c r="A942" s="426" t="s">
        <v>1472</v>
      </c>
      <c r="B942" s="419">
        <v>0.97</v>
      </c>
    </row>
    <row r="943" spans="1:2" hidden="1" x14ac:dyDescent="0.35">
      <c r="A943" s="426" t="s">
        <v>1473</v>
      </c>
      <c r="B943" s="419">
        <v>0.99439999999999995</v>
      </c>
    </row>
    <row r="944" spans="1:2" hidden="1" x14ac:dyDescent="0.35">
      <c r="A944" s="426" t="s">
        <v>1474</v>
      </c>
      <c r="B944" s="419">
        <v>1</v>
      </c>
    </row>
    <row r="945" spans="1:2" hidden="1" x14ac:dyDescent="0.35">
      <c r="A945" s="426" t="s">
        <v>1475</v>
      </c>
      <c r="B945" s="419">
        <v>1</v>
      </c>
    </row>
    <row r="946" spans="1:2" hidden="1" x14ac:dyDescent="0.35">
      <c r="A946" s="426" t="s">
        <v>1476</v>
      </c>
      <c r="B946" s="419">
        <v>0.99509999999999998</v>
      </c>
    </row>
    <row r="947" spans="1:2" hidden="1" x14ac:dyDescent="0.35">
      <c r="A947" s="426" t="s">
        <v>1477</v>
      </c>
      <c r="B947" s="419">
        <v>0.99660000000000004</v>
      </c>
    </row>
    <row r="948" spans="1:2" hidden="1" x14ac:dyDescent="0.35">
      <c r="A948" s="426" t="s">
        <v>1478</v>
      </c>
      <c r="B948" s="419">
        <v>0.98650000000000004</v>
      </c>
    </row>
    <row r="949" spans="1:2" hidden="1" x14ac:dyDescent="0.35">
      <c r="A949" s="426" t="s">
        <v>1479</v>
      </c>
      <c r="B949" s="419">
        <v>0.99619999999999997</v>
      </c>
    </row>
    <row r="950" spans="1:2" hidden="1" x14ac:dyDescent="0.35">
      <c r="A950" s="426" t="s">
        <v>1480</v>
      </c>
      <c r="B950" s="419">
        <v>1</v>
      </c>
    </row>
    <row r="951" spans="1:2" hidden="1" x14ac:dyDescent="0.35">
      <c r="A951" s="426" t="s">
        <v>1481</v>
      </c>
      <c r="B951" s="419">
        <v>0.99960000000000004</v>
      </c>
    </row>
    <row r="952" spans="1:2" hidden="1" x14ac:dyDescent="0.35">
      <c r="A952" s="426" t="s">
        <v>1482</v>
      </c>
      <c r="B952" s="419">
        <v>0.99850000000000005</v>
      </c>
    </row>
    <row r="953" spans="1:2" hidden="1" x14ac:dyDescent="0.35">
      <c r="A953" s="426" t="s">
        <v>1483</v>
      </c>
      <c r="B953" s="419">
        <v>0.99670000000000003</v>
      </c>
    </row>
    <row r="954" spans="1:2" hidden="1" x14ac:dyDescent="0.35">
      <c r="A954" s="426" t="s">
        <v>1484</v>
      </c>
      <c r="B954" s="419">
        <v>1</v>
      </c>
    </row>
    <row r="955" spans="1:2" hidden="1" x14ac:dyDescent="0.35">
      <c r="A955" s="426" t="s">
        <v>1485</v>
      </c>
      <c r="B955" s="419">
        <v>0.99439999999999995</v>
      </c>
    </row>
    <row r="956" spans="1:2" hidden="1" x14ac:dyDescent="0.35">
      <c r="A956" s="426" t="s">
        <v>1486</v>
      </c>
      <c r="B956" s="419">
        <v>0.99819999999999998</v>
      </c>
    </row>
    <row r="957" spans="1:2" hidden="1" x14ac:dyDescent="0.35">
      <c r="A957" s="426" t="s">
        <v>1487</v>
      </c>
      <c r="B957" s="419">
        <v>0.99709999999999999</v>
      </c>
    </row>
    <row r="958" spans="1:2" hidden="1" x14ac:dyDescent="0.35">
      <c r="A958" s="426" t="s">
        <v>1488</v>
      </c>
      <c r="B958" s="419">
        <v>0.99380000000000002</v>
      </c>
    </row>
    <row r="959" spans="1:2" hidden="1" x14ac:dyDescent="0.35">
      <c r="A959" s="426" t="s">
        <v>1489</v>
      </c>
      <c r="B959" s="419">
        <v>1</v>
      </c>
    </row>
    <row r="960" spans="1:2" hidden="1" x14ac:dyDescent="0.35">
      <c r="A960" s="426" t="s">
        <v>1490</v>
      </c>
      <c r="B960" s="419">
        <v>0.99970000000000003</v>
      </c>
    </row>
    <row r="961" spans="1:2" hidden="1" x14ac:dyDescent="0.35">
      <c r="A961" s="426" t="s">
        <v>1491</v>
      </c>
      <c r="B961" s="419">
        <v>1</v>
      </c>
    </row>
    <row r="962" spans="1:2" hidden="1" x14ac:dyDescent="0.35">
      <c r="A962" s="426" t="s">
        <v>1492</v>
      </c>
      <c r="B962" s="419">
        <v>0.99870000000000003</v>
      </c>
    </row>
    <row r="963" spans="1:2" hidden="1" x14ac:dyDescent="0.35">
      <c r="A963" s="426" t="s">
        <v>1493</v>
      </c>
      <c r="B963" s="419">
        <v>0.99370000000000003</v>
      </c>
    </row>
    <row r="964" spans="1:2" hidden="1" x14ac:dyDescent="0.35">
      <c r="A964" s="426" t="s">
        <v>1494</v>
      </c>
      <c r="B964" s="419">
        <v>0.99939999999999996</v>
      </c>
    </row>
    <row r="965" spans="1:2" hidden="1" x14ac:dyDescent="0.35">
      <c r="A965" s="426" t="s">
        <v>1495</v>
      </c>
      <c r="B965" s="419">
        <v>0.99390000000000001</v>
      </c>
    </row>
    <row r="966" spans="1:2" hidden="1" x14ac:dyDescent="0.35">
      <c r="A966" s="426" t="s">
        <v>1496</v>
      </c>
      <c r="B966" s="419">
        <v>0.99460000000000004</v>
      </c>
    </row>
    <row r="967" spans="1:2" hidden="1" x14ac:dyDescent="0.35">
      <c r="A967" s="426" t="s">
        <v>1497</v>
      </c>
      <c r="B967" s="419">
        <v>0.99670000000000003</v>
      </c>
    </row>
    <row r="968" spans="1:2" hidden="1" x14ac:dyDescent="0.35">
      <c r="A968" s="426" t="s">
        <v>1498</v>
      </c>
      <c r="B968" s="419">
        <v>0.99970000000000003</v>
      </c>
    </row>
    <row r="969" spans="1:2" hidden="1" x14ac:dyDescent="0.35">
      <c r="A969" s="426" t="s">
        <v>1499</v>
      </c>
      <c r="B969" s="419">
        <v>0.99950000000000006</v>
      </c>
    </row>
    <row r="970" spans="1:2" hidden="1" x14ac:dyDescent="0.35">
      <c r="A970" s="426" t="s">
        <v>1500</v>
      </c>
      <c r="B970" s="419">
        <v>0.99129999999999996</v>
      </c>
    </row>
    <row r="971" spans="1:2" hidden="1" x14ac:dyDescent="0.35">
      <c r="A971" s="426" t="s">
        <v>1501</v>
      </c>
      <c r="B971" s="419">
        <v>0.99099999999999999</v>
      </c>
    </row>
    <row r="972" spans="1:2" hidden="1" x14ac:dyDescent="0.35">
      <c r="A972" s="426" t="s">
        <v>1502</v>
      </c>
      <c r="B972" s="419">
        <v>0.99909999999999999</v>
      </c>
    </row>
    <row r="973" spans="1:2" hidden="1" x14ac:dyDescent="0.35">
      <c r="A973" s="426" t="s">
        <v>1503</v>
      </c>
      <c r="B973" s="419">
        <v>0.99780000000000002</v>
      </c>
    </row>
    <row r="974" spans="1:2" hidden="1" x14ac:dyDescent="0.35">
      <c r="A974" s="426" t="s">
        <v>1504</v>
      </c>
      <c r="B974" s="419">
        <v>0.99850000000000005</v>
      </c>
    </row>
    <row r="975" spans="1:2" hidden="1" x14ac:dyDescent="0.35">
      <c r="A975" s="426" t="s">
        <v>1505</v>
      </c>
      <c r="B975" s="419">
        <v>0.9899</v>
      </c>
    </row>
    <row r="976" spans="1:2" hidden="1" x14ac:dyDescent="0.35">
      <c r="A976" s="426" t="s">
        <v>1506</v>
      </c>
      <c r="B976" s="419">
        <v>1</v>
      </c>
    </row>
    <row r="977" spans="1:2" hidden="1" x14ac:dyDescent="0.35">
      <c r="A977" s="426" t="s">
        <v>1507</v>
      </c>
      <c r="B977" s="419">
        <v>0.99790000000000001</v>
      </c>
    </row>
    <row r="978" spans="1:2" hidden="1" x14ac:dyDescent="0.35">
      <c r="A978" s="426" t="s">
        <v>1508</v>
      </c>
      <c r="B978" s="419">
        <v>0.99970000000000003</v>
      </c>
    </row>
    <row r="979" spans="1:2" hidden="1" x14ac:dyDescent="0.35">
      <c r="A979" s="426" t="s">
        <v>1509</v>
      </c>
      <c r="B979" s="419">
        <v>0.99719999999999998</v>
      </c>
    </row>
    <row r="980" spans="1:2" hidden="1" x14ac:dyDescent="0.35">
      <c r="A980" s="426" t="s">
        <v>1510</v>
      </c>
      <c r="B980" s="419">
        <v>0.9889</v>
      </c>
    </row>
    <row r="981" spans="1:2" hidden="1" x14ac:dyDescent="0.35">
      <c r="A981" s="426" t="s">
        <v>1511</v>
      </c>
      <c r="B981" s="419">
        <v>1</v>
      </c>
    </row>
    <row r="982" spans="1:2" hidden="1" x14ac:dyDescent="0.35">
      <c r="A982" s="426" t="s">
        <v>1512</v>
      </c>
      <c r="B982" s="419">
        <v>0.99350000000000005</v>
      </c>
    </row>
    <row r="983" spans="1:2" hidden="1" x14ac:dyDescent="0.35">
      <c r="A983" s="426" t="s">
        <v>1513</v>
      </c>
      <c r="B983" s="419">
        <v>0.99980000000000002</v>
      </c>
    </row>
    <row r="984" spans="1:2" hidden="1" x14ac:dyDescent="0.35">
      <c r="A984" s="426" t="s">
        <v>1514</v>
      </c>
      <c r="B984" s="419">
        <v>0.99860000000000004</v>
      </c>
    </row>
    <row r="985" spans="1:2" hidden="1" x14ac:dyDescent="0.35">
      <c r="A985" s="426" t="s">
        <v>1515</v>
      </c>
      <c r="B985" s="419">
        <v>0.98980000000000001</v>
      </c>
    </row>
    <row r="986" spans="1:2" hidden="1" x14ac:dyDescent="0.35">
      <c r="A986" s="426" t="s">
        <v>1516</v>
      </c>
      <c r="B986" s="419">
        <v>0.99880000000000002</v>
      </c>
    </row>
    <row r="987" spans="1:2" hidden="1" x14ac:dyDescent="0.35">
      <c r="A987" s="426" t="s">
        <v>1517</v>
      </c>
      <c r="B987" s="419">
        <v>0.99970000000000003</v>
      </c>
    </row>
    <row r="988" spans="1:2" hidden="1" x14ac:dyDescent="0.35">
      <c r="A988" s="426" t="s">
        <v>1518</v>
      </c>
      <c r="B988" s="419">
        <v>0.99619999999999997</v>
      </c>
    </row>
    <row r="989" spans="1:2" hidden="1" x14ac:dyDescent="0.35">
      <c r="A989" s="426" t="s">
        <v>1519</v>
      </c>
      <c r="B989" s="419">
        <v>0.99550000000000005</v>
      </c>
    </row>
    <row r="990" spans="1:2" hidden="1" x14ac:dyDescent="0.35">
      <c r="A990" s="426" t="s">
        <v>1520</v>
      </c>
      <c r="B990" s="419">
        <v>1</v>
      </c>
    </row>
    <row r="991" spans="1:2" hidden="1" x14ac:dyDescent="0.35">
      <c r="A991" s="426" t="s">
        <v>1521</v>
      </c>
      <c r="B991" s="419">
        <v>0.99909999999999999</v>
      </c>
    </row>
    <row r="992" spans="1:2" hidden="1" x14ac:dyDescent="0.35">
      <c r="A992" s="426" t="s">
        <v>1522</v>
      </c>
      <c r="B992" s="419">
        <v>0.99880000000000002</v>
      </c>
    </row>
    <row r="993" spans="1:2" hidden="1" x14ac:dyDescent="0.35">
      <c r="A993" s="426" t="s">
        <v>1523</v>
      </c>
      <c r="B993" s="419">
        <v>1</v>
      </c>
    </row>
    <row r="994" spans="1:2" hidden="1" x14ac:dyDescent="0.35">
      <c r="A994" s="426" t="s">
        <v>1524</v>
      </c>
      <c r="B994" s="419">
        <v>0.99739999999999995</v>
      </c>
    </row>
    <row r="995" spans="1:2" hidden="1" x14ac:dyDescent="0.35">
      <c r="A995" s="426" t="s">
        <v>1525</v>
      </c>
      <c r="B995" s="419">
        <v>1</v>
      </c>
    </row>
    <row r="996" spans="1:2" hidden="1" x14ac:dyDescent="0.35">
      <c r="A996" s="426" t="s">
        <v>1526</v>
      </c>
      <c r="B996" s="419">
        <v>1</v>
      </c>
    </row>
    <row r="997" spans="1:2" hidden="1" x14ac:dyDescent="0.35">
      <c r="A997" s="426" t="s">
        <v>1527</v>
      </c>
      <c r="B997" s="419">
        <v>1</v>
      </c>
    </row>
    <row r="998" spans="1:2" hidden="1" x14ac:dyDescent="0.35">
      <c r="A998" s="426" t="s">
        <v>1528</v>
      </c>
      <c r="B998" s="419">
        <v>0.97870000000000001</v>
      </c>
    </row>
    <row r="999" spans="1:2" hidden="1" x14ac:dyDescent="0.35">
      <c r="A999" s="426" t="s">
        <v>1529</v>
      </c>
      <c r="B999" s="419">
        <v>0.99850000000000005</v>
      </c>
    </row>
    <row r="1000" spans="1:2" hidden="1" x14ac:dyDescent="0.35">
      <c r="A1000" s="426" t="s">
        <v>1530</v>
      </c>
      <c r="B1000" s="419">
        <v>0.98450000000000004</v>
      </c>
    </row>
    <row r="1001" spans="1:2" hidden="1" x14ac:dyDescent="0.35">
      <c r="A1001" s="426" t="s">
        <v>1531</v>
      </c>
      <c r="B1001" s="419">
        <v>0.99509999999999998</v>
      </c>
    </row>
    <row r="1002" spans="1:2" hidden="1" x14ac:dyDescent="0.35">
      <c r="A1002" s="426" t="s">
        <v>1532</v>
      </c>
      <c r="B1002" s="419">
        <v>1</v>
      </c>
    </row>
    <row r="1003" spans="1:2" hidden="1" x14ac:dyDescent="0.35">
      <c r="A1003" s="426" t="s">
        <v>1533</v>
      </c>
      <c r="B1003" s="419">
        <v>1</v>
      </c>
    </row>
    <row r="1004" spans="1:2" hidden="1" x14ac:dyDescent="0.35">
      <c r="A1004" s="426" t="s">
        <v>1534</v>
      </c>
      <c r="B1004" s="419">
        <v>0.99470000000000003</v>
      </c>
    </row>
    <row r="1005" spans="1:2" hidden="1" x14ac:dyDescent="0.35">
      <c r="A1005" s="426" t="s">
        <v>1535</v>
      </c>
      <c r="B1005" s="419">
        <v>1</v>
      </c>
    </row>
    <row r="1006" spans="1:2" hidden="1" x14ac:dyDescent="0.35">
      <c r="A1006" s="426" t="s">
        <v>1536</v>
      </c>
      <c r="B1006" s="419">
        <v>0.99109999999999998</v>
      </c>
    </row>
    <row r="1007" spans="1:2" hidden="1" x14ac:dyDescent="0.35">
      <c r="A1007" s="426" t="s">
        <v>1537</v>
      </c>
      <c r="B1007" s="419">
        <v>1</v>
      </c>
    </row>
    <row r="1008" spans="1:2" hidden="1" x14ac:dyDescent="0.35">
      <c r="A1008" s="426" t="s">
        <v>1538</v>
      </c>
      <c r="B1008" s="419">
        <v>0.99629999999999996</v>
      </c>
    </row>
    <row r="1009" spans="1:2" hidden="1" x14ac:dyDescent="0.35">
      <c r="A1009" s="426" t="s">
        <v>1539</v>
      </c>
      <c r="B1009" s="419">
        <v>1</v>
      </c>
    </row>
    <row r="1010" spans="1:2" hidden="1" x14ac:dyDescent="0.35">
      <c r="A1010" s="426" t="s">
        <v>1540</v>
      </c>
      <c r="B1010" s="419">
        <v>0.99880000000000002</v>
      </c>
    </row>
    <row r="1011" spans="1:2" hidden="1" x14ac:dyDescent="0.35">
      <c r="A1011" s="426" t="s">
        <v>1541</v>
      </c>
      <c r="B1011" s="419">
        <v>0.9869</v>
      </c>
    </row>
    <row r="1012" spans="1:2" hidden="1" x14ac:dyDescent="0.35">
      <c r="A1012" s="426" t="s">
        <v>1542</v>
      </c>
      <c r="B1012" s="419">
        <v>0.99960000000000004</v>
      </c>
    </row>
    <row r="1013" spans="1:2" hidden="1" x14ac:dyDescent="0.35">
      <c r="A1013" s="426" t="s">
        <v>1543</v>
      </c>
      <c r="B1013" s="419">
        <v>1</v>
      </c>
    </row>
    <row r="1014" spans="1:2" hidden="1" x14ac:dyDescent="0.35">
      <c r="A1014" s="426" t="s">
        <v>1544</v>
      </c>
      <c r="B1014" s="419">
        <v>0.98650000000000004</v>
      </c>
    </row>
    <row r="1015" spans="1:2" hidden="1" x14ac:dyDescent="0.35">
      <c r="A1015" s="426" t="s">
        <v>1545</v>
      </c>
      <c r="B1015" s="419">
        <v>1</v>
      </c>
    </row>
    <row r="1016" spans="1:2" hidden="1" x14ac:dyDescent="0.35">
      <c r="A1016" s="426" t="s">
        <v>1546</v>
      </c>
      <c r="B1016" s="419">
        <v>0.98870000000000002</v>
      </c>
    </row>
    <row r="1017" spans="1:2" hidden="1" x14ac:dyDescent="0.35">
      <c r="A1017" s="426" t="s">
        <v>1547</v>
      </c>
      <c r="B1017" s="419">
        <v>1</v>
      </c>
    </row>
    <row r="1018" spans="1:2" hidden="1" x14ac:dyDescent="0.35">
      <c r="A1018" s="426" t="s">
        <v>1548</v>
      </c>
      <c r="B1018" s="419">
        <v>0.99939999999999996</v>
      </c>
    </row>
    <row r="1019" spans="1:2" hidden="1" x14ac:dyDescent="0.35">
      <c r="A1019" s="426" t="s">
        <v>1549</v>
      </c>
      <c r="B1019" s="419">
        <v>0.99660000000000004</v>
      </c>
    </row>
    <row r="1020" spans="1:2" hidden="1" x14ac:dyDescent="0.35">
      <c r="A1020" s="426" t="s">
        <v>1550</v>
      </c>
      <c r="B1020" s="419">
        <v>0.99880000000000002</v>
      </c>
    </row>
    <row r="1021" spans="1:2" hidden="1" x14ac:dyDescent="0.35">
      <c r="A1021" s="426" t="s">
        <v>1551</v>
      </c>
      <c r="B1021" s="419">
        <v>0.99780000000000002</v>
      </c>
    </row>
    <row r="1022" spans="1:2" hidden="1" x14ac:dyDescent="0.35">
      <c r="A1022" s="426" t="s">
        <v>1552</v>
      </c>
      <c r="B1022" s="419">
        <v>0.9899</v>
      </c>
    </row>
    <row r="1023" spans="1:2" hidden="1" x14ac:dyDescent="0.35">
      <c r="A1023" s="426" t="s">
        <v>1553</v>
      </c>
      <c r="B1023" s="419">
        <v>0.999</v>
      </c>
    </row>
    <row r="1024" spans="1:2" hidden="1" x14ac:dyDescent="0.35">
      <c r="A1024" s="426" t="s">
        <v>1554</v>
      </c>
      <c r="B1024" s="419">
        <v>0.99750000000000005</v>
      </c>
    </row>
    <row r="1025" spans="1:2" hidden="1" x14ac:dyDescent="0.35">
      <c r="A1025" s="426" t="s">
        <v>1555</v>
      </c>
      <c r="B1025" s="419">
        <v>0.99450000000000005</v>
      </c>
    </row>
    <row r="1026" spans="1:2" hidden="1" x14ac:dyDescent="0.35">
      <c r="A1026" s="426" t="s">
        <v>1556</v>
      </c>
      <c r="B1026" s="419">
        <v>0.99609999999999999</v>
      </c>
    </row>
    <row r="1027" spans="1:2" hidden="1" x14ac:dyDescent="0.35">
      <c r="A1027" s="426" t="s">
        <v>1557</v>
      </c>
      <c r="B1027" s="419">
        <v>0.99409999999999998</v>
      </c>
    </row>
    <row r="1028" spans="1:2" hidden="1" x14ac:dyDescent="0.35">
      <c r="A1028" s="426" t="s">
        <v>1558</v>
      </c>
      <c r="B1028" s="419">
        <v>0.99760000000000004</v>
      </c>
    </row>
    <row r="1029" spans="1:2" hidden="1" x14ac:dyDescent="0.35">
      <c r="A1029" s="426" t="s">
        <v>1559</v>
      </c>
      <c r="B1029" s="419">
        <v>1</v>
      </c>
    </row>
    <row r="1030" spans="1:2" hidden="1" x14ac:dyDescent="0.35">
      <c r="A1030" s="426" t="s">
        <v>1560</v>
      </c>
      <c r="B1030" s="419">
        <v>0.99639999999999995</v>
      </c>
    </row>
    <row r="1031" spans="1:2" hidden="1" x14ac:dyDescent="0.35">
      <c r="A1031" s="426" t="s">
        <v>1561</v>
      </c>
      <c r="B1031" s="419">
        <v>1</v>
      </c>
    </row>
    <row r="1032" spans="1:2" hidden="1" x14ac:dyDescent="0.35">
      <c r="A1032" s="426" t="s">
        <v>1562</v>
      </c>
      <c r="B1032" s="419">
        <v>1</v>
      </c>
    </row>
    <row r="1033" spans="1:2" hidden="1" x14ac:dyDescent="0.35">
      <c r="A1033" s="426" t="s">
        <v>1563</v>
      </c>
      <c r="B1033" s="419">
        <v>0.99450000000000005</v>
      </c>
    </row>
    <row r="1034" spans="1:2" hidden="1" x14ac:dyDescent="0.35">
      <c r="A1034" s="426" t="s">
        <v>1564</v>
      </c>
      <c r="B1034" s="419">
        <v>1</v>
      </c>
    </row>
    <row r="1035" spans="1:2" hidden="1" x14ac:dyDescent="0.35">
      <c r="A1035" s="426" t="s">
        <v>1565</v>
      </c>
      <c r="B1035" s="419">
        <v>0.9869</v>
      </c>
    </row>
    <row r="1036" spans="1:2" hidden="1" x14ac:dyDescent="0.35">
      <c r="A1036" s="426" t="s">
        <v>1566</v>
      </c>
      <c r="B1036" s="419">
        <v>0.98399999999999999</v>
      </c>
    </row>
    <row r="1037" spans="1:2" hidden="1" x14ac:dyDescent="0.35">
      <c r="A1037" s="426" t="s">
        <v>1567</v>
      </c>
      <c r="B1037" s="419">
        <v>0.99399999999999999</v>
      </c>
    </row>
    <row r="1038" spans="1:2" hidden="1" x14ac:dyDescent="0.35">
      <c r="A1038" s="426" t="s">
        <v>1568</v>
      </c>
      <c r="B1038" s="419">
        <v>0.99439999999999995</v>
      </c>
    </row>
    <row r="1039" spans="1:2" hidden="1" x14ac:dyDescent="0.35">
      <c r="A1039" s="426" t="s">
        <v>1569</v>
      </c>
      <c r="B1039" s="419">
        <v>0.99739999999999995</v>
      </c>
    </row>
    <row r="1040" spans="1:2" hidden="1" x14ac:dyDescent="0.35">
      <c r="A1040" s="426" t="s">
        <v>1570</v>
      </c>
      <c r="B1040" s="419">
        <v>1</v>
      </c>
    </row>
    <row r="1041" spans="1:2" hidden="1" x14ac:dyDescent="0.35">
      <c r="A1041" s="426" t="s">
        <v>1571</v>
      </c>
      <c r="B1041" s="419">
        <v>1</v>
      </c>
    </row>
    <row r="1042" spans="1:2" hidden="1" x14ac:dyDescent="0.35">
      <c r="A1042" s="426" t="s">
        <v>1572</v>
      </c>
      <c r="B1042" s="419">
        <v>1</v>
      </c>
    </row>
    <row r="1043" spans="1:2" hidden="1" x14ac:dyDescent="0.35">
      <c r="A1043" s="426" t="s">
        <v>1573</v>
      </c>
      <c r="B1043" s="419">
        <v>0.99429999999999996</v>
      </c>
    </row>
    <row r="1044" spans="1:2" hidden="1" x14ac:dyDescent="0.35">
      <c r="A1044" s="426" t="s">
        <v>1574</v>
      </c>
      <c r="B1044" s="419">
        <v>1</v>
      </c>
    </row>
    <row r="1045" spans="1:2" hidden="1" x14ac:dyDescent="0.35">
      <c r="A1045" s="426" t="s">
        <v>1575</v>
      </c>
      <c r="B1045" s="419">
        <v>0.99239999999999995</v>
      </c>
    </row>
    <row r="1046" spans="1:2" hidden="1" x14ac:dyDescent="0.35">
      <c r="A1046" s="426" t="s">
        <v>1576</v>
      </c>
      <c r="B1046" s="419">
        <v>0.99529999999999996</v>
      </c>
    </row>
    <row r="1047" spans="1:2" hidden="1" x14ac:dyDescent="0.35">
      <c r="A1047" s="426" t="s">
        <v>1577</v>
      </c>
      <c r="B1047" s="419">
        <v>0.99650000000000005</v>
      </c>
    </row>
    <row r="1048" spans="1:2" hidden="1" x14ac:dyDescent="0.35">
      <c r="A1048" s="426" t="s">
        <v>1578</v>
      </c>
      <c r="B1048" s="419">
        <v>0.99829999999999997</v>
      </c>
    </row>
    <row r="1049" spans="1:2" hidden="1" x14ac:dyDescent="0.35">
      <c r="A1049" s="426" t="s">
        <v>1579</v>
      </c>
      <c r="B1049" s="419">
        <v>1</v>
      </c>
    </row>
    <row r="1050" spans="1:2" hidden="1" x14ac:dyDescent="0.35">
      <c r="A1050" s="426" t="s">
        <v>1580</v>
      </c>
      <c r="B1050" s="419">
        <v>1</v>
      </c>
    </row>
    <row r="1051" spans="1:2" hidden="1" x14ac:dyDescent="0.35">
      <c r="A1051" s="426" t="s">
        <v>1581</v>
      </c>
      <c r="B1051" s="419">
        <v>0.999</v>
      </c>
    </row>
    <row r="1052" spans="1:2" hidden="1" x14ac:dyDescent="0.35">
      <c r="A1052" s="426" t="s">
        <v>1582</v>
      </c>
      <c r="B1052" s="419">
        <v>0.99350000000000005</v>
      </c>
    </row>
    <row r="1053" spans="1:2" hidden="1" x14ac:dyDescent="0.35">
      <c r="A1053" s="426" t="s">
        <v>1583</v>
      </c>
      <c r="B1053" s="419">
        <v>0.99709999999999999</v>
      </c>
    </row>
    <row r="1054" spans="1:2" hidden="1" x14ac:dyDescent="0.35">
      <c r="A1054" s="426" t="s">
        <v>1584</v>
      </c>
      <c r="B1054" s="419">
        <v>0.98450000000000004</v>
      </c>
    </row>
    <row r="1055" spans="1:2" hidden="1" x14ac:dyDescent="0.35">
      <c r="A1055" s="426" t="s">
        <v>1585</v>
      </c>
      <c r="B1055" s="419">
        <v>1</v>
      </c>
    </row>
    <row r="1056" spans="1:2" hidden="1" x14ac:dyDescent="0.35">
      <c r="A1056" s="426" t="s">
        <v>1586</v>
      </c>
      <c r="B1056" s="419">
        <v>0.99480000000000002</v>
      </c>
    </row>
    <row r="1057" spans="1:2" hidden="1" x14ac:dyDescent="0.35">
      <c r="A1057" s="426" t="s">
        <v>1587</v>
      </c>
      <c r="B1057" s="419">
        <v>1</v>
      </c>
    </row>
    <row r="1058" spans="1:2" hidden="1" x14ac:dyDescent="0.35">
      <c r="A1058" s="426" t="s">
        <v>1588</v>
      </c>
      <c r="B1058" s="419">
        <v>1</v>
      </c>
    </row>
    <row r="1059" spans="1:2" hidden="1" x14ac:dyDescent="0.35">
      <c r="A1059" s="426" t="s">
        <v>1589</v>
      </c>
      <c r="B1059" s="419">
        <v>0.99970000000000003</v>
      </c>
    </row>
    <row r="1060" spans="1:2" hidden="1" x14ac:dyDescent="0.35">
      <c r="A1060" s="426" t="s">
        <v>1590</v>
      </c>
      <c r="B1060" s="419">
        <v>1</v>
      </c>
    </row>
    <row r="1061" spans="1:2" hidden="1" x14ac:dyDescent="0.35">
      <c r="A1061" s="426" t="s">
        <v>1591</v>
      </c>
      <c r="B1061" s="419">
        <v>1</v>
      </c>
    </row>
    <row r="1062" spans="1:2" hidden="1" x14ac:dyDescent="0.35">
      <c r="A1062" s="426" t="s">
        <v>1592</v>
      </c>
      <c r="B1062" s="419">
        <v>0.99970000000000003</v>
      </c>
    </row>
    <row r="1063" spans="1:2" hidden="1" x14ac:dyDescent="0.35">
      <c r="A1063" s="426" t="s">
        <v>1593</v>
      </c>
      <c r="B1063" s="419">
        <v>0.99939999999999996</v>
      </c>
    </row>
    <row r="1064" spans="1:2" hidden="1" x14ac:dyDescent="0.35">
      <c r="A1064" s="426" t="s">
        <v>1594</v>
      </c>
      <c r="B1064" s="419">
        <v>0.99990000000000001</v>
      </c>
    </row>
    <row r="1065" spans="1:2" hidden="1" x14ac:dyDescent="0.35">
      <c r="A1065" s="426" t="s">
        <v>1595</v>
      </c>
      <c r="B1065" s="419">
        <v>0.99580000000000002</v>
      </c>
    </row>
    <row r="1066" spans="1:2" hidden="1" x14ac:dyDescent="0.35">
      <c r="A1066" s="426" t="s">
        <v>1596</v>
      </c>
      <c r="B1066" s="419">
        <v>1</v>
      </c>
    </row>
    <row r="1067" spans="1:2" hidden="1" x14ac:dyDescent="0.35">
      <c r="A1067" s="426" t="s">
        <v>1597</v>
      </c>
      <c r="B1067" s="419">
        <v>0.99660000000000004</v>
      </c>
    </row>
    <row r="1068" spans="1:2" hidden="1" x14ac:dyDescent="0.35">
      <c r="A1068" s="426" t="s">
        <v>1598</v>
      </c>
      <c r="B1068" s="419">
        <v>1</v>
      </c>
    </row>
    <row r="1069" spans="1:2" hidden="1" x14ac:dyDescent="0.35">
      <c r="A1069" s="426" t="s">
        <v>1599</v>
      </c>
      <c r="B1069" s="419">
        <v>1</v>
      </c>
    </row>
    <row r="1070" spans="1:2" hidden="1" x14ac:dyDescent="0.35">
      <c r="A1070" s="426" t="s">
        <v>1600</v>
      </c>
      <c r="B1070" s="419">
        <v>1</v>
      </c>
    </row>
    <row r="1071" spans="1:2" hidden="1" x14ac:dyDescent="0.35">
      <c r="A1071" s="426" t="s">
        <v>1601</v>
      </c>
      <c r="B1071" s="419">
        <v>0.99490000000000001</v>
      </c>
    </row>
    <row r="1072" spans="1:2" hidden="1" x14ac:dyDescent="0.35">
      <c r="A1072" s="426" t="s">
        <v>1602</v>
      </c>
      <c r="B1072" s="419">
        <v>0.999</v>
      </c>
    </row>
    <row r="1073" spans="1:2" hidden="1" x14ac:dyDescent="0.35">
      <c r="A1073" s="426" t="s">
        <v>1603</v>
      </c>
      <c r="B1073" s="419">
        <v>0.99560000000000004</v>
      </c>
    </row>
    <row r="1074" spans="1:2" hidden="1" x14ac:dyDescent="0.35">
      <c r="A1074" s="426" t="s">
        <v>1604</v>
      </c>
      <c r="B1074" s="419">
        <v>1</v>
      </c>
    </row>
    <row r="1075" spans="1:2" hidden="1" x14ac:dyDescent="0.35">
      <c r="A1075" s="426" t="s">
        <v>1605</v>
      </c>
      <c r="B1075" s="419">
        <v>0.99980000000000002</v>
      </c>
    </row>
    <row r="1076" spans="1:2" hidden="1" x14ac:dyDescent="0.35">
      <c r="A1076" s="426" t="s">
        <v>1606</v>
      </c>
      <c r="B1076" s="419">
        <v>0.99490000000000001</v>
      </c>
    </row>
    <row r="1077" spans="1:2" hidden="1" x14ac:dyDescent="0.35">
      <c r="A1077" s="426" t="s">
        <v>1607</v>
      </c>
      <c r="B1077" s="419">
        <v>0.99739999999999995</v>
      </c>
    </row>
    <row r="1078" spans="1:2" hidden="1" x14ac:dyDescent="0.35">
      <c r="A1078" s="426" t="s">
        <v>1608</v>
      </c>
      <c r="B1078" s="419">
        <v>0.99960000000000004</v>
      </c>
    </row>
    <row r="1079" spans="1:2" hidden="1" x14ac:dyDescent="0.35">
      <c r="A1079" s="426" t="s">
        <v>1609</v>
      </c>
      <c r="B1079" s="419">
        <v>0.997</v>
      </c>
    </row>
    <row r="1080" spans="1:2" hidden="1" x14ac:dyDescent="0.35">
      <c r="A1080" s="426" t="s">
        <v>1610</v>
      </c>
      <c r="B1080" s="419">
        <v>0.99909999999999999</v>
      </c>
    </row>
    <row r="1081" spans="1:2" hidden="1" x14ac:dyDescent="0.35">
      <c r="A1081" s="426" t="s">
        <v>1611</v>
      </c>
      <c r="B1081" s="419">
        <v>1</v>
      </c>
    </row>
    <row r="1082" spans="1:2" hidden="1" x14ac:dyDescent="0.35">
      <c r="A1082" s="426" t="s">
        <v>1612</v>
      </c>
      <c r="B1082" s="419">
        <v>0.99980000000000002</v>
      </c>
    </row>
    <row r="1083" spans="1:2" hidden="1" x14ac:dyDescent="0.35">
      <c r="A1083" s="426" t="s">
        <v>1613</v>
      </c>
      <c r="B1083" s="419">
        <v>0.99670000000000003</v>
      </c>
    </row>
    <row r="1084" spans="1:2" hidden="1" x14ac:dyDescent="0.35">
      <c r="A1084" s="426" t="s">
        <v>1614</v>
      </c>
      <c r="B1084" s="419">
        <v>0.99929999999999997</v>
      </c>
    </row>
    <row r="1085" spans="1:2" hidden="1" x14ac:dyDescent="0.35">
      <c r="A1085" s="426" t="s">
        <v>1615</v>
      </c>
      <c r="B1085" s="419">
        <v>0.99239999999999995</v>
      </c>
    </row>
    <row r="1086" spans="1:2" hidden="1" x14ac:dyDescent="0.35">
      <c r="A1086" s="426" t="s">
        <v>1616</v>
      </c>
      <c r="B1086" s="419">
        <v>0.99929999999999997</v>
      </c>
    </row>
    <row r="1087" spans="1:2" hidden="1" x14ac:dyDescent="0.35">
      <c r="A1087" s="426" t="s">
        <v>1617</v>
      </c>
      <c r="B1087" s="419">
        <v>1</v>
      </c>
    </row>
    <row r="1088" spans="1:2" hidden="1" x14ac:dyDescent="0.35">
      <c r="A1088" s="426" t="s">
        <v>1618</v>
      </c>
      <c r="B1088" s="419">
        <v>0.998</v>
      </c>
    </row>
    <row r="1089" spans="1:2" hidden="1" x14ac:dyDescent="0.35">
      <c r="A1089" s="426" t="s">
        <v>1619</v>
      </c>
      <c r="B1089" s="419">
        <v>0.99490000000000001</v>
      </c>
    </row>
    <row r="1090" spans="1:2" hidden="1" x14ac:dyDescent="0.35">
      <c r="A1090" s="426" t="s">
        <v>1620</v>
      </c>
      <c r="B1090" s="419">
        <v>0.99539999999999995</v>
      </c>
    </row>
    <row r="1091" spans="1:2" hidden="1" x14ac:dyDescent="0.35">
      <c r="A1091" s="426" t="s">
        <v>1621</v>
      </c>
      <c r="B1091" s="419">
        <v>0.99929999999999997</v>
      </c>
    </row>
    <row r="1092" spans="1:2" hidden="1" x14ac:dyDescent="0.35">
      <c r="A1092" s="426" t="s">
        <v>1622</v>
      </c>
      <c r="B1092" s="419">
        <v>0.99919999999999998</v>
      </c>
    </row>
    <row r="1093" spans="1:2" hidden="1" x14ac:dyDescent="0.35">
      <c r="A1093" s="426" t="s">
        <v>1623</v>
      </c>
      <c r="B1093" s="419">
        <v>0.99850000000000005</v>
      </c>
    </row>
    <row r="1094" spans="1:2" hidden="1" x14ac:dyDescent="0.35">
      <c r="A1094" s="426" t="s">
        <v>1624</v>
      </c>
      <c r="B1094" s="419">
        <v>1</v>
      </c>
    </row>
    <row r="1095" spans="1:2" hidden="1" x14ac:dyDescent="0.35">
      <c r="A1095" s="426" t="s">
        <v>1625</v>
      </c>
      <c r="B1095" s="419">
        <v>0.99939999999999996</v>
      </c>
    </row>
    <row r="1096" spans="1:2" hidden="1" x14ac:dyDescent="0.35">
      <c r="A1096" s="426" t="s">
        <v>1626</v>
      </c>
      <c r="B1096" s="419">
        <v>0.99990000000000001</v>
      </c>
    </row>
    <row r="1097" spans="1:2" hidden="1" x14ac:dyDescent="0.35">
      <c r="A1097" s="426" t="s">
        <v>1627</v>
      </c>
      <c r="B1097" s="419">
        <v>0.999</v>
      </c>
    </row>
    <row r="1098" spans="1:2" hidden="1" x14ac:dyDescent="0.35">
      <c r="A1098" s="426" t="s">
        <v>1628</v>
      </c>
      <c r="B1098" s="419">
        <v>0.98499999999999999</v>
      </c>
    </row>
    <row r="1099" spans="1:2" hidden="1" x14ac:dyDescent="0.35">
      <c r="A1099" s="426" t="s">
        <v>1629</v>
      </c>
      <c r="B1099" s="419">
        <v>1</v>
      </c>
    </row>
    <row r="1100" spans="1:2" hidden="1" x14ac:dyDescent="0.35">
      <c r="A1100" s="426" t="s">
        <v>1630</v>
      </c>
      <c r="B1100" s="419">
        <v>0.99839999999999995</v>
      </c>
    </row>
    <row r="1101" spans="1:2" hidden="1" x14ac:dyDescent="0.35">
      <c r="A1101" s="426" t="s">
        <v>1631</v>
      </c>
      <c r="B1101" s="419">
        <v>0.99119999999999997</v>
      </c>
    </row>
    <row r="1102" spans="1:2" hidden="1" x14ac:dyDescent="0.35">
      <c r="A1102" s="426" t="s">
        <v>1632</v>
      </c>
      <c r="B1102" s="419">
        <v>0.99850000000000005</v>
      </c>
    </row>
    <row r="1103" spans="1:2" hidden="1" x14ac:dyDescent="0.35">
      <c r="A1103" s="426" t="s">
        <v>1633</v>
      </c>
      <c r="B1103" s="419">
        <v>1</v>
      </c>
    </row>
    <row r="1104" spans="1:2" hidden="1" x14ac:dyDescent="0.35">
      <c r="A1104" s="426" t="s">
        <v>1634</v>
      </c>
      <c r="B1104" s="419">
        <v>0.99350000000000005</v>
      </c>
    </row>
    <row r="1105" spans="1:2" hidden="1" x14ac:dyDescent="0.35">
      <c r="A1105" s="426" t="s">
        <v>1635</v>
      </c>
      <c r="B1105" s="419">
        <v>0.99350000000000005</v>
      </c>
    </row>
    <row r="1106" spans="1:2" hidden="1" x14ac:dyDescent="0.35">
      <c r="A1106" s="426" t="s">
        <v>1636</v>
      </c>
      <c r="B1106" s="419">
        <v>1</v>
      </c>
    </row>
    <row r="1107" spans="1:2" hidden="1" x14ac:dyDescent="0.35">
      <c r="A1107" s="426" t="s">
        <v>1637</v>
      </c>
      <c r="B1107" s="419">
        <v>0.99829999999999997</v>
      </c>
    </row>
    <row r="1108" spans="1:2" hidden="1" x14ac:dyDescent="0.35">
      <c r="A1108" s="426" t="s">
        <v>1638</v>
      </c>
      <c r="B1108" s="419">
        <v>1</v>
      </c>
    </row>
    <row r="1109" spans="1:2" hidden="1" x14ac:dyDescent="0.35">
      <c r="A1109" s="426" t="s">
        <v>1639</v>
      </c>
      <c r="B1109" s="419">
        <v>1</v>
      </c>
    </row>
    <row r="1110" spans="1:2" hidden="1" x14ac:dyDescent="0.35">
      <c r="A1110" s="426" t="s">
        <v>1640</v>
      </c>
      <c r="B1110" s="419">
        <v>1</v>
      </c>
    </row>
    <row r="1111" spans="1:2" hidden="1" x14ac:dyDescent="0.35">
      <c r="A1111" s="426" t="s">
        <v>1641</v>
      </c>
      <c r="B1111" s="419">
        <v>0.99880000000000002</v>
      </c>
    </row>
    <row r="1112" spans="1:2" hidden="1" x14ac:dyDescent="0.35">
      <c r="A1112" s="426" t="s">
        <v>1642</v>
      </c>
      <c r="B1112" s="419">
        <v>0.99990000000000001</v>
      </c>
    </row>
    <row r="1113" spans="1:2" hidden="1" x14ac:dyDescent="0.35">
      <c r="A1113" s="426" t="s">
        <v>1643</v>
      </c>
      <c r="B1113" s="419">
        <v>0.99970000000000003</v>
      </c>
    </row>
    <row r="1114" spans="1:2" hidden="1" x14ac:dyDescent="0.35">
      <c r="A1114" s="426" t="s">
        <v>1644</v>
      </c>
      <c r="B1114" s="419">
        <v>0.998</v>
      </c>
    </row>
    <row r="1115" spans="1:2" hidden="1" x14ac:dyDescent="0.35">
      <c r="A1115" s="426" t="s">
        <v>1645</v>
      </c>
      <c r="B1115" s="419">
        <v>0.99739999999999995</v>
      </c>
    </row>
    <row r="1116" spans="1:2" hidden="1" x14ac:dyDescent="0.35">
      <c r="A1116" s="426" t="s">
        <v>1646</v>
      </c>
      <c r="B1116" s="419">
        <v>1</v>
      </c>
    </row>
    <row r="1117" spans="1:2" hidden="1" x14ac:dyDescent="0.35">
      <c r="A1117" s="426" t="s">
        <v>1647</v>
      </c>
      <c r="B1117" s="419">
        <v>0.99229999999999996</v>
      </c>
    </row>
    <row r="1118" spans="1:2" hidden="1" x14ac:dyDescent="0.35">
      <c r="A1118" s="426" t="s">
        <v>1648</v>
      </c>
      <c r="B1118" s="419">
        <v>0.99950000000000006</v>
      </c>
    </row>
    <row r="1119" spans="1:2" hidden="1" x14ac:dyDescent="0.35">
      <c r="A1119" s="426" t="s">
        <v>1649</v>
      </c>
      <c r="B1119" s="419">
        <v>1</v>
      </c>
    </row>
    <row r="1120" spans="1:2" hidden="1" x14ac:dyDescent="0.35">
      <c r="A1120" s="426" t="s">
        <v>1650</v>
      </c>
      <c r="B1120" s="419">
        <v>0.99880000000000002</v>
      </c>
    </row>
    <row r="1121" spans="1:2" hidden="1" x14ac:dyDescent="0.35">
      <c r="A1121" s="426" t="s">
        <v>1651</v>
      </c>
      <c r="B1121" s="419">
        <v>0.99690000000000001</v>
      </c>
    </row>
    <row r="1122" spans="1:2" hidden="1" x14ac:dyDescent="0.35">
      <c r="A1122" s="426" t="s">
        <v>1652</v>
      </c>
      <c r="B1122" s="419">
        <v>0.98609999999999998</v>
      </c>
    </row>
    <row r="1123" spans="1:2" hidden="1" x14ac:dyDescent="0.35">
      <c r="A1123" s="426" t="s">
        <v>1653</v>
      </c>
      <c r="B1123" s="419">
        <v>1</v>
      </c>
    </row>
    <row r="1124" spans="1:2" hidden="1" x14ac:dyDescent="0.35">
      <c r="A1124" s="426" t="s">
        <v>1654</v>
      </c>
      <c r="B1124" s="419">
        <v>0.99829999999999997</v>
      </c>
    </row>
    <row r="1125" spans="1:2" hidden="1" x14ac:dyDescent="0.35">
      <c r="A1125" s="426" t="s">
        <v>1655</v>
      </c>
      <c r="B1125" s="419">
        <v>1</v>
      </c>
    </row>
    <row r="1126" spans="1:2" hidden="1" x14ac:dyDescent="0.35">
      <c r="A1126" s="426" t="s">
        <v>1656</v>
      </c>
      <c r="B1126" s="419">
        <v>1</v>
      </c>
    </row>
    <row r="1127" spans="1:2" hidden="1" x14ac:dyDescent="0.35">
      <c r="A1127" s="426" t="s">
        <v>1657</v>
      </c>
      <c r="B1127" s="419">
        <v>1</v>
      </c>
    </row>
    <row r="1128" spans="1:2" hidden="1" x14ac:dyDescent="0.35">
      <c r="A1128" s="426" t="s">
        <v>1658</v>
      </c>
      <c r="B1128" s="419">
        <v>1</v>
      </c>
    </row>
    <row r="1129" spans="1:2" hidden="1" x14ac:dyDescent="0.35">
      <c r="A1129" s="426" t="s">
        <v>1659</v>
      </c>
      <c r="B1129" s="419">
        <v>1</v>
      </c>
    </row>
    <row r="1130" spans="1:2" hidden="1" x14ac:dyDescent="0.35">
      <c r="A1130" s="426" t="s">
        <v>1660</v>
      </c>
      <c r="B1130" s="419">
        <v>1</v>
      </c>
    </row>
    <row r="1131" spans="1:2" hidden="1" x14ac:dyDescent="0.35">
      <c r="A1131" s="426" t="s">
        <v>1661</v>
      </c>
      <c r="B1131" s="419">
        <v>0.99339999999999995</v>
      </c>
    </row>
    <row r="1132" spans="1:2" hidden="1" x14ac:dyDescent="0.35">
      <c r="A1132" s="426" t="s">
        <v>1662</v>
      </c>
      <c r="B1132" s="419">
        <v>1</v>
      </c>
    </row>
    <row r="1133" spans="1:2" hidden="1" x14ac:dyDescent="0.35">
      <c r="A1133" s="426" t="s">
        <v>1663</v>
      </c>
      <c r="B1133" s="419">
        <v>1</v>
      </c>
    </row>
    <row r="1134" spans="1:2" hidden="1" x14ac:dyDescent="0.35">
      <c r="A1134" s="426" t="s">
        <v>1664</v>
      </c>
      <c r="B1134" s="419">
        <v>0.99390000000000001</v>
      </c>
    </row>
    <row r="1135" spans="1:2" hidden="1" x14ac:dyDescent="0.35">
      <c r="A1135" s="426" t="s">
        <v>1665</v>
      </c>
      <c r="B1135" s="419">
        <v>1</v>
      </c>
    </row>
    <row r="1136" spans="1:2" hidden="1" x14ac:dyDescent="0.35">
      <c r="A1136" s="426" t="s">
        <v>1666</v>
      </c>
      <c r="B1136" s="419">
        <v>1</v>
      </c>
    </row>
    <row r="1137" spans="1:2" hidden="1" x14ac:dyDescent="0.35">
      <c r="A1137" s="426" t="s">
        <v>1667</v>
      </c>
      <c r="B1137" s="419">
        <v>0.99760000000000004</v>
      </c>
    </row>
    <row r="1138" spans="1:2" hidden="1" x14ac:dyDescent="0.35">
      <c r="A1138" s="426" t="s">
        <v>1668</v>
      </c>
      <c r="B1138" s="419">
        <v>0.99270000000000003</v>
      </c>
    </row>
    <row r="1139" spans="1:2" hidden="1" x14ac:dyDescent="0.35">
      <c r="A1139" s="426" t="s">
        <v>1669</v>
      </c>
      <c r="B1139" s="419">
        <v>0.99719999999999998</v>
      </c>
    </row>
    <row r="1140" spans="1:2" hidden="1" x14ac:dyDescent="0.35">
      <c r="A1140" s="426" t="s">
        <v>1670</v>
      </c>
      <c r="B1140" s="419">
        <v>0.99229999999999996</v>
      </c>
    </row>
    <row r="1141" spans="1:2" hidden="1" x14ac:dyDescent="0.35">
      <c r="A1141" s="426" t="s">
        <v>1671</v>
      </c>
      <c r="B1141" s="419">
        <v>0.99560000000000004</v>
      </c>
    </row>
    <row r="1142" spans="1:2" hidden="1" x14ac:dyDescent="0.35">
      <c r="A1142" s="426" t="s">
        <v>1672</v>
      </c>
      <c r="B1142" s="419">
        <v>0.99539999999999995</v>
      </c>
    </row>
    <row r="1143" spans="1:2" hidden="1" x14ac:dyDescent="0.35">
      <c r="A1143" s="426" t="s">
        <v>1673</v>
      </c>
      <c r="B1143" s="419">
        <v>1</v>
      </c>
    </row>
    <row r="1144" spans="1:2" hidden="1" x14ac:dyDescent="0.35">
      <c r="A1144" s="426" t="s">
        <v>1674</v>
      </c>
      <c r="B1144" s="419">
        <v>0.99680000000000002</v>
      </c>
    </row>
    <row r="1145" spans="1:2" hidden="1" x14ac:dyDescent="0.35">
      <c r="A1145" s="426" t="s">
        <v>1675</v>
      </c>
      <c r="B1145" s="419">
        <v>0.98660000000000003</v>
      </c>
    </row>
    <row r="1146" spans="1:2" hidden="1" x14ac:dyDescent="0.35">
      <c r="A1146" s="426" t="s">
        <v>1676</v>
      </c>
      <c r="B1146" s="419">
        <v>1</v>
      </c>
    </row>
    <row r="1147" spans="1:2" hidden="1" x14ac:dyDescent="0.35">
      <c r="A1147" s="426" t="s">
        <v>1677</v>
      </c>
      <c r="B1147" s="419">
        <v>0.99509999999999998</v>
      </c>
    </row>
    <row r="1148" spans="1:2" hidden="1" x14ac:dyDescent="0.35">
      <c r="A1148" s="426" t="s">
        <v>1678</v>
      </c>
      <c r="B1148" s="419">
        <v>0.99580000000000002</v>
      </c>
    </row>
    <row r="1149" spans="1:2" hidden="1" x14ac:dyDescent="0.35">
      <c r="A1149" s="426" t="s">
        <v>1679</v>
      </c>
      <c r="B1149" s="419">
        <v>0.99980000000000002</v>
      </c>
    </row>
    <row r="1150" spans="1:2" hidden="1" x14ac:dyDescent="0.35">
      <c r="A1150" s="426" t="s">
        <v>1680</v>
      </c>
      <c r="B1150" s="419">
        <v>0.99860000000000004</v>
      </c>
    </row>
    <row r="1151" spans="1:2" hidden="1" x14ac:dyDescent="0.35">
      <c r="A1151" s="426" t="s">
        <v>1681</v>
      </c>
      <c r="B1151" s="419">
        <v>0.99929999999999997</v>
      </c>
    </row>
    <row r="1152" spans="1:2" hidden="1" x14ac:dyDescent="0.35">
      <c r="A1152" s="426" t="s">
        <v>1682</v>
      </c>
      <c r="B1152" s="419">
        <v>0.99790000000000001</v>
      </c>
    </row>
    <row r="1153" spans="1:2" hidden="1" x14ac:dyDescent="0.35">
      <c r="A1153" s="426" t="s">
        <v>1683</v>
      </c>
      <c r="B1153" s="419">
        <v>0.99270000000000003</v>
      </c>
    </row>
    <row r="1154" spans="1:2" hidden="1" x14ac:dyDescent="0.35">
      <c r="A1154" s="426" t="s">
        <v>1684</v>
      </c>
      <c r="B1154" s="419">
        <v>0.98799999999999999</v>
      </c>
    </row>
    <row r="1155" spans="1:2" hidden="1" x14ac:dyDescent="0.35">
      <c r="A1155" s="426" t="s">
        <v>1685</v>
      </c>
      <c r="B1155" s="419">
        <v>0.99890000000000001</v>
      </c>
    </row>
    <row r="1156" spans="1:2" hidden="1" x14ac:dyDescent="0.35">
      <c r="A1156" s="426" t="s">
        <v>1686</v>
      </c>
      <c r="B1156" s="419">
        <v>0.99709999999999999</v>
      </c>
    </row>
    <row r="1157" spans="1:2" hidden="1" x14ac:dyDescent="0.35">
      <c r="A1157" s="426" t="s">
        <v>1687</v>
      </c>
      <c r="B1157" s="419">
        <v>0.99690000000000001</v>
      </c>
    </row>
    <row r="1158" spans="1:2" hidden="1" x14ac:dyDescent="0.35">
      <c r="A1158" s="426" t="s">
        <v>1688</v>
      </c>
      <c r="B1158" s="419">
        <v>1</v>
      </c>
    </row>
    <row r="1159" spans="1:2" hidden="1" x14ac:dyDescent="0.35">
      <c r="A1159" s="426" t="s">
        <v>1689</v>
      </c>
      <c r="B1159" s="419">
        <v>0.98880000000000001</v>
      </c>
    </row>
    <row r="1160" spans="1:2" hidden="1" x14ac:dyDescent="0.35">
      <c r="A1160" s="426" t="s">
        <v>1690</v>
      </c>
      <c r="B1160" s="419">
        <v>0.99709999999999999</v>
      </c>
    </row>
    <row r="1161" spans="1:2" hidden="1" x14ac:dyDescent="0.35">
      <c r="A1161" s="426" t="s">
        <v>1691</v>
      </c>
      <c r="B1161" s="419">
        <v>0.99919999999999998</v>
      </c>
    </row>
    <row r="1162" spans="1:2" hidden="1" x14ac:dyDescent="0.35">
      <c r="A1162" s="426" t="s">
        <v>1692</v>
      </c>
      <c r="B1162" s="419">
        <v>0.99519999999999997</v>
      </c>
    </row>
    <row r="1163" spans="1:2" hidden="1" x14ac:dyDescent="0.35">
      <c r="A1163" s="426" t="s">
        <v>1693</v>
      </c>
      <c r="B1163" s="419">
        <v>0.99750000000000005</v>
      </c>
    </row>
    <row r="1164" spans="1:2" hidden="1" x14ac:dyDescent="0.35">
      <c r="A1164" s="426" t="s">
        <v>1694</v>
      </c>
      <c r="B1164" s="419">
        <v>0.9859</v>
      </c>
    </row>
    <row r="1165" spans="1:2" hidden="1" x14ac:dyDescent="0.35">
      <c r="A1165" s="426" t="s">
        <v>1695</v>
      </c>
      <c r="B1165" s="419">
        <v>0.99280000000000002</v>
      </c>
    </row>
    <row r="1166" spans="1:2" hidden="1" x14ac:dyDescent="0.35">
      <c r="A1166" s="426" t="s">
        <v>1696</v>
      </c>
      <c r="B1166" s="419">
        <v>0.98760000000000003</v>
      </c>
    </row>
    <row r="1167" spans="1:2" hidden="1" x14ac:dyDescent="0.35">
      <c r="A1167" s="426" t="s">
        <v>1697</v>
      </c>
      <c r="B1167" s="419">
        <v>0.99839999999999995</v>
      </c>
    </row>
    <row r="1168" spans="1:2" hidden="1" x14ac:dyDescent="0.35">
      <c r="A1168" s="426" t="s">
        <v>1698</v>
      </c>
      <c r="B1168" s="419">
        <v>0.99880000000000002</v>
      </c>
    </row>
    <row r="1169" spans="1:2" hidden="1" x14ac:dyDescent="0.35">
      <c r="A1169" s="426" t="s">
        <v>1699</v>
      </c>
      <c r="B1169" s="419">
        <v>0.99760000000000004</v>
      </c>
    </row>
    <row r="1170" spans="1:2" hidden="1" x14ac:dyDescent="0.35">
      <c r="A1170" s="426" t="s">
        <v>1700</v>
      </c>
      <c r="B1170" s="419">
        <v>0.97750000000000004</v>
      </c>
    </row>
    <row r="1171" spans="1:2" hidden="1" x14ac:dyDescent="0.35">
      <c r="A1171" s="426" t="s">
        <v>1701</v>
      </c>
      <c r="B1171" s="419">
        <v>0.99570000000000003</v>
      </c>
    </row>
    <row r="1172" spans="1:2" hidden="1" x14ac:dyDescent="0.35">
      <c r="A1172" s="426" t="s">
        <v>1702</v>
      </c>
      <c r="B1172" s="419">
        <v>0.998</v>
      </c>
    </row>
    <row r="1173" spans="1:2" hidden="1" x14ac:dyDescent="0.35">
      <c r="A1173" s="426" t="s">
        <v>1703</v>
      </c>
      <c r="B1173" s="419">
        <v>1</v>
      </c>
    </row>
    <row r="1174" spans="1:2" hidden="1" x14ac:dyDescent="0.35">
      <c r="A1174" s="426" t="s">
        <v>1704</v>
      </c>
      <c r="B1174" s="419">
        <v>0.99970000000000003</v>
      </c>
    </row>
    <row r="1175" spans="1:2" hidden="1" x14ac:dyDescent="0.35">
      <c r="A1175" s="426" t="s">
        <v>1705</v>
      </c>
      <c r="B1175" s="419">
        <v>0.99509999999999998</v>
      </c>
    </row>
    <row r="1176" spans="1:2" hidden="1" x14ac:dyDescent="0.35">
      <c r="A1176" s="426" t="s">
        <v>1706</v>
      </c>
      <c r="B1176" s="419">
        <v>0.99839999999999995</v>
      </c>
    </row>
    <row r="1177" spans="1:2" hidden="1" x14ac:dyDescent="0.35">
      <c r="A1177" s="426" t="s">
        <v>1707</v>
      </c>
      <c r="B1177" s="419">
        <v>0.99729999999999996</v>
      </c>
    </row>
    <row r="1178" spans="1:2" hidden="1" x14ac:dyDescent="0.35">
      <c r="A1178" s="426" t="s">
        <v>1708</v>
      </c>
      <c r="B1178" s="419">
        <v>0.99970000000000003</v>
      </c>
    </row>
    <row r="1179" spans="1:2" hidden="1" x14ac:dyDescent="0.35">
      <c r="A1179" s="426" t="s">
        <v>1709</v>
      </c>
      <c r="B1179" s="419">
        <v>0.99829999999999997</v>
      </c>
    </row>
    <row r="1180" spans="1:2" hidden="1" x14ac:dyDescent="0.35">
      <c r="A1180" s="426" t="s">
        <v>1710</v>
      </c>
      <c r="B1180" s="419">
        <v>0.99939999999999996</v>
      </c>
    </row>
    <row r="1181" spans="1:2" hidden="1" x14ac:dyDescent="0.35">
      <c r="A1181" s="426" t="s">
        <v>1711</v>
      </c>
      <c r="B1181" s="419">
        <v>0.99570000000000003</v>
      </c>
    </row>
    <row r="1182" spans="1:2" hidden="1" x14ac:dyDescent="0.35">
      <c r="A1182" s="426" t="s">
        <v>1712</v>
      </c>
      <c r="B1182" s="419">
        <v>0.98909999999999998</v>
      </c>
    </row>
    <row r="1183" spans="1:2" hidden="1" x14ac:dyDescent="0.35">
      <c r="A1183" s="426" t="s">
        <v>1713</v>
      </c>
      <c r="B1183" s="419">
        <v>0.999</v>
      </c>
    </row>
    <row r="1184" spans="1:2" hidden="1" x14ac:dyDescent="0.35">
      <c r="A1184" s="426" t="s">
        <v>1714</v>
      </c>
      <c r="B1184" s="419">
        <v>0.99360000000000004</v>
      </c>
    </row>
    <row r="1185" spans="1:2" hidden="1" x14ac:dyDescent="0.35">
      <c r="A1185" s="426" t="s">
        <v>1715</v>
      </c>
      <c r="B1185" s="419">
        <v>0.99109999999999998</v>
      </c>
    </row>
    <row r="1186" spans="1:2" hidden="1" x14ac:dyDescent="0.35">
      <c r="A1186" s="426" t="s">
        <v>1716</v>
      </c>
      <c r="B1186" s="419">
        <v>0.99729999999999996</v>
      </c>
    </row>
    <row r="1187" spans="1:2" hidden="1" x14ac:dyDescent="0.35">
      <c r="A1187" s="426" t="s">
        <v>1717</v>
      </c>
      <c r="B1187" s="419">
        <v>0.99709999999999999</v>
      </c>
    </row>
    <row r="1188" spans="1:2" hidden="1" x14ac:dyDescent="0.35">
      <c r="A1188" s="426" t="s">
        <v>1718</v>
      </c>
      <c r="B1188" s="419">
        <v>0.97</v>
      </c>
    </row>
    <row r="1189" spans="1:2" hidden="1" x14ac:dyDescent="0.35">
      <c r="A1189" s="426" t="s">
        <v>1719</v>
      </c>
      <c r="B1189" s="419">
        <v>0.99209999999999998</v>
      </c>
    </row>
    <row r="1190" spans="1:2" hidden="1" x14ac:dyDescent="0.35">
      <c r="A1190" s="426" t="s">
        <v>1720</v>
      </c>
      <c r="B1190" s="419">
        <v>0.99690000000000001</v>
      </c>
    </row>
    <row r="1191" spans="1:2" hidden="1" x14ac:dyDescent="0.35">
      <c r="A1191" s="426" t="s">
        <v>1721</v>
      </c>
      <c r="B1191" s="419">
        <v>0.99790000000000001</v>
      </c>
    </row>
    <row r="1192" spans="1:2" hidden="1" x14ac:dyDescent="0.35">
      <c r="A1192" s="426" t="s">
        <v>1722</v>
      </c>
      <c r="B1192" s="419">
        <v>0.99850000000000005</v>
      </c>
    </row>
    <row r="1193" spans="1:2" hidden="1" x14ac:dyDescent="0.35">
      <c r="A1193" s="426" t="s">
        <v>1723</v>
      </c>
      <c r="B1193" s="419">
        <v>0.99929999999999997</v>
      </c>
    </row>
    <row r="1194" spans="1:2" hidden="1" x14ac:dyDescent="0.35">
      <c r="A1194" s="426" t="s">
        <v>1724</v>
      </c>
      <c r="B1194" s="419">
        <v>0.996</v>
      </c>
    </row>
    <row r="1195" spans="1:2" hidden="1" x14ac:dyDescent="0.35">
      <c r="A1195" s="426" t="s">
        <v>1725</v>
      </c>
      <c r="B1195" s="419">
        <v>0.99980000000000002</v>
      </c>
    </row>
    <row r="1196" spans="1:2" hidden="1" x14ac:dyDescent="0.35">
      <c r="A1196" s="426" t="s">
        <v>1726</v>
      </c>
      <c r="B1196" s="419">
        <v>0.99219999999999997</v>
      </c>
    </row>
    <row r="1197" spans="1:2" hidden="1" x14ac:dyDescent="0.35">
      <c r="A1197" s="426" t="s">
        <v>1727</v>
      </c>
      <c r="B1197" s="419">
        <v>1</v>
      </c>
    </row>
    <row r="1198" spans="1:2" hidden="1" x14ac:dyDescent="0.35">
      <c r="A1198" s="426" t="s">
        <v>1728</v>
      </c>
      <c r="B1198" s="419">
        <v>1</v>
      </c>
    </row>
    <row r="1199" spans="1:2" hidden="1" x14ac:dyDescent="0.35">
      <c r="A1199" s="426" t="s">
        <v>1729</v>
      </c>
      <c r="B1199" s="419">
        <v>1</v>
      </c>
    </row>
    <row r="1200" spans="1:2" hidden="1" x14ac:dyDescent="0.35">
      <c r="A1200" s="426" t="s">
        <v>1730</v>
      </c>
      <c r="B1200" s="419">
        <v>0.9919</v>
      </c>
    </row>
    <row r="1201" spans="1:2" hidden="1" x14ac:dyDescent="0.35">
      <c r="A1201" s="426" t="s">
        <v>1731</v>
      </c>
      <c r="B1201" s="419">
        <v>0.99939999999999996</v>
      </c>
    </row>
    <row r="1202" spans="1:2" hidden="1" x14ac:dyDescent="0.35">
      <c r="A1202" s="426" t="s">
        <v>1732</v>
      </c>
      <c r="B1202" s="419">
        <v>1</v>
      </c>
    </row>
    <row r="1203" spans="1:2" hidden="1" x14ac:dyDescent="0.35">
      <c r="A1203" s="426" t="s">
        <v>1733</v>
      </c>
      <c r="B1203" s="419">
        <v>1</v>
      </c>
    </row>
    <row r="1204" spans="1:2" hidden="1" x14ac:dyDescent="0.35">
      <c r="A1204" s="426" t="s">
        <v>1734</v>
      </c>
      <c r="B1204" s="419">
        <v>0.99419999999999997</v>
      </c>
    </row>
    <row r="1205" spans="1:2" hidden="1" x14ac:dyDescent="0.35">
      <c r="A1205" s="426" t="s">
        <v>1735</v>
      </c>
      <c r="B1205" s="419">
        <v>0.99780000000000002</v>
      </c>
    </row>
    <row r="1206" spans="1:2" hidden="1" x14ac:dyDescent="0.35">
      <c r="A1206" s="426" t="s">
        <v>1736</v>
      </c>
      <c r="B1206" s="419">
        <v>0.99790000000000001</v>
      </c>
    </row>
    <row r="1207" spans="1:2" hidden="1" x14ac:dyDescent="0.35">
      <c r="A1207" s="426" t="s">
        <v>1737</v>
      </c>
      <c r="B1207" s="419">
        <v>0.99819999999999998</v>
      </c>
    </row>
    <row r="1208" spans="1:2" hidden="1" x14ac:dyDescent="0.35">
      <c r="A1208" s="426" t="s">
        <v>1738</v>
      </c>
      <c r="B1208" s="419">
        <v>0.99429999999999996</v>
      </c>
    </row>
    <row r="1209" spans="1:2" hidden="1" x14ac:dyDescent="0.35">
      <c r="A1209" s="426" t="s">
        <v>1739</v>
      </c>
      <c r="B1209" s="419">
        <v>0.99529999999999996</v>
      </c>
    </row>
    <row r="1210" spans="1:2" hidden="1" x14ac:dyDescent="0.35">
      <c r="A1210" s="426" t="s">
        <v>1740</v>
      </c>
      <c r="B1210" s="419">
        <v>0.99809999999999999</v>
      </c>
    </row>
    <row r="1211" spans="1:2" hidden="1" x14ac:dyDescent="0.35">
      <c r="A1211" s="426" t="s">
        <v>1741</v>
      </c>
      <c r="B1211" s="419">
        <v>0.99170000000000003</v>
      </c>
    </row>
    <row r="1212" spans="1:2" hidden="1" x14ac:dyDescent="0.35">
      <c r="A1212" s="426" t="s">
        <v>1742</v>
      </c>
      <c r="B1212" s="419">
        <v>1</v>
      </c>
    </row>
    <row r="1213" spans="1:2" hidden="1" x14ac:dyDescent="0.35">
      <c r="A1213" s="426" t="s">
        <v>1743</v>
      </c>
      <c r="B1213" s="419">
        <v>0.99739999999999995</v>
      </c>
    </row>
    <row r="1214" spans="1:2" hidden="1" x14ac:dyDescent="0.35">
      <c r="A1214" s="426" t="s">
        <v>1744</v>
      </c>
      <c r="B1214" s="419">
        <v>0.99539999999999995</v>
      </c>
    </row>
    <row r="1215" spans="1:2" hidden="1" x14ac:dyDescent="0.35">
      <c r="A1215" s="426" t="s">
        <v>1745</v>
      </c>
      <c r="B1215" s="419">
        <v>0.99809999999999999</v>
      </c>
    </row>
    <row r="1216" spans="1:2" hidden="1" x14ac:dyDescent="0.35">
      <c r="A1216" s="426" t="s">
        <v>1746</v>
      </c>
      <c r="B1216" s="419">
        <v>0.99829999999999997</v>
      </c>
    </row>
    <row r="1217" spans="1:2" hidden="1" x14ac:dyDescent="0.35">
      <c r="A1217" s="426" t="s">
        <v>1747</v>
      </c>
      <c r="B1217" s="419">
        <v>0.99850000000000005</v>
      </c>
    </row>
    <row r="1218" spans="1:2" hidden="1" x14ac:dyDescent="0.35">
      <c r="A1218" s="426" t="s">
        <v>1748</v>
      </c>
      <c r="B1218" s="419">
        <v>0.997</v>
      </c>
    </row>
    <row r="1219" spans="1:2" hidden="1" x14ac:dyDescent="0.35">
      <c r="A1219" s="426" t="s">
        <v>1749</v>
      </c>
      <c r="B1219" s="419">
        <v>0.98099999999999998</v>
      </c>
    </row>
    <row r="1220" spans="1:2" hidden="1" x14ac:dyDescent="0.35">
      <c r="A1220" s="426" t="s">
        <v>1750</v>
      </c>
      <c r="B1220" s="419">
        <v>1</v>
      </c>
    </row>
    <row r="1221" spans="1:2" hidden="1" x14ac:dyDescent="0.35">
      <c r="A1221" s="426" t="s">
        <v>1751</v>
      </c>
      <c r="B1221" s="419">
        <v>0.99570000000000003</v>
      </c>
    </row>
    <row r="1222" spans="1:2" hidden="1" x14ac:dyDescent="0.35">
      <c r="A1222" s="426" t="s">
        <v>1752</v>
      </c>
      <c r="B1222" s="419">
        <v>0.99009999999999998</v>
      </c>
    </row>
    <row r="1223" spans="1:2" hidden="1" x14ac:dyDescent="0.35">
      <c r="A1223" s="426" t="s">
        <v>1753</v>
      </c>
      <c r="B1223" s="419">
        <v>1</v>
      </c>
    </row>
    <row r="1224" spans="1:2" hidden="1" x14ac:dyDescent="0.35">
      <c r="A1224" s="426" t="s">
        <v>1754</v>
      </c>
      <c r="B1224" s="419">
        <v>0.99539999999999995</v>
      </c>
    </row>
    <row r="1225" spans="1:2" hidden="1" x14ac:dyDescent="0.35">
      <c r="A1225" s="426" t="s">
        <v>1755</v>
      </c>
      <c r="B1225" s="419">
        <v>0.99929999999999997</v>
      </c>
    </row>
    <row r="1226" spans="1:2" hidden="1" x14ac:dyDescent="0.35">
      <c r="A1226" s="426" t="s">
        <v>1756</v>
      </c>
      <c r="B1226" s="419">
        <v>0.99970000000000003</v>
      </c>
    </row>
    <row r="1227" spans="1:2" hidden="1" x14ac:dyDescent="0.35">
      <c r="A1227" s="426" t="s">
        <v>1757</v>
      </c>
      <c r="B1227" s="419">
        <v>0.99960000000000004</v>
      </c>
    </row>
    <row r="1228" spans="1:2" hidden="1" x14ac:dyDescent="0.35">
      <c r="A1228" s="426" t="s">
        <v>1758</v>
      </c>
      <c r="B1228" s="419">
        <v>0.99839999999999995</v>
      </c>
    </row>
    <row r="1229" spans="1:2" hidden="1" x14ac:dyDescent="0.35">
      <c r="A1229" s="426" t="s">
        <v>1759</v>
      </c>
      <c r="B1229" s="419">
        <v>0.99980000000000002</v>
      </c>
    </row>
    <row r="1230" spans="1:2" hidden="1" x14ac:dyDescent="0.35">
      <c r="A1230" s="426" t="s">
        <v>1760</v>
      </c>
      <c r="B1230" s="419">
        <v>1</v>
      </c>
    </row>
    <row r="1231" spans="1:2" hidden="1" x14ac:dyDescent="0.35">
      <c r="A1231" s="426" t="s">
        <v>1761</v>
      </c>
      <c r="B1231" s="419">
        <v>0.99709999999999999</v>
      </c>
    </row>
    <row r="1232" spans="1:2" hidden="1" x14ac:dyDescent="0.35">
      <c r="A1232" s="426" t="s">
        <v>1762</v>
      </c>
      <c r="B1232" s="419">
        <v>0.99719999999999998</v>
      </c>
    </row>
    <row r="1233" spans="1:2" hidden="1" x14ac:dyDescent="0.35">
      <c r="A1233" s="426" t="s">
        <v>1763</v>
      </c>
      <c r="B1233" s="419">
        <v>1</v>
      </c>
    </row>
    <row r="1234" spans="1:2" hidden="1" x14ac:dyDescent="0.35">
      <c r="A1234" s="426" t="s">
        <v>1764</v>
      </c>
      <c r="B1234" s="419">
        <v>0.99939999999999996</v>
      </c>
    </row>
    <row r="1235" spans="1:2" hidden="1" x14ac:dyDescent="0.35">
      <c r="A1235" s="426" t="s">
        <v>1765</v>
      </c>
      <c r="B1235" s="419">
        <v>1</v>
      </c>
    </row>
    <row r="1236" spans="1:2" hidden="1" x14ac:dyDescent="0.35">
      <c r="A1236" s="426" t="s">
        <v>1766</v>
      </c>
      <c r="B1236" s="419">
        <v>0.99729999999999996</v>
      </c>
    </row>
    <row r="1237" spans="1:2" hidden="1" x14ac:dyDescent="0.35">
      <c r="A1237" s="426" t="s">
        <v>1767</v>
      </c>
      <c r="B1237" s="419">
        <v>1</v>
      </c>
    </row>
    <row r="1238" spans="1:2" hidden="1" x14ac:dyDescent="0.35">
      <c r="A1238" s="426" t="s">
        <v>1768</v>
      </c>
      <c r="B1238" s="419">
        <v>0.99719999999999998</v>
      </c>
    </row>
    <row r="1239" spans="1:2" hidden="1" x14ac:dyDescent="0.35">
      <c r="A1239" s="426" t="s">
        <v>1769</v>
      </c>
      <c r="B1239" s="419">
        <v>1</v>
      </c>
    </row>
    <row r="1240" spans="1:2" hidden="1" x14ac:dyDescent="0.35">
      <c r="A1240" s="426" t="s">
        <v>1770</v>
      </c>
      <c r="B1240" s="419">
        <v>0.99399999999999999</v>
      </c>
    </row>
    <row r="1241" spans="1:2" hidden="1" x14ac:dyDescent="0.35">
      <c r="A1241" s="426" t="s">
        <v>1771</v>
      </c>
      <c r="B1241" s="419">
        <v>1</v>
      </c>
    </row>
    <row r="1242" spans="1:2" hidden="1" x14ac:dyDescent="0.35">
      <c r="A1242" s="426" t="s">
        <v>1772</v>
      </c>
      <c r="B1242" s="419">
        <v>0.99760000000000004</v>
      </c>
    </row>
    <row r="1243" spans="1:2" hidden="1" x14ac:dyDescent="0.35">
      <c r="A1243" s="426" t="s">
        <v>1773</v>
      </c>
      <c r="B1243" s="419">
        <v>1</v>
      </c>
    </row>
    <row r="1244" spans="1:2" hidden="1" x14ac:dyDescent="0.35">
      <c r="A1244" s="426" t="s">
        <v>1774</v>
      </c>
      <c r="B1244" s="419">
        <v>0.99990000000000001</v>
      </c>
    </row>
    <row r="1245" spans="1:2" hidden="1" x14ac:dyDescent="0.35">
      <c r="A1245" s="426" t="s">
        <v>1775</v>
      </c>
      <c r="B1245" s="419">
        <v>0.99839999999999995</v>
      </c>
    </row>
    <row r="1246" spans="1:2" hidden="1" x14ac:dyDescent="0.35">
      <c r="A1246" s="426" t="s">
        <v>1776</v>
      </c>
      <c r="B1246" s="419">
        <v>0.99870000000000003</v>
      </c>
    </row>
    <row r="1247" spans="1:2" hidden="1" x14ac:dyDescent="0.35">
      <c r="A1247" s="426" t="s">
        <v>1777</v>
      </c>
      <c r="B1247" s="419">
        <v>0.99639999999999995</v>
      </c>
    </row>
    <row r="1248" spans="1:2" hidden="1" x14ac:dyDescent="0.35">
      <c r="A1248" s="426" t="s">
        <v>1778</v>
      </c>
      <c r="B1248" s="419">
        <v>0.99790000000000001</v>
      </c>
    </row>
    <row r="1249" spans="1:2" hidden="1" x14ac:dyDescent="0.35">
      <c r="A1249" s="426" t="s">
        <v>1779</v>
      </c>
      <c r="B1249" s="419">
        <v>0.98129999999999995</v>
      </c>
    </row>
    <row r="1250" spans="1:2" hidden="1" x14ac:dyDescent="0.35">
      <c r="A1250" s="426" t="s">
        <v>1780</v>
      </c>
      <c r="B1250" s="419">
        <v>0.999</v>
      </c>
    </row>
    <row r="1251" spans="1:2" hidden="1" x14ac:dyDescent="0.35">
      <c r="A1251" s="426" t="s">
        <v>1781</v>
      </c>
      <c r="B1251" s="419">
        <v>1</v>
      </c>
    </row>
    <row r="1252" spans="1:2" hidden="1" x14ac:dyDescent="0.35">
      <c r="A1252" s="426" t="s">
        <v>1782</v>
      </c>
      <c r="B1252" s="419">
        <v>0.98540000000000005</v>
      </c>
    </row>
    <row r="1253" spans="1:2" hidden="1" x14ac:dyDescent="0.35">
      <c r="A1253" s="426" t="s">
        <v>1783</v>
      </c>
      <c r="B1253" s="419">
        <v>0.99970000000000003</v>
      </c>
    </row>
    <row r="1254" spans="1:2" hidden="1" x14ac:dyDescent="0.35">
      <c r="A1254" s="426" t="s">
        <v>1784</v>
      </c>
      <c r="B1254" s="419">
        <v>0.99950000000000006</v>
      </c>
    </row>
    <row r="1255" spans="1:2" hidden="1" x14ac:dyDescent="0.35">
      <c r="A1255" s="426" t="s">
        <v>1785</v>
      </c>
      <c r="B1255" s="419">
        <v>0.99980000000000002</v>
      </c>
    </row>
    <row r="1256" spans="1:2" hidden="1" x14ac:dyDescent="0.35">
      <c r="A1256" s="426" t="s">
        <v>1786</v>
      </c>
      <c r="B1256" s="419">
        <v>1</v>
      </c>
    </row>
    <row r="1257" spans="1:2" hidden="1" x14ac:dyDescent="0.35">
      <c r="A1257" s="426" t="s">
        <v>1787</v>
      </c>
      <c r="B1257" s="419">
        <v>0.99870000000000003</v>
      </c>
    </row>
    <row r="1258" spans="1:2" hidden="1" x14ac:dyDescent="0.35">
      <c r="A1258" s="426" t="s">
        <v>1788</v>
      </c>
      <c r="B1258" s="419">
        <v>0.99829999999999997</v>
      </c>
    </row>
    <row r="1259" spans="1:2" hidden="1" x14ac:dyDescent="0.35">
      <c r="A1259" s="426" t="s">
        <v>1789</v>
      </c>
      <c r="B1259" s="419">
        <v>0.98140000000000005</v>
      </c>
    </row>
    <row r="1260" spans="1:2" hidden="1" x14ac:dyDescent="0.35">
      <c r="A1260" s="426" t="s">
        <v>1790</v>
      </c>
      <c r="B1260" s="419">
        <v>1</v>
      </c>
    </row>
    <row r="1261" spans="1:2" hidden="1" x14ac:dyDescent="0.35">
      <c r="A1261" s="426" t="s">
        <v>1791</v>
      </c>
      <c r="B1261" s="419">
        <v>1</v>
      </c>
    </row>
    <row r="1262" spans="1:2" hidden="1" x14ac:dyDescent="0.35">
      <c r="A1262" s="426" t="s">
        <v>1792</v>
      </c>
      <c r="B1262" s="419">
        <v>1</v>
      </c>
    </row>
    <row r="1263" spans="1:2" hidden="1" x14ac:dyDescent="0.35">
      <c r="A1263" s="426" t="s">
        <v>1793</v>
      </c>
      <c r="B1263" s="419">
        <v>0.99929999999999997</v>
      </c>
    </row>
    <row r="1264" spans="1:2" hidden="1" x14ac:dyDescent="0.35">
      <c r="A1264" s="426" t="s">
        <v>1794</v>
      </c>
      <c r="B1264" s="419">
        <v>0.99680000000000002</v>
      </c>
    </row>
    <row r="1265" spans="1:2" hidden="1" x14ac:dyDescent="0.35">
      <c r="A1265" s="426" t="s">
        <v>1795</v>
      </c>
      <c r="B1265" s="419">
        <v>0.99950000000000006</v>
      </c>
    </row>
    <row r="1266" spans="1:2" hidden="1" x14ac:dyDescent="0.35">
      <c r="A1266" s="426" t="s">
        <v>1796</v>
      </c>
      <c r="B1266" s="419">
        <v>1</v>
      </c>
    </row>
    <row r="1267" spans="1:2" hidden="1" x14ac:dyDescent="0.35">
      <c r="A1267" s="426" t="s">
        <v>1797</v>
      </c>
      <c r="B1267" s="419">
        <v>1</v>
      </c>
    </row>
    <row r="1268" spans="1:2" hidden="1" x14ac:dyDescent="0.35">
      <c r="A1268" s="426" t="s">
        <v>1798</v>
      </c>
      <c r="B1268" s="419">
        <v>0.99429999999999996</v>
      </c>
    </row>
    <row r="1269" spans="1:2" hidden="1" x14ac:dyDescent="0.35">
      <c r="A1269" s="426" t="s">
        <v>1799</v>
      </c>
      <c r="B1269" s="419">
        <v>0.99860000000000004</v>
      </c>
    </row>
    <row r="1270" spans="1:2" hidden="1" x14ac:dyDescent="0.35">
      <c r="A1270" s="426" t="s">
        <v>1800</v>
      </c>
      <c r="B1270" s="419">
        <v>1</v>
      </c>
    </row>
    <row r="1271" spans="1:2" hidden="1" x14ac:dyDescent="0.35">
      <c r="A1271" s="426" t="s">
        <v>1801</v>
      </c>
      <c r="B1271" s="419">
        <v>0.9758</v>
      </c>
    </row>
    <row r="1272" spans="1:2" hidden="1" x14ac:dyDescent="0.35">
      <c r="A1272" s="426" t="s">
        <v>1802</v>
      </c>
      <c r="B1272" s="419">
        <v>1</v>
      </c>
    </row>
    <row r="1273" spans="1:2" hidden="1" x14ac:dyDescent="0.35">
      <c r="A1273" s="426" t="s">
        <v>1803</v>
      </c>
      <c r="B1273" s="419">
        <v>0.98619999999999997</v>
      </c>
    </row>
    <row r="1274" spans="1:2" hidden="1" x14ac:dyDescent="0.35">
      <c r="A1274" s="426" t="s">
        <v>1804</v>
      </c>
      <c r="B1274" s="419">
        <v>0.99890000000000001</v>
      </c>
    </row>
    <row r="1275" spans="1:2" hidden="1" x14ac:dyDescent="0.35">
      <c r="A1275" s="426" t="s">
        <v>1805</v>
      </c>
      <c r="B1275" s="419">
        <v>1</v>
      </c>
    </row>
    <row r="1276" spans="1:2" hidden="1" x14ac:dyDescent="0.35">
      <c r="A1276" s="426" t="s">
        <v>1806</v>
      </c>
      <c r="B1276" s="419">
        <v>1</v>
      </c>
    </row>
    <row r="1277" spans="1:2" hidden="1" x14ac:dyDescent="0.35">
      <c r="A1277" s="426" t="s">
        <v>1807</v>
      </c>
      <c r="B1277" s="419">
        <v>1</v>
      </c>
    </row>
    <row r="1278" spans="1:2" hidden="1" x14ac:dyDescent="0.35">
      <c r="A1278" s="426" t="s">
        <v>1808</v>
      </c>
      <c r="B1278" s="419">
        <v>1</v>
      </c>
    </row>
    <row r="1279" spans="1:2" hidden="1" x14ac:dyDescent="0.35">
      <c r="A1279" s="426" t="s">
        <v>1809</v>
      </c>
      <c r="B1279" s="419">
        <v>1</v>
      </c>
    </row>
    <row r="1280" spans="1:2" hidden="1" x14ac:dyDescent="0.35">
      <c r="A1280" s="426" t="s">
        <v>1810</v>
      </c>
      <c r="B1280" s="419">
        <v>1</v>
      </c>
    </row>
    <row r="1281" spans="1:2" hidden="1" x14ac:dyDescent="0.35">
      <c r="A1281" s="426" t="s">
        <v>1811</v>
      </c>
      <c r="B1281" s="419">
        <v>0.99960000000000004</v>
      </c>
    </row>
    <row r="1282" spans="1:2" hidden="1" x14ac:dyDescent="0.35">
      <c r="A1282" s="426" t="s">
        <v>1812</v>
      </c>
      <c r="B1282" s="419">
        <v>1</v>
      </c>
    </row>
    <row r="1283" spans="1:2" hidden="1" x14ac:dyDescent="0.35">
      <c r="A1283" s="426" t="s">
        <v>1813</v>
      </c>
      <c r="B1283" s="419">
        <v>1</v>
      </c>
    </row>
    <row r="1284" spans="1:2" hidden="1" x14ac:dyDescent="0.35">
      <c r="A1284" s="426" t="s">
        <v>1814</v>
      </c>
      <c r="B1284" s="419">
        <v>0.99950000000000006</v>
      </c>
    </row>
    <row r="1285" spans="1:2" hidden="1" x14ac:dyDescent="0.35">
      <c r="A1285" s="426" t="s">
        <v>1815</v>
      </c>
      <c r="B1285" s="419">
        <v>0.996</v>
      </c>
    </row>
    <row r="1286" spans="1:2" hidden="1" x14ac:dyDescent="0.35">
      <c r="A1286" s="426" t="s">
        <v>1816</v>
      </c>
      <c r="B1286" s="419">
        <v>0.99970000000000003</v>
      </c>
    </row>
    <row r="1287" spans="1:2" hidden="1" x14ac:dyDescent="0.35">
      <c r="A1287" s="426" t="s">
        <v>1817</v>
      </c>
      <c r="B1287" s="419">
        <v>0.99250000000000005</v>
      </c>
    </row>
    <row r="1288" spans="1:2" hidden="1" x14ac:dyDescent="0.35">
      <c r="A1288" s="426" t="s">
        <v>1818</v>
      </c>
      <c r="B1288" s="419">
        <v>1</v>
      </c>
    </row>
    <row r="1289" spans="1:2" hidden="1" x14ac:dyDescent="0.35">
      <c r="A1289" s="426" t="s">
        <v>1819</v>
      </c>
      <c r="B1289" s="419">
        <v>0.99860000000000004</v>
      </c>
    </row>
    <row r="1290" spans="1:2" hidden="1" x14ac:dyDescent="0.35">
      <c r="A1290" s="426" t="s">
        <v>1820</v>
      </c>
      <c r="B1290" s="419">
        <v>0.99919999999999998</v>
      </c>
    </row>
    <row r="1291" spans="1:2" hidden="1" x14ac:dyDescent="0.35">
      <c r="A1291" s="426" t="s">
        <v>1821</v>
      </c>
      <c r="B1291" s="419">
        <v>0.99939999999999996</v>
      </c>
    </row>
    <row r="1292" spans="1:2" hidden="1" x14ac:dyDescent="0.35">
      <c r="A1292" s="426" t="s">
        <v>1822</v>
      </c>
      <c r="B1292" s="419">
        <v>1</v>
      </c>
    </row>
    <row r="1293" spans="1:2" hidden="1" x14ac:dyDescent="0.35">
      <c r="A1293" s="426" t="s">
        <v>1823</v>
      </c>
      <c r="B1293" s="419">
        <v>0.99939999999999996</v>
      </c>
    </row>
    <row r="1294" spans="1:2" hidden="1" x14ac:dyDescent="0.35">
      <c r="A1294" s="426" t="s">
        <v>1824</v>
      </c>
      <c r="B1294" s="419">
        <v>1</v>
      </c>
    </row>
    <row r="1295" spans="1:2" hidden="1" x14ac:dyDescent="0.35">
      <c r="A1295" s="426" t="s">
        <v>1825</v>
      </c>
      <c r="B1295" s="419">
        <v>0.99960000000000004</v>
      </c>
    </row>
    <row r="1296" spans="1:2" hidden="1" x14ac:dyDescent="0.35">
      <c r="A1296" s="426" t="s">
        <v>1826</v>
      </c>
      <c r="B1296" s="419">
        <v>1</v>
      </c>
    </row>
    <row r="1297" spans="1:2" hidden="1" x14ac:dyDescent="0.35">
      <c r="A1297" s="426" t="s">
        <v>1827</v>
      </c>
      <c r="B1297" s="419">
        <v>1</v>
      </c>
    </row>
    <row r="1298" spans="1:2" hidden="1" x14ac:dyDescent="0.35">
      <c r="A1298" s="426" t="s">
        <v>1828</v>
      </c>
      <c r="B1298" s="419">
        <v>0.99380000000000002</v>
      </c>
    </row>
    <row r="1299" spans="1:2" hidden="1" x14ac:dyDescent="0.35">
      <c r="A1299" s="426" t="s">
        <v>1829</v>
      </c>
      <c r="B1299" s="419">
        <v>0.99439999999999995</v>
      </c>
    </row>
    <row r="1300" spans="1:2" hidden="1" x14ac:dyDescent="0.35">
      <c r="A1300" s="426" t="s">
        <v>1830</v>
      </c>
      <c r="B1300" s="419">
        <v>0.99</v>
      </c>
    </row>
    <row r="1301" spans="1:2" hidden="1" x14ac:dyDescent="0.35">
      <c r="A1301" s="426" t="s">
        <v>1831</v>
      </c>
      <c r="B1301" s="419">
        <v>0.99680000000000002</v>
      </c>
    </row>
    <row r="1302" spans="1:2" hidden="1" x14ac:dyDescent="0.35">
      <c r="A1302" s="426" t="s">
        <v>1832</v>
      </c>
      <c r="B1302" s="419">
        <v>0.99919999999999998</v>
      </c>
    </row>
    <row r="1303" spans="1:2" hidden="1" x14ac:dyDescent="0.35">
      <c r="A1303" s="426" t="s">
        <v>1833</v>
      </c>
      <c r="B1303" s="419">
        <v>0.99050000000000005</v>
      </c>
    </row>
    <row r="1304" spans="1:2" hidden="1" x14ac:dyDescent="0.35">
      <c r="A1304" s="426" t="s">
        <v>1834</v>
      </c>
      <c r="B1304" s="419">
        <v>0.99870000000000003</v>
      </c>
    </row>
    <row r="1305" spans="1:2" hidden="1" x14ac:dyDescent="0.35">
      <c r="A1305" s="426" t="s">
        <v>1835</v>
      </c>
      <c r="B1305" s="419">
        <v>0.998</v>
      </c>
    </row>
    <row r="1306" spans="1:2" hidden="1" x14ac:dyDescent="0.35">
      <c r="A1306" s="426" t="s">
        <v>1836</v>
      </c>
      <c r="B1306" s="419">
        <v>0.99550000000000005</v>
      </c>
    </row>
    <row r="1307" spans="1:2" hidden="1" x14ac:dyDescent="0.35">
      <c r="A1307" s="426" t="s">
        <v>1837</v>
      </c>
      <c r="B1307" s="419">
        <v>0.98599999999999999</v>
      </c>
    </row>
    <row r="1308" spans="1:2" hidden="1" x14ac:dyDescent="0.35">
      <c r="A1308" s="426" t="s">
        <v>1838</v>
      </c>
      <c r="B1308" s="419">
        <v>0.97929999999999995</v>
      </c>
    </row>
    <row r="1309" spans="1:2" hidden="1" x14ac:dyDescent="0.35">
      <c r="A1309" s="426" t="s">
        <v>1839</v>
      </c>
      <c r="B1309" s="419">
        <v>0.99650000000000005</v>
      </c>
    </row>
    <row r="1310" spans="1:2" hidden="1" x14ac:dyDescent="0.35">
      <c r="A1310" s="426" t="s">
        <v>1840</v>
      </c>
      <c r="B1310" s="419">
        <v>0.97540000000000004</v>
      </c>
    </row>
    <row r="1311" spans="1:2" hidden="1" x14ac:dyDescent="0.35">
      <c r="A1311" s="426" t="s">
        <v>1841</v>
      </c>
      <c r="B1311" s="419">
        <v>0.99729999999999996</v>
      </c>
    </row>
    <row r="1312" spans="1:2" hidden="1" x14ac:dyDescent="0.35">
      <c r="A1312" s="426" t="s">
        <v>1842</v>
      </c>
      <c r="B1312" s="419">
        <v>0.99660000000000004</v>
      </c>
    </row>
    <row r="1313" spans="1:2" hidden="1" x14ac:dyDescent="0.35">
      <c r="A1313" s="426" t="s">
        <v>1843</v>
      </c>
      <c r="B1313" s="419">
        <v>0.98409999999999997</v>
      </c>
    </row>
    <row r="1314" spans="1:2" hidden="1" x14ac:dyDescent="0.35">
      <c r="A1314" s="426" t="s">
        <v>1844</v>
      </c>
      <c r="B1314" s="419">
        <v>0.9919</v>
      </c>
    </row>
    <row r="1315" spans="1:2" hidden="1" x14ac:dyDescent="0.35">
      <c r="A1315" s="426" t="s">
        <v>1845</v>
      </c>
      <c r="B1315" s="419">
        <v>0.98370000000000002</v>
      </c>
    </row>
    <row r="1316" spans="1:2" hidden="1" x14ac:dyDescent="0.35">
      <c r="A1316" s="426" t="s">
        <v>1846</v>
      </c>
      <c r="B1316" s="419">
        <v>0.99990000000000001</v>
      </c>
    </row>
    <row r="1317" spans="1:2" hidden="1" x14ac:dyDescent="0.35">
      <c r="A1317" s="426" t="s">
        <v>1847</v>
      </c>
      <c r="B1317" s="419">
        <v>0.99819999999999998</v>
      </c>
    </row>
    <row r="1318" spans="1:2" hidden="1" x14ac:dyDescent="0.35">
      <c r="A1318" s="426" t="s">
        <v>1848</v>
      </c>
      <c r="B1318" s="419">
        <v>0.9889</v>
      </c>
    </row>
    <row r="1319" spans="1:2" hidden="1" x14ac:dyDescent="0.35">
      <c r="A1319" s="426" t="s">
        <v>1849</v>
      </c>
      <c r="B1319" s="419">
        <v>0.97889999999999999</v>
      </c>
    </row>
    <row r="1320" spans="1:2" hidden="1" x14ac:dyDescent="0.35">
      <c r="A1320" s="426" t="s">
        <v>1850</v>
      </c>
      <c r="B1320" s="419">
        <v>0.9879</v>
      </c>
    </row>
    <row r="1321" spans="1:2" hidden="1" x14ac:dyDescent="0.35">
      <c r="A1321" s="426" t="s">
        <v>1851</v>
      </c>
      <c r="B1321" s="419">
        <v>0.99929999999999997</v>
      </c>
    </row>
    <row r="1322" spans="1:2" hidden="1" x14ac:dyDescent="0.35">
      <c r="A1322" s="426" t="s">
        <v>1852</v>
      </c>
      <c r="B1322" s="419">
        <v>0.998</v>
      </c>
    </row>
    <row r="1323" spans="1:2" hidden="1" x14ac:dyDescent="0.35">
      <c r="A1323" s="426" t="s">
        <v>1853</v>
      </c>
      <c r="B1323" s="419">
        <v>0.99380000000000002</v>
      </c>
    </row>
    <row r="1324" spans="1:2" hidden="1" x14ac:dyDescent="0.35">
      <c r="A1324" s="426" t="s">
        <v>1854</v>
      </c>
      <c r="B1324" s="419">
        <v>0.99629999999999996</v>
      </c>
    </row>
    <row r="1325" spans="1:2" hidden="1" x14ac:dyDescent="0.35">
      <c r="A1325" s="426" t="s">
        <v>1855</v>
      </c>
      <c r="B1325" s="419">
        <v>0.99680000000000002</v>
      </c>
    </row>
    <row r="1326" spans="1:2" hidden="1" x14ac:dyDescent="0.35">
      <c r="A1326" s="426" t="s">
        <v>1856</v>
      </c>
      <c r="B1326" s="419">
        <v>0.99</v>
      </c>
    </row>
    <row r="1327" spans="1:2" hidden="1" x14ac:dyDescent="0.35">
      <c r="A1327" s="426" t="s">
        <v>1857</v>
      </c>
      <c r="B1327" s="419">
        <v>1</v>
      </c>
    </row>
    <row r="1328" spans="1:2" hidden="1" x14ac:dyDescent="0.35">
      <c r="A1328" s="426" t="s">
        <v>1858</v>
      </c>
      <c r="B1328" s="419">
        <v>0.99709999999999999</v>
      </c>
    </row>
    <row r="1329" spans="1:2" hidden="1" x14ac:dyDescent="0.35">
      <c r="A1329" s="426" t="s">
        <v>1859</v>
      </c>
      <c r="B1329" s="419">
        <v>0.99580000000000002</v>
      </c>
    </row>
    <row r="1330" spans="1:2" hidden="1" x14ac:dyDescent="0.35">
      <c r="A1330" s="426" t="s">
        <v>1860</v>
      </c>
      <c r="B1330" s="419">
        <v>0.998</v>
      </c>
    </row>
    <row r="1331" spans="1:2" hidden="1" x14ac:dyDescent="0.35">
      <c r="A1331" s="426" t="s">
        <v>1861</v>
      </c>
      <c r="B1331" s="419">
        <v>0.998</v>
      </c>
    </row>
    <row r="1332" spans="1:2" hidden="1" x14ac:dyDescent="0.35">
      <c r="A1332" s="426" t="s">
        <v>1862</v>
      </c>
      <c r="B1332" s="419">
        <v>0.99050000000000005</v>
      </c>
    </row>
    <row r="1333" spans="1:2" hidden="1" x14ac:dyDescent="0.35">
      <c r="A1333" s="426" t="s">
        <v>1863</v>
      </c>
      <c r="B1333" s="419">
        <v>1</v>
      </c>
    </row>
    <row r="1334" spans="1:2" hidden="1" x14ac:dyDescent="0.35">
      <c r="A1334" s="426" t="s">
        <v>1864</v>
      </c>
      <c r="B1334" s="419">
        <v>0.97799999999999998</v>
      </c>
    </row>
    <row r="1335" spans="1:2" hidden="1" x14ac:dyDescent="0.35">
      <c r="A1335" s="426" t="s">
        <v>1865</v>
      </c>
      <c r="B1335" s="419">
        <v>0.99160000000000004</v>
      </c>
    </row>
    <row r="1336" spans="1:2" hidden="1" x14ac:dyDescent="0.35">
      <c r="A1336" s="426" t="s">
        <v>1866</v>
      </c>
      <c r="B1336" s="419">
        <v>0.99060000000000004</v>
      </c>
    </row>
    <row r="1337" spans="1:2" hidden="1" x14ac:dyDescent="0.35">
      <c r="A1337" s="426" t="s">
        <v>1867</v>
      </c>
      <c r="B1337" s="419">
        <v>0.99370000000000003</v>
      </c>
    </row>
    <row r="1338" spans="1:2" hidden="1" x14ac:dyDescent="0.35">
      <c r="A1338" s="426" t="s">
        <v>1868</v>
      </c>
      <c r="B1338" s="419">
        <v>0.9889</v>
      </c>
    </row>
    <row r="1339" spans="1:2" hidden="1" x14ac:dyDescent="0.35">
      <c r="A1339" s="426" t="s">
        <v>1869</v>
      </c>
      <c r="B1339" s="419">
        <v>0.98629999999999995</v>
      </c>
    </row>
    <row r="1340" spans="1:2" hidden="1" x14ac:dyDescent="0.35">
      <c r="A1340" s="426" t="s">
        <v>1870</v>
      </c>
      <c r="B1340" s="419">
        <v>0.97</v>
      </c>
    </row>
    <row r="1341" spans="1:2" hidden="1" x14ac:dyDescent="0.35">
      <c r="A1341" s="426" t="s">
        <v>1871</v>
      </c>
      <c r="B1341" s="419">
        <v>0.99709999999999999</v>
      </c>
    </row>
    <row r="1342" spans="1:2" hidden="1" x14ac:dyDescent="0.35">
      <c r="A1342" s="426" t="s">
        <v>1872</v>
      </c>
      <c r="B1342" s="419">
        <v>0.97950000000000004</v>
      </c>
    </row>
    <row r="1343" spans="1:2" hidden="1" x14ac:dyDescent="0.35">
      <c r="A1343" s="426" t="s">
        <v>1873</v>
      </c>
      <c r="B1343" s="419">
        <v>0.99350000000000005</v>
      </c>
    </row>
    <row r="1344" spans="1:2" hidden="1" x14ac:dyDescent="0.35">
      <c r="A1344" s="426" t="s">
        <v>1874</v>
      </c>
      <c r="B1344" s="419">
        <v>0.99580000000000002</v>
      </c>
    </row>
    <row r="1345" spans="1:2" hidden="1" x14ac:dyDescent="0.35">
      <c r="A1345" s="426" t="s">
        <v>1875</v>
      </c>
      <c r="B1345" s="419">
        <v>0.99229999999999996</v>
      </c>
    </row>
    <row r="1346" spans="1:2" hidden="1" x14ac:dyDescent="0.35">
      <c r="A1346" s="426" t="s">
        <v>1876</v>
      </c>
      <c r="B1346" s="419">
        <v>0.99929999999999997</v>
      </c>
    </row>
    <row r="1347" spans="1:2" hidden="1" x14ac:dyDescent="0.35">
      <c r="A1347" s="426" t="s">
        <v>1877</v>
      </c>
      <c r="B1347" s="419">
        <v>0.99550000000000005</v>
      </c>
    </row>
    <row r="1348" spans="1:2" hidden="1" x14ac:dyDescent="0.35">
      <c r="A1348" s="426" t="s">
        <v>1878</v>
      </c>
      <c r="B1348" s="419">
        <v>0.99609999999999999</v>
      </c>
    </row>
    <row r="1349" spans="1:2" hidden="1" x14ac:dyDescent="0.35">
      <c r="A1349" s="426" t="s">
        <v>1879</v>
      </c>
      <c r="B1349" s="419">
        <v>0.99270000000000003</v>
      </c>
    </row>
    <row r="1350" spans="1:2" hidden="1" x14ac:dyDescent="0.35">
      <c r="A1350" s="426" t="s">
        <v>1880</v>
      </c>
      <c r="B1350" s="419">
        <v>0.997</v>
      </c>
    </row>
    <row r="1351" spans="1:2" hidden="1" x14ac:dyDescent="0.35">
      <c r="A1351" s="426" t="s">
        <v>1881</v>
      </c>
      <c r="B1351" s="419">
        <v>1</v>
      </c>
    </row>
    <row r="1352" spans="1:2" hidden="1" x14ac:dyDescent="0.35">
      <c r="A1352" s="426" t="s">
        <v>1882</v>
      </c>
      <c r="B1352" s="419">
        <v>0.99629999999999996</v>
      </c>
    </row>
    <row r="1353" spans="1:2" hidden="1" x14ac:dyDescent="0.35">
      <c r="A1353" s="426" t="s">
        <v>1883</v>
      </c>
      <c r="B1353" s="419">
        <v>0.99880000000000002</v>
      </c>
    </row>
    <row r="1354" spans="1:2" hidden="1" x14ac:dyDescent="0.35">
      <c r="A1354" s="426" t="s">
        <v>1884</v>
      </c>
      <c r="B1354" s="419">
        <v>1</v>
      </c>
    </row>
    <row r="1355" spans="1:2" hidden="1" x14ac:dyDescent="0.35">
      <c r="A1355" s="426" t="s">
        <v>1885</v>
      </c>
      <c r="B1355" s="419">
        <v>1</v>
      </c>
    </row>
    <row r="1356" spans="1:2" hidden="1" x14ac:dyDescent="0.35">
      <c r="A1356" s="426" t="s">
        <v>1886</v>
      </c>
      <c r="B1356" s="419">
        <v>0.99199999999999999</v>
      </c>
    </row>
    <row r="1357" spans="1:2" hidden="1" x14ac:dyDescent="0.35">
      <c r="A1357" s="426" t="s">
        <v>1887</v>
      </c>
      <c r="B1357" s="419">
        <v>1</v>
      </c>
    </row>
    <row r="1358" spans="1:2" hidden="1" x14ac:dyDescent="0.35">
      <c r="A1358" s="426" t="s">
        <v>1888</v>
      </c>
      <c r="B1358" s="419">
        <v>0.99590000000000001</v>
      </c>
    </row>
    <row r="1359" spans="1:2" hidden="1" x14ac:dyDescent="0.35">
      <c r="A1359" s="426" t="s">
        <v>1889</v>
      </c>
      <c r="B1359" s="419">
        <v>0.98519999999999996</v>
      </c>
    </row>
    <row r="1360" spans="1:2" hidden="1" x14ac:dyDescent="0.35">
      <c r="A1360" s="426" t="s">
        <v>1890</v>
      </c>
      <c r="B1360" s="419">
        <v>0.99809999999999999</v>
      </c>
    </row>
    <row r="1361" spans="1:2" hidden="1" x14ac:dyDescent="0.35">
      <c r="A1361" s="426" t="s">
        <v>1891</v>
      </c>
      <c r="B1361" s="419">
        <v>0.998</v>
      </c>
    </row>
    <row r="1362" spans="1:2" hidden="1" x14ac:dyDescent="0.35">
      <c r="A1362" s="426" t="s">
        <v>1892</v>
      </c>
      <c r="B1362" s="419">
        <v>0.99239999999999995</v>
      </c>
    </row>
    <row r="1363" spans="1:2" hidden="1" x14ac:dyDescent="0.35">
      <c r="A1363" s="426" t="s">
        <v>1893</v>
      </c>
      <c r="B1363" s="419">
        <v>0.99650000000000005</v>
      </c>
    </row>
    <row r="1364" spans="1:2" hidden="1" x14ac:dyDescent="0.35">
      <c r="A1364" s="426" t="s">
        <v>1894</v>
      </c>
      <c r="B1364" s="419">
        <v>1</v>
      </c>
    </row>
    <row r="1365" spans="1:2" hidden="1" x14ac:dyDescent="0.35">
      <c r="A1365" s="426" t="s">
        <v>1895</v>
      </c>
      <c r="B1365" s="419">
        <v>0.99060000000000004</v>
      </c>
    </row>
    <row r="1366" spans="1:2" hidden="1" x14ac:dyDescent="0.35">
      <c r="A1366" s="426" t="s">
        <v>1896</v>
      </c>
      <c r="B1366" s="419">
        <v>0.99209999999999998</v>
      </c>
    </row>
    <row r="1367" spans="1:2" hidden="1" x14ac:dyDescent="0.35">
      <c r="A1367" s="426" t="s">
        <v>1897</v>
      </c>
      <c r="B1367" s="419">
        <v>1</v>
      </c>
    </row>
    <row r="1368" spans="1:2" hidden="1" x14ac:dyDescent="0.35">
      <c r="A1368" s="426" t="s">
        <v>1898</v>
      </c>
      <c r="B1368" s="419">
        <v>0.99870000000000003</v>
      </c>
    </row>
    <row r="1369" spans="1:2" hidden="1" x14ac:dyDescent="0.35">
      <c r="A1369" s="426" t="s">
        <v>1899</v>
      </c>
      <c r="B1369" s="419">
        <v>0.99970000000000003</v>
      </c>
    </row>
    <row r="1370" spans="1:2" hidden="1" x14ac:dyDescent="0.35">
      <c r="A1370" s="426" t="s">
        <v>1900</v>
      </c>
      <c r="B1370" s="419">
        <v>0.99439999999999995</v>
      </c>
    </row>
    <row r="1371" spans="1:2" hidden="1" x14ac:dyDescent="0.35">
      <c r="A1371" s="426" t="s">
        <v>1901</v>
      </c>
      <c r="B1371" s="419">
        <v>0.99980000000000002</v>
      </c>
    </row>
    <row r="1372" spans="1:2" hidden="1" x14ac:dyDescent="0.35">
      <c r="A1372" s="426" t="s">
        <v>1902</v>
      </c>
      <c r="B1372" s="419">
        <v>0.99270000000000003</v>
      </c>
    </row>
    <row r="1373" spans="1:2" hidden="1" x14ac:dyDescent="0.35">
      <c r="A1373" s="426" t="s">
        <v>1903</v>
      </c>
      <c r="B1373" s="419">
        <v>0.99709999999999999</v>
      </c>
    </row>
    <row r="1374" spans="1:2" hidden="1" x14ac:dyDescent="0.35">
      <c r="A1374" s="426" t="s">
        <v>1904</v>
      </c>
      <c r="B1374" s="419">
        <v>0.99770000000000003</v>
      </c>
    </row>
    <row r="1375" spans="1:2" hidden="1" x14ac:dyDescent="0.35">
      <c r="A1375" s="426" t="s">
        <v>1905</v>
      </c>
      <c r="B1375" s="419">
        <v>1</v>
      </c>
    </row>
    <row r="1376" spans="1:2" hidden="1" x14ac:dyDescent="0.35">
      <c r="A1376" s="426" t="s">
        <v>1906</v>
      </c>
      <c r="B1376" s="419">
        <v>0.99590000000000001</v>
      </c>
    </row>
    <row r="1377" spans="1:2" hidden="1" x14ac:dyDescent="0.35">
      <c r="A1377" s="426" t="s">
        <v>1907</v>
      </c>
      <c r="B1377" s="419">
        <v>1</v>
      </c>
    </row>
    <row r="1378" spans="1:2" hidden="1" x14ac:dyDescent="0.35">
      <c r="A1378" s="426" t="s">
        <v>1908</v>
      </c>
      <c r="B1378" s="419">
        <v>1</v>
      </c>
    </row>
    <row r="1379" spans="1:2" hidden="1" x14ac:dyDescent="0.35">
      <c r="A1379" s="426" t="s">
        <v>1909</v>
      </c>
      <c r="B1379" s="419">
        <v>0.99660000000000004</v>
      </c>
    </row>
    <row r="1380" spans="1:2" hidden="1" x14ac:dyDescent="0.35">
      <c r="A1380" s="426" t="s">
        <v>1910</v>
      </c>
      <c r="B1380" s="419">
        <v>0.99870000000000003</v>
      </c>
    </row>
    <row r="1381" spans="1:2" hidden="1" x14ac:dyDescent="0.35">
      <c r="A1381" s="426" t="s">
        <v>1911</v>
      </c>
      <c r="B1381" s="419">
        <v>0.99839999999999995</v>
      </c>
    </row>
    <row r="1382" spans="1:2" hidden="1" x14ac:dyDescent="0.35">
      <c r="A1382" s="426" t="s">
        <v>1912</v>
      </c>
      <c r="B1382" s="419">
        <v>1</v>
      </c>
    </row>
    <row r="1383" spans="1:2" hidden="1" x14ac:dyDescent="0.35">
      <c r="A1383" s="426" t="s">
        <v>1913</v>
      </c>
      <c r="B1383" s="419">
        <v>0.99670000000000003</v>
      </c>
    </row>
    <row r="1384" spans="1:2" hidden="1" x14ac:dyDescent="0.35">
      <c r="A1384" s="426" t="s">
        <v>1914</v>
      </c>
      <c r="B1384" s="419">
        <v>1</v>
      </c>
    </row>
    <row r="1385" spans="1:2" hidden="1" x14ac:dyDescent="0.35">
      <c r="A1385" s="426" t="s">
        <v>1915</v>
      </c>
      <c r="B1385" s="419">
        <v>1</v>
      </c>
    </row>
    <row r="1386" spans="1:2" hidden="1" x14ac:dyDescent="0.35">
      <c r="A1386" s="426" t="s">
        <v>1916</v>
      </c>
      <c r="B1386" s="419">
        <v>0.99399999999999999</v>
      </c>
    </row>
    <row r="1387" spans="1:2" hidden="1" x14ac:dyDescent="0.35">
      <c r="A1387" s="426" t="s">
        <v>1917</v>
      </c>
      <c r="B1387" s="419">
        <v>1</v>
      </c>
    </row>
    <row r="1388" spans="1:2" hidden="1" x14ac:dyDescent="0.35">
      <c r="A1388" s="426" t="s">
        <v>1918</v>
      </c>
      <c r="B1388" s="419">
        <v>0.98809999999999998</v>
      </c>
    </row>
    <row r="1389" spans="1:2" hidden="1" x14ac:dyDescent="0.35">
      <c r="A1389" s="426" t="s">
        <v>1919</v>
      </c>
      <c r="B1389" s="419">
        <v>0.99980000000000002</v>
      </c>
    </row>
    <row r="1390" spans="1:2" hidden="1" x14ac:dyDescent="0.35">
      <c r="A1390" s="426" t="s">
        <v>1920</v>
      </c>
      <c r="B1390" s="419">
        <v>0.99950000000000006</v>
      </c>
    </row>
    <row r="1391" spans="1:2" hidden="1" x14ac:dyDescent="0.35">
      <c r="A1391" s="426" t="s">
        <v>1921</v>
      </c>
      <c r="B1391" s="419">
        <v>0.99739999999999995</v>
      </c>
    </row>
    <row r="1392" spans="1:2" hidden="1" x14ac:dyDescent="0.35">
      <c r="A1392" s="426" t="s">
        <v>1922</v>
      </c>
      <c r="B1392" s="419">
        <v>1</v>
      </c>
    </row>
    <row r="1393" spans="1:2" hidden="1" x14ac:dyDescent="0.35">
      <c r="A1393" s="426" t="s">
        <v>1923</v>
      </c>
      <c r="B1393" s="419">
        <v>0.99990000000000001</v>
      </c>
    </row>
    <row r="1394" spans="1:2" hidden="1" x14ac:dyDescent="0.35">
      <c r="A1394" s="426" t="s">
        <v>1924</v>
      </c>
      <c r="B1394" s="419">
        <v>0.99790000000000001</v>
      </c>
    </row>
    <row r="1395" spans="1:2" hidden="1" x14ac:dyDescent="0.35">
      <c r="A1395" s="426" t="s">
        <v>1925</v>
      </c>
      <c r="B1395" s="419">
        <v>0.99880000000000002</v>
      </c>
    </row>
    <row r="1396" spans="1:2" hidden="1" x14ac:dyDescent="0.35">
      <c r="A1396" s="426" t="s">
        <v>1926</v>
      </c>
      <c r="B1396" s="419">
        <v>0.99309999999999998</v>
      </c>
    </row>
    <row r="1397" spans="1:2" hidden="1" x14ac:dyDescent="0.35">
      <c r="A1397" s="426" t="s">
        <v>1927</v>
      </c>
      <c r="B1397" s="419">
        <v>1</v>
      </c>
    </row>
    <row r="1398" spans="1:2" hidden="1" x14ac:dyDescent="0.35">
      <c r="A1398" s="426" t="s">
        <v>1928</v>
      </c>
      <c r="B1398" s="419">
        <v>1</v>
      </c>
    </row>
    <row r="1399" spans="1:2" hidden="1" x14ac:dyDescent="0.35">
      <c r="A1399" s="426" t="s">
        <v>1929</v>
      </c>
      <c r="B1399" s="419">
        <v>0.99870000000000003</v>
      </c>
    </row>
    <row r="1400" spans="1:2" hidden="1" x14ac:dyDescent="0.35">
      <c r="A1400" s="426" t="s">
        <v>1930</v>
      </c>
      <c r="B1400" s="419">
        <v>1</v>
      </c>
    </row>
    <row r="1401" spans="1:2" hidden="1" x14ac:dyDescent="0.35">
      <c r="A1401" s="426" t="s">
        <v>1931</v>
      </c>
      <c r="B1401" s="419">
        <v>0.99690000000000001</v>
      </c>
    </row>
    <row r="1402" spans="1:2" hidden="1" x14ac:dyDescent="0.35">
      <c r="A1402" s="426" t="s">
        <v>1932</v>
      </c>
      <c r="B1402" s="419">
        <v>0.98419999999999996</v>
      </c>
    </row>
    <row r="1403" spans="1:2" hidden="1" x14ac:dyDescent="0.35">
      <c r="A1403" s="426" t="s">
        <v>1933</v>
      </c>
      <c r="B1403" s="419">
        <v>0.99690000000000001</v>
      </c>
    </row>
    <row r="1404" spans="1:2" hidden="1" x14ac:dyDescent="0.35">
      <c r="A1404" s="426" t="s">
        <v>1934</v>
      </c>
      <c r="B1404" s="419">
        <v>0.99199999999999999</v>
      </c>
    </row>
    <row r="1405" spans="1:2" hidden="1" x14ac:dyDescent="0.35">
      <c r="A1405" s="426" t="s">
        <v>1935</v>
      </c>
      <c r="B1405" s="419">
        <v>0.98850000000000005</v>
      </c>
    </row>
    <row r="1406" spans="1:2" hidden="1" x14ac:dyDescent="0.35">
      <c r="A1406" s="426" t="s">
        <v>1936</v>
      </c>
      <c r="B1406" s="419">
        <v>0.99470000000000003</v>
      </c>
    </row>
    <row r="1407" spans="1:2" hidden="1" x14ac:dyDescent="0.35">
      <c r="A1407" s="426" t="s">
        <v>1937</v>
      </c>
      <c r="B1407" s="419">
        <v>0.99590000000000001</v>
      </c>
    </row>
    <row r="1408" spans="1:2" hidden="1" x14ac:dyDescent="0.35">
      <c r="A1408" s="426" t="s">
        <v>1938</v>
      </c>
      <c r="B1408" s="419">
        <v>0.99419999999999997</v>
      </c>
    </row>
    <row r="1409" spans="1:2" hidden="1" x14ac:dyDescent="0.35">
      <c r="A1409" s="426" t="s">
        <v>1939</v>
      </c>
      <c r="B1409" s="419">
        <v>1</v>
      </c>
    </row>
    <row r="1410" spans="1:2" hidden="1" x14ac:dyDescent="0.35">
      <c r="A1410" s="426" t="s">
        <v>1940</v>
      </c>
      <c r="B1410" s="419">
        <v>0.99750000000000005</v>
      </c>
    </row>
    <row r="1411" spans="1:2" hidden="1" x14ac:dyDescent="0.35">
      <c r="A1411" s="426" t="s">
        <v>1941</v>
      </c>
      <c r="B1411" s="419">
        <v>0.99480000000000002</v>
      </c>
    </row>
    <row r="1412" spans="1:2" hidden="1" x14ac:dyDescent="0.35">
      <c r="A1412" s="426" t="s">
        <v>1942</v>
      </c>
      <c r="B1412" s="419">
        <v>0.98350000000000004</v>
      </c>
    </row>
    <row r="1413" spans="1:2" hidden="1" x14ac:dyDescent="0.35">
      <c r="A1413" s="426" t="s">
        <v>1943</v>
      </c>
      <c r="B1413" s="419">
        <v>0.98880000000000001</v>
      </c>
    </row>
    <row r="1414" spans="1:2" hidden="1" x14ac:dyDescent="0.35">
      <c r="A1414" s="426" t="s">
        <v>1944</v>
      </c>
      <c r="B1414" s="419">
        <v>0.99939999999999996</v>
      </c>
    </row>
    <row r="1415" spans="1:2" hidden="1" x14ac:dyDescent="0.35">
      <c r="A1415" s="426" t="s">
        <v>1945</v>
      </c>
      <c r="B1415" s="419">
        <v>0.99950000000000006</v>
      </c>
    </row>
    <row r="1416" spans="1:2" hidden="1" x14ac:dyDescent="0.35">
      <c r="A1416" s="426" t="s">
        <v>1946</v>
      </c>
      <c r="B1416" s="419">
        <v>0.9889</v>
      </c>
    </row>
    <row r="1417" spans="1:2" hidden="1" x14ac:dyDescent="0.35">
      <c r="A1417" s="426" t="s">
        <v>1947</v>
      </c>
      <c r="B1417" s="419">
        <v>0.99709999999999999</v>
      </c>
    </row>
    <row r="1418" spans="1:2" hidden="1" x14ac:dyDescent="0.35">
      <c r="A1418" s="426" t="s">
        <v>1948</v>
      </c>
      <c r="B1418" s="419">
        <v>0.99960000000000004</v>
      </c>
    </row>
    <row r="1419" spans="1:2" hidden="1" x14ac:dyDescent="0.35">
      <c r="A1419" s="426" t="s">
        <v>1949</v>
      </c>
      <c r="B1419" s="419">
        <v>0.99299999999999999</v>
      </c>
    </row>
    <row r="1420" spans="1:2" hidden="1" x14ac:dyDescent="0.35">
      <c r="A1420" s="426" t="s">
        <v>1950</v>
      </c>
      <c r="B1420" s="419">
        <v>0.99329999999999996</v>
      </c>
    </row>
    <row r="1421" spans="1:2" hidden="1" x14ac:dyDescent="0.35">
      <c r="A1421" s="426" t="s">
        <v>1951</v>
      </c>
      <c r="B1421" s="419">
        <v>0.998</v>
      </c>
    </row>
    <row r="1422" spans="1:2" hidden="1" x14ac:dyDescent="0.35">
      <c r="A1422" s="426" t="s">
        <v>1952</v>
      </c>
      <c r="B1422" s="419">
        <v>0.99839999999999995</v>
      </c>
    </row>
    <row r="1423" spans="1:2" hidden="1" x14ac:dyDescent="0.35">
      <c r="A1423" s="426" t="s">
        <v>1953</v>
      </c>
      <c r="B1423" s="419">
        <v>0.99680000000000002</v>
      </c>
    </row>
    <row r="1424" spans="1:2" hidden="1" x14ac:dyDescent="0.35">
      <c r="A1424" s="426" t="s">
        <v>1954</v>
      </c>
      <c r="B1424" s="419">
        <v>0.99750000000000005</v>
      </c>
    </row>
    <row r="1425" spans="1:2" hidden="1" x14ac:dyDescent="0.35">
      <c r="A1425" s="426" t="s">
        <v>1955</v>
      </c>
      <c r="B1425" s="419">
        <v>1</v>
      </c>
    </row>
    <row r="1426" spans="1:2" hidden="1" x14ac:dyDescent="0.35">
      <c r="A1426" s="426" t="s">
        <v>1956</v>
      </c>
      <c r="B1426" s="419">
        <v>0.99890000000000001</v>
      </c>
    </row>
    <row r="1427" spans="1:2" hidden="1" x14ac:dyDescent="0.35">
      <c r="A1427" s="426" t="s">
        <v>1957</v>
      </c>
      <c r="B1427" s="419">
        <v>0.99750000000000005</v>
      </c>
    </row>
    <row r="1428" spans="1:2" hidden="1" x14ac:dyDescent="0.35">
      <c r="A1428" s="426" t="s">
        <v>1958</v>
      </c>
      <c r="B1428" s="419">
        <v>0.99309999999999998</v>
      </c>
    </row>
    <row r="1429" spans="1:2" hidden="1" x14ac:dyDescent="0.35">
      <c r="A1429" s="426" t="s">
        <v>1959</v>
      </c>
      <c r="B1429" s="419">
        <v>0.98409999999999997</v>
      </c>
    </row>
    <row r="1430" spans="1:2" hidden="1" x14ac:dyDescent="0.35">
      <c r="A1430" s="426" t="s">
        <v>1960</v>
      </c>
      <c r="B1430" s="419">
        <v>1</v>
      </c>
    </row>
    <row r="1431" spans="1:2" hidden="1" x14ac:dyDescent="0.35">
      <c r="A1431" s="426" t="s">
        <v>1961</v>
      </c>
      <c r="B1431" s="419">
        <v>1</v>
      </c>
    </row>
    <row r="1432" spans="1:2" hidden="1" x14ac:dyDescent="0.35">
      <c r="A1432" s="426" t="s">
        <v>1962</v>
      </c>
      <c r="B1432" s="419">
        <v>0.99160000000000004</v>
      </c>
    </row>
    <row r="1433" spans="1:2" hidden="1" x14ac:dyDescent="0.35">
      <c r="A1433" s="426" t="s">
        <v>1963</v>
      </c>
      <c r="B1433" s="419">
        <v>0.99690000000000001</v>
      </c>
    </row>
    <row r="1434" spans="1:2" hidden="1" x14ac:dyDescent="0.35">
      <c r="A1434" s="426" t="s">
        <v>1964</v>
      </c>
      <c r="B1434" s="419">
        <v>0.99619999999999997</v>
      </c>
    </row>
    <row r="1435" spans="1:2" hidden="1" x14ac:dyDescent="0.35">
      <c r="A1435" s="426" t="s">
        <v>1965</v>
      </c>
      <c r="B1435" s="419">
        <v>0.9839</v>
      </c>
    </row>
    <row r="1436" spans="1:2" hidden="1" x14ac:dyDescent="0.35">
      <c r="A1436" s="426" t="s">
        <v>1966</v>
      </c>
      <c r="B1436" s="419">
        <v>1</v>
      </c>
    </row>
    <row r="1437" spans="1:2" hidden="1" x14ac:dyDescent="0.35">
      <c r="A1437" s="426" t="s">
        <v>1967</v>
      </c>
      <c r="B1437" s="419">
        <v>1</v>
      </c>
    </row>
    <row r="1438" spans="1:2" hidden="1" x14ac:dyDescent="0.35">
      <c r="A1438" s="426" t="s">
        <v>1968</v>
      </c>
      <c r="B1438" s="419">
        <v>0.99309999999999998</v>
      </c>
    </row>
    <row r="1439" spans="1:2" hidden="1" x14ac:dyDescent="0.35">
      <c r="A1439" s="426" t="s">
        <v>1969</v>
      </c>
      <c r="B1439" s="419">
        <v>0.99980000000000002</v>
      </c>
    </row>
    <row r="1440" spans="1:2" hidden="1" x14ac:dyDescent="0.35">
      <c r="A1440" s="426" t="s">
        <v>1970</v>
      </c>
      <c r="B1440" s="419">
        <v>0.99950000000000006</v>
      </c>
    </row>
    <row r="1441" spans="1:2" hidden="1" x14ac:dyDescent="0.35">
      <c r="A1441" s="426" t="s">
        <v>1971</v>
      </c>
      <c r="B1441" s="419">
        <v>0.99850000000000005</v>
      </c>
    </row>
    <row r="1442" spans="1:2" hidden="1" x14ac:dyDescent="0.35">
      <c r="A1442" s="426" t="s">
        <v>1972</v>
      </c>
      <c r="B1442" s="419">
        <v>0.99990000000000001</v>
      </c>
    </row>
    <row r="1443" spans="1:2" hidden="1" x14ac:dyDescent="0.35">
      <c r="A1443" s="426" t="s">
        <v>1973</v>
      </c>
      <c r="B1443" s="419">
        <v>0.99860000000000004</v>
      </c>
    </row>
    <row r="1444" spans="1:2" hidden="1" x14ac:dyDescent="0.35">
      <c r="A1444" s="426" t="s">
        <v>1974</v>
      </c>
      <c r="B1444" s="419">
        <v>0.99809999999999999</v>
      </c>
    </row>
    <row r="1445" spans="1:2" hidden="1" x14ac:dyDescent="0.35">
      <c r="A1445" s="426" t="s">
        <v>1975</v>
      </c>
      <c r="B1445" s="419">
        <v>1</v>
      </c>
    </row>
    <row r="1446" spans="1:2" hidden="1" x14ac:dyDescent="0.35">
      <c r="A1446" s="426" t="s">
        <v>1976</v>
      </c>
      <c r="B1446" s="419">
        <v>1</v>
      </c>
    </row>
    <row r="1447" spans="1:2" hidden="1" x14ac:dyDescent="0.35">
      <c r="A1447" s="426" t="s">
        <v>1977</v>
      </c>
      <c r="B1447" s="419">
        <v>1</v>
      </c>
    </row>
    <row r="1448" spans="1:2" hidden="1" x14ac:dyDescent="0.35">
      <c r="A1448" s="426" t="s">
        <v>1978</v>
      </c>
      <c r="B1448" s="419">
        <v>0.99909999999999999</v>
      </c>
    </row>
    <row r="1449" spans="1:2" hidden="1" x14ac:dyDescent="0.35">
      <c r="A1449" s="426" t="s">
        <v>1979</v>
      </c>
      <c r="B1449" s="419">
        <v>1</v>
      </c>
    </row>
    <row r="1450" spans="1:2" hidden="1" x14ac:dyDescent="0.35">
      <c r="A1450" s="426" t="s">
        <v>1980</v>
      </c>
      <c r="B1450" s="419">
        <v>0.99960000000000004</v>
      </c>
    </row>
    <row r="1451" spans="1:2" hidden="1" x14ac:dyDescent="0.35">
      <c r="A1451" s="426" t="s">
        <v>1981</v>
      </c>
      <c r="B1451" s="419">
        <v>0.99960000000000004</v>
      </c>
    </row>
    <row r="1452" spans="1:2" hidden="1" x14ac:dyDescent="0.35">
      <c r="A1452" s="426" t="s">
        <v>1982</v>
      </c>
      <c r="B1452" s="419">
        <v>0.99939999999999996</v>
      </c>
    </row>
    <row r="1453" spans="1:2" hidden="1" x14ac:dyDescent="0.35">
      <c r="A1453" s="426" t="s">
        <v>1983</v>
      </c>
      <c r="B1453" s="419">
        <v>1</v>
      </c>
    </row>
    <row r="1454" spans="1:2" hidden="1" x14ac:dyDescent="0.35">
      <c r="A1454" s="426" t="s">
        <v>1984</v>
      </c>
      <c r="B1454" s="419">
        <v>0.99509999999999998</v>
      </c>
    </row>
    <row r="1455" spans="1:2" hidden="1" x14ac:dyDescent="0.35">
      <c r="A1455" s="426" t="s">
        <v>1985</v>
      </c>
      <c r="B1455" s="419">
        <v>0.99829999999999997</v>
      </c>
    </row>
    <row r="1456" spans="1:2" hidden="1" x14ac:dyDescent="0.35">
      <c r="A1456" s="426" t="s">
        <v>1986</v>
      </c>
      <c r="B1456" s="419">
        <v>0.99950000000000006</v>
      </c>
    </row>
    <row r="1457" spans="1:2" hidden="1" x14ac:dyDescent="0.35">
      <c r="A1457" s="426" t="s">
        <v>1987</v>
      </c>
      <c r="B1457" s="419">
        <v>1</v>
      </c>
    </row>
    <row r="1458" spans="1:2" hidden="1" x14ac:dyDescent="0.35">
      <c r="A1458" s="426" t="s">
        <v>1988</v>
      </c>
      <c r="B1458" s="419">
        <v>0.99960000000000004</v>
      </c>
    </row>
    <row r="1459" spans="1:2" hidden="1" x14ac:dyDescent="0.35">
      <c r="A1459" s="426" t="s">
        <v>1989</v>
      </c>
      <c r="B1459" s="419">
        <v>0.99860000000000004</v>
      </c>
    </row>
    <row r="1460" spans="1:2" hidden="1" x14ac:dyDescent="0.35">
      <c r="A1460" s="426" t="s">
        <v>1990</v>
      </c>
      <c r="B1460" s="419">
        <v>1</v>
      </c>
    </row>
    <row r="1461" spans="1:2" hidden="1" x14ac:dyDescent="0.35">
      <c r="A1461" s="426" t="s">
        <v>1991</v>
      </c>
      <c r="B1461" s="419">
        <v>0.99990000000000001</v>
      </c>
    </row>
    <row r="1462" spans="1:2" hidden="1" x14ac:dyDescent="0.35">
      <c r="A1462" s="426" t="s">
        <v>1992</v>
      </c>
      <c r="B1462" s="419">
        <v>0.99560000000000004</v>
      </c>
    </row>
    <row r="1463" spans="1:2" hidden="1" x14ac:dyDescent="0.35">
      <c r="A1463" s="426" t="s">
        <v>1993</v>
      </c>
      <c r="B1463" s="419">
        <v>0.99950000000000006</v>
      </c>
    </row>
    <row r="1464" spans="1:2" hidden="1" x14ac:dyDescent="0.35">
      <c r="A1464" s="426" t="s">
        <v>1994</v>
      </c>
      <c r="B1464" s="419">
        <v>1</v>
      </c>
    </row>
    <row r="1465" spans="1:2" hidden="1" x14ac:dyDescent="0.35">
      <c r="A1465" s="426" t="s">
        <v>1995</v>
      </c>
      <c r="B1465" s="419">
        <v>1</v>
      </c>
    </row>
    <row r="1466" spans="1:2" hidden="1" x14ac:dyDescent="0.35">
      <c r="A1466" s="426" t="s">
        <v>1996</v>
      </c>
      <c r="B1466" s="419">
        <v>0.99539999999999995</v>
      </c>
    </row>
    <row r="1467" spans="1:2" hidden="1" x14ac:dyDescent="0.35">
      <c r="A1467" s="426" t="s">
        <v>1997</v>
      </c>
      <c r="B1467" s="419">
        <v>1</v>
      </c>
    </row>
    <row r="1468" spans="1:2" hidden="1" x14ac:dyDescent="0.35">
      <c r="A1468" s="426" t="s">
        <v>1998</v>
      </c>
      <c r="B1468" s="419">
        <v>1</v>
      </c>
    </row>
    <row r="1469" spans="1:2" hidden="1" x14ac:dyDescent="0.35">
      <c r="A1469" s="426" t="s">
        <v>1999</v>
      </c>
      <c r="B1469" s="419">
        <v>1</v>
      </c>
    </row>
    <row r="1470" spans="1:2" hidden="1" x14ac:dyDescent="0.35">
      <c r="A1470" s="426" t="s">
        <v>2000</v>
      </c>
      <c r="B1470" s="419">
        <v>0.99960000000000004</v>
      </c>
    </row>
    <row r="1471" spans="1:2" hidden="1" x14ac:dyDescent="0.35">
      <c r="A1471" s="426" t="s">
        <v>2001</v>
      </c>
      <c r="B1471" s="419">
        <v>0.99950000000000006</v>
      </c>
    </row>
    <row r="1472" spans="1:2" hidden="1" x14ac:dyDescent="0.35">
      <c r="A1472" s="426" t="s">
        <v>2002</v>
      </c>
      <c r="B1472" s="419">
        <v>1</v>
      </c>
    </row>
    <row r="1473" spans="1:2" hidden="1" x14ac:dyDescent="0.35">
      <c r="A1473" s="426" t="s">
        <v>2003</v>
      </c>
      <c r="B1473" s="419">
        <v>0.99939999999999996</v>
      </c>
    </row>
    <row r="1474" spans="1:2" hidden="1" x14ac:dyDescent="0.35">
      <c r="A1474" s="426" t="s">
        <v>2004</v>
      </c>
      <c r="B1474" s="419">
        <v>1</v>
      </c>
    </row>
    <row r="1475" spans="1:2" hidden="1" x14ac:dyDescent="0.35">
      <c r="A1475" s="426" t="s">
        <v>2005</v>
      </c>
      <c r="B1475" s="419">
        <v>0.99980000000000002</v>
      </c>
    </row>
    <row r="1476" spans="1:2" hidden="1" x14ac:dyDescent="0.35">
      <c r="A1476" s="426" t="s">
        <v>2006</v>
      </c>
      <c r="B1476" s="419">
        <v>0.99819999999999998</v>
      </c>
    </row>
    <row r="1477" spans="1:2" hidden="1" x14ac:dyDescent="0.35">
      <c r="A1477" s="426" t="s">
        <v>2007</v>
      </c>
      <c r="B1477" s="419">
        <v>0.99990000000000001</v>
      </c>
    </row>
    <row r="1478" spans="1:2" hidden="1" x14ac:dyDescent="0.35">
      <c r="A1478" s="426" t="s">
        <v>2008</v>
      </c>
      <c r="B1478" s="419">
        <v>0.99629999999999996</v>
      </c>
    </row>
    <row r="1479" spans="1:2" hidden="1" x14ac:dyDescent="0.35">
      <c r="A1479" s="426" t="s">
        <v>2009</v>
      </c>
      <c r="B1479" s="419">
        <v>0.99850000000000005</v>
      </c>
    </row>
    <row r="1480" spans="1:2" hidden="1" x14ac:dyDescent="0.35">
      <c r="A1480" s="426" t="s">
        <v>2010</v>
      </c>
      <c r="B1480" s="419">
        <v>1</v>
      </c>
    </row>
    <row r="1481" spans="1:2" hidden="1" x14ac:dyDescent="0.35">
      <c r="A1481" s="426" t="s">
        <v>2011</v>
      </c>
      <c r="B1481" s="419">
        <v>1</v>
      </c>
    </row>
    <row r="1482" spans="1:2" hidden="1" x14ac:dyDescent="0.35">
      <c r="A1482" s="426" t="s">
        <v>2012</v>
      </c>
      <c r="B1482" s="419">
        <v>0.99839999999999995</v>
      </c>
    </row>
    <row r="1483" spans="1:2" hidden="1" x14ac:dyDescent="0.35">
      <c r="A1483" s="426" t="s">
        <v>2013</v>
      </c>
      <c r="B1483" s="419">
        <v>1</v>
      </c>
    </row>
    <row r="1484" spans="1:2" hidden="1" x14ac:dyDescent="0.35">
      <c r="A1484" s="426" t="s">
        <v>2014</v>
      </c>
      <c r="B1484" s="419">
        <v>0.99939999999999996</v>
      </c>
    </row>
    <row r="1485" spans="1:2" hidden="1" x14ac:dyDescent="0.35">
      <c r="A1485" s="426" t="s">
        <v>2015</v>
      </c>
      <c r="B1485" s="419">
        <v>0.99939999999999996</v>
      </c>
    </row>
    <row r="1486" spans="1:2" hidden="1" x14ac:dyDescent="0.35">
      <c r="A1486" s="426" t="s">
        <v>2016</v>
      </c>
      <c r="B1486" s="419">
        <v>0.99980000000000002</v>
      </c>
    </row>
    <row r="1487" spans="1:2" hidden="1" x14ac:dyDescent="0.35">
      <c r="A1487" s="426" t="s">
        <v>2017</v>
      </c>
      <c r="B1487" s="419">
        <v>0.996</v>
      </c>
    </row>
    <row r="1488" spans="1:2" hidden="1" x14ac:dyDescent="0.35">
      <c r="A1488" s="426" t="s">
        <v>2018</v>
      </c>
      <c r="B1488" s="419">
        <v>0.99929999999999997</v>
      </c>
    </row>
    <row r="1489" spans="1:2" hidden="1" x14ac:dyDescent="0.35">
      <c r="A1489" s="426" t="s">
        <v>2019</v>
      </c>
      <c r="B1489" s="419">
        <v>0.99990000000000001</v>
      </c>
    </row>
    <row r="1490" spans="1:2" hidden="1" x14ac:dyDescent="0.35">
      <c r="A1490" s="426" t="s">
        <v>2020</v>
      </c>
      <c r="B1490" s="419">
        <v>1</v>
      </c>
    </row>
    <row r="1491" spans="1:2" hidden="1" x14ac:dyDescent="0.35">
      <c r="A1491" s="426" t="s">
        <v>2021</v>
      </c>
      <c r="B1491" s="419">
        <v>0.99939999999999996</v>
      </c>
    </row>
    <row r="1492" spans="1:2" hidden="1" x14ac:dyDescent="0.35">
      <c r="A1492" s="426" t="s">
        <v>2022</v>
      </c>
      <c r="B1492" s="419">
        <v>0.99429999999999996</v>
      </c>
    </row>
    <row r="1493" spans="1:2" hidden="1" x14ac:dyDescent="0.35">
      <c r="A1493" s="426" t="s">
        <v>2023</v>
      </c>
      <c r="B1493" s="419">
        <v>0.98609999999999998</v>
      </c>
    </row>
    <row r="1494" spans="1:2" hidden="1" x14ac:dyDescent="0.35">
      <c r="A1494" s="426" t="s">
        <v>2024</v>
      </c>
      <c r="B1494" s="419">
        <v>1</v>
      </c>
    </row>
    <row r="1495" spans="1:2" hidden="1" x14ac:dyDescent="0.35">
      <c r="A1495" s="426" t="s">
        <v>2025</v>
      </c>
      <c r="B1495" s="419">
        <v>1</v>
      </c>
    </row>
    <row r="1496" spans="1:2" hidden="1" x14ac:dyDescent="0.35">
      <c r="A1496" s="426" t="s">
        <v>2026</v>
      </c>
      <c r="B1496" s="419">
        <v>1</v>
      </c>
    </row>
    <row r="1497" spans="1:2" hidden="1" x14ac:dyDescent="0.35">
      <c r="A1497" s="426" t="s">
        <v>2027</v>
      </c>
      <c r="B1497" s="419">
        <v>0.99</v>
      </c>
    </row>
    <row r="1498" spans="1:2" hidden="1" x14ac:dyDescent="0.35">
      <c r="A1498" s="426" t="s">
        <v>2028</v>
      </c>
      <c r="B1498" s="419">
        <v>1</v>
      </c>
    </row>
    <row r="1499" spans="1:2" hidden="1" x14ac:dyDescent="0.35">
      <c r="A1499" s="426" t="s">
        <v>2029</v>
      </c>
      <c r="B1499" s="419">
        <v>0.99850000000000005</v>
      </c>
    </row>
    <row r="1500" spans="1:2" hidden="1" x14ac:dyDescent="0.35">
      <c r="A1500" s="426" t="s">
        <v>2030</v>
      </c>
      <c r="B1500" s="419">
        <v>0.99919999999999998</v>
      </c>
    </row>
    <row r="1501" spans="1:2" hidden="1" x14ac:dyDescent="0.35">
      <c r="A1501" s="426" t="s">
        <v>2031</v>
      </c>
      <c r="B1501" s="419">
        <v>0.996</v>
      </c>
    </row>
    <row r="1502" spans="1:2" hidden="1" x14ac:dyDescent="0.35">
      <c r="A1502" s="426" t="s">
        <v>2032</v>
      </c>
      <c r="B1502" s="419">
        <v>0.9919</v>
      </c>
    </row>
    <row r="1503" spans="1:2" hidden="1" x14ac:dyDescent="0.35">
      <c r="A1503" s="426" t="s">
        <v>2033</v>
      </c>
      <c r="B1503" s="419">
        <v>0.99960000000000004</v>
      </c>
    </row>
    <row r="1504" spans="1:2" hidden="1" x14ac:dyDescent="0.35">
      <c r="A1504" s="426" t="s">
        <v>2034</v>
      </c>
      <c r="B1504" s="419">
        <v>0.99890000000000001</v>
      </c>
    </row>
    <row r="1505" spans="1:2" hidden="1" x14ac:dyDescent="0.35">
      <c r="A1505" s="426" t="s">
        <v>2035</v>
      </c>
      <c r="B1505" s="419">
        <v>0.98839999999999995</v>
      </c>
    </row>
    <row r="1506" spans="1:2" hidden="1" x14ac:dyDescent="0.35">
      <c r="A1506" s="426" t="s">
        <v>2036</v>
      </c>
      <c r="B1506" s="419">
        <v>1</v>
      </c>
    </row>
    <row r="1507" spans="1:2" hidden="1" x14ac:dyDescent="0.35">
      <c r="A1507" s="426" t="s">
        <v>2037</v>
      </c>
      <c r="B1507" s="419">
        <v>0.99399999999999999</v>
      </c>
    </row>
    <row r="1508" spans="1:2" hidden="1" x14ac:dyDescent="0.35">
      <c r="A1508" s="426" t="s">
        <v>2038</v>
      </c>
      <c r="B1508" s="419">
        <v>1</v>
      </c>
    </row>
    <row r="1509" spans="1:2" hidden="1" x14ac:dyDescent="0.35">
      <c r="A1509" s="426" t="s">
        <v>2039</v>
      </c>
      <c r="B1509" s="419">
        <v>0.99760000000000004</v>
      </c>
    </row>
    <row r="1510" spans="1:2" hidden="1" x14ac:dyDescent="0.35">
      <c r="A1510" s="426" t="s">
        <v>2040</v>
      </c>
      <c r="B1510" s="419">
        <v>1</v>
      </c>
    </row>
    <row r="1511" spans="1:2" hidden="1" x14ac:dyDescent="0.35">
      <c r="A1511" s="426" t="s">
        <v>2041</v>
      </c>
      <c r="B1511" s="419">
        <v>0.99609999999999999</v>
      </c>
    </row>
    <row r="1512" spans="1:2" hidden="1" x14ac:dyDescent="0.35">
      <c r="A1512" s="426" t="s">
        <v>2042</v>
      </c>
      <c r="B1512" s="419">
        <v>0.999</v>
      </c>
    </row>
    <row r="1513" spans="1:2" hidden="1" x14ac:dyDescent="0.35">
      <c r="A1513" s="426" t="s">
        <v>2043</v>
      </c>
      <c r="B1513" s="419">
        <v>0.99580000000000002</v>
      </c>
    </row>
    <row r="1514" spans="1:2" hidden="1" x14ac:dyDescent="0.35">
      <c r="A1514" s="426" t="s">
        <v>2044</v>
      </c>
      <c r="B1514" s="419">
        <v>1</v>
      </c>
    </row>
    <row r="1515" spans="1:2" hidden="1" x14ac:dyDescent="0.35">
      <c r="A1515" s="426" t="s">
        <v>2045</v>
      </c>
      <c r="B1515" s="419">
        <v>0.99750000000000005</v>
      </c>
    </row>
    <row r="1516" spans="1:2" hidden="1" x14ac:dyDescent="0.35">
      <c r="A1516" s="426" t="s">
        <v>2046</v>
      </c>
      <c r="B1516" s="419">
        <v>1</v>
      </c>
    </row>
    <row r="1517" spans="1:2" hidden="1" x14ac:dyDescent="0.35">
      <c r="A1517" s="426" t="s">
        <v>2047</v>
      </c>
      <c r="B1517" s="419">
        <v>0.99660000000000004</v>
      </c>
    </row>
    <row r="1518" spans="1:2" hidden="1" x14ac:dyDescent="0.35">
      <c r="A1518" s="426" t="s">
        <v>2048</v>
      </c>
      <c r="B1518" s="419">
        <v>0.98929999999999996</v>
      </c>
    </row>
    <row r="1519" spans="1:2" hidden="1" x14ac:dyDescent="0.35">
      <c r="A1519" s="426" t="s">
        <v>2049</v>
      </c>
      <c r="B1519" s="419">
        <v>0.99929999999999997</v>
      </c>
    </row>
    <row r="1520" spans="1:2" hidden="1" x14ac:dyDescent="0.35">
      <c r="A1520" s="426" t="s">
        <v>2050</v>
      </c>
      <c r="B1520" s="419">
        <v>0.99229999999999996</v>
      </c>
    </row>
    <row r="1521" spans="1:2" hidden="1" x14ac:dyDescent="0.35">
      <c r="A1521" s="426" t="s">
        <v>2051</v>
      </c>
      <c r="B1521" s="419">
        <v>0.99519999999999997</v>
      </c>
    </row>
    <row r="1522" spans="1:2" hidden="1" x14ac:dyDescent="0.35">
      <c r="A1522" s="426" t="s">
        <v>2052</v>
      </c>
      <c r="B1522" s="419">
        <v>0.99739999999999995</v>
      </c>
    </row>
    <row r="1523" spans="1:2" hidden="1" x14ac:dyDescent="0.35">
      <c r="A1523" s="426" t="s">
        <v>2053</v>
      </c>
      <c r="B1523" s="419">
        <v>0.99980000000000002</v>
      </c>
    </row>
    <row r="1524" spans="1:2" hidden="1" x14ac:dyDescent="0.35">
      <c r="A1524" s="426" t="s">
        <v>2054</v>
      </c>
      <c r="B1524" s="419">
        <v>0.99439999999999995</v>
      </c>
    </row>
    <row r="1525" spans="1:2" hidden="1" x14ac:dyDescent="0.35">
      <c r="A1525" s="426" t="s">
        <v>2055</v>
      </c>
      <c r="B1525" s="419">
        <v>0.99360000000000004</v>
      </c>
    </row>
    <row r="1526" spans="1:2" hidden="1" x14ac:dyDescent="0.35">
      <c r="A1526" s="426" t="s">
        <v>2056</v>
      </c>
      <c r="B1526" s="419">
        <v>1</v>
      </c>
    </row>
    <row r="1527" spans="1:2" hidden="1" x14ac:dyDescent="0.35">
      <c r="A1527" s="426" t="s">
        <v>2057</v>
      </c>
      <c r="B1527" s="419">
        <v>1</v>
      </c>
    </row>
    <row r="1528" spans="1:2" hidden="1" x14ac:dyDescent="0.35">
      <c r="A1528" s="426" t="s">
        <v>2058</v>
      </c>
      <c r="B1528" s="419">
        <v>0.98140000000000005</v>
      </c>
    </row>
    <row r="1529" spans="1:2" hidden="1" x14ac:dyDescent="0.35">
      <c r="A1529" s="426" t="s">
        <v>2059</v>
      </c>
      <c r="B1529" s="419">
        <v>0.99950000000000006</v>
      </c>
    </row>
    <row r="1530" spans="1:2" hidden="1" x14ac:dyDescent="0.35">
      <c r="A1530" s="426" t="s">
        <v>2060</v>
      </c>
      <c r="B1530" s="419">
        <v>0.99950000000000006</v>
      </c>
    </row>
    <row r="1531" spans="1:2" hidden="1" x14ac:dyDescent="0.35">
      <c r="A1531" s="426" t="s">
        <v>2061</v>
      </c>
      <c r="B1531" s="419">
        <v>1</v>
      </c>
    </row>
    <row r="1532" spans="1:2" hidden="1" x14ac:dyDescent="0.35">
      <c r="A1532" s="426" t="s">
        <v>2062</v>
      </c>
      <c r="B1532" s="419">
        <v>0.99980000000000002</v>
      </c>
    </row>
    <row r="1533" spans="1:2" hidden="1" x14ac:dyDescent="0.35">
      <c r="A1533" s="426" t="s">
        <v>2063</v>
      </c>
      <c r="B1533" s="419">
        <v>0.99680000000000002</v>
      </c>
    </row>
    <row r="1534" spans="1:2" hidden="1" x14ac:dyDescent="0.35">
      <c r="A1534" s="426" t="s">
        <v>2064</v>
      </c>
      <c r="B1534" s="419">
        <v>0.99960000000000004</v>
      </c>
    </row>
    <row r="1535" spans="1:2" hidden="1" x14ac:dyDescent="0.35">
      <c r="A1535" s="426" t="s">
        <v>2065</v>
      </c>
      <c r="B1535" s="419">
        <v>0.99909999999999999</v>
      </c>
    </row>
    <row r="1536" spans="1:2" hidden="1" x14ac:dyDescent="0.35">
      <c r="A1536" s="426" t="s">
        <v>2066</v>
      </c>
      <c r="B1536" s="419">
        <v>1</v>
      </c>
    </row>
    <row r="1537" spans="1:2" hidden="1" x14ac:dyDescent="0.35">
      <c r="A1537" s="426" t="s">
        <v>2067</v>
      </c>
      <c r="B1537" s="419">
        <v>0.99680000000000002</v>
      </c>
    </row>
    <row r="1538" spans="1:2" hidden="1" x14ac:dyDescent="0.35">
      <c r="A1538" s="426" t="s">
        <v>2068</v>
      </c>
      <c r="B1538" s="419">
        <v>1</v>
      </c>
    </row>
    <row r="1539" spans="1:2" hidden="1" x14ac:dyDescent="0.35">
      <c r="A1539" s="426" t="s">
        <v>2069</v>
      </c>
      <c r="B1539" s="419">
        <v>0.99480000000000002</v>
      </c>
    </row>
    <row r="1540" spans="1:2" hidden="1" x14ac:dyDescent="0.35">
      <c r="A1540" s="426" t="s">
        <v>2070</v>
      </c>
      <c r="B1540" s="419">
        <v>0.98640000000000005</v>
      </c>
    </row>
    <row r="1541" spans="1:2" hidden="1" x14ac:dyDescent="0.35">
      <c r="A1541" s="426" t="s">
        <v>2071</v>
      </c>
      <c r="B1541" s="419">
        <v>1</v>
      </c>
    </row>
    <row r="1542" spans="1:2" hidden="1" x14ac:dyDescent="0.35">
      <c r="A1542" s="426" t="s">
        <v>2072</v>
      </c>
      <c r="B1542" s="419">
        <v>0.99939999999999996</v>
      </c>
    </row>
    <row r="1543" spans="1:2" hidden="1" x14ac:dyDescent="0.35">
      <c r="A1543" s="426" t="s">
        <v>2073</v>
      </c>
      <c r="B1543" s="419">
        <v>1</v>
      </c>
    </row>
    <row r="1544" spans="1:2" hidden="1" x14ac:dyDescent="0.35">
      <c r="A1544" s="426" t="s">
        <v>2074</v>
      </c>
      <c r="B1544" s="419">
        <v>0.99180000000000001</v>
      </c>
    </row>
    <row r="1545" spans="1:2" hidden="1" x14ac:dyDescent="0.35">
      <c r="A1545" s="426" t="s">
        <v>2075</v>
      </c>
      <c r="B1545" s="419">
        <v>0.99560000000000004</v>
      </c>
    </row>
    <row r="1546" spans="1:2" hidden="1" x14ac:dyDescent="0.35">
      <c r="A1546" s="426" t="s">
        <v>2076</v>
      </c>
      <c r="B1546" s="419">
        <v>0.99790000000000001</v>
      </c>
    </row>
    <row r="1547" spans="1:2" hidden="1" x14ac:dyDescent="0.35">
      <c r="A1547" s="426" t="s">
        <v>2077</v>
      </c>
      <c r="B1547" s="419">
        <v>0.99490000000000001</v>
      </c>
    </row>
    <row r="1548" spans="1:2" hidden="1" x14ac:dyDescent="0.35">
      <c r="A1548" s="426" t="s">
        <v>2078</v>
      </c>
      <c r="B1548" s="419">
        <v>0.99829999999999997</v>
      </c>
    </row>
    <row r="1549" spans="1:2" hidden="1" x14ac:dyDescent="0.35">
      <c r="A1549" s="426" t="s">
        <v>2079</v>
      </c>
      <c r="B1549" s="419">
        <v>0.99950000000000006</v>
      </c>
    </row>
    <row r="1550" spans="1:2" hidden="1" x14ac:dyDescent="0.35">
      <c r="A1550" s="426" t="s">
        <v>2080</v>
      </c>
      <c r="B1550" s="419">
        <v>0.99719999999999998</v>
      </c>
    </row>
    <row r="1551" spans="1:2" hidden="1" x14ac:dyDescent="0.35">
      <c r="A1551" s="426" t="s">
        <v>2081</v>
      </c>
      <c r="B1551" s="419">
        <v>0.99950000000000006</v>
      </c>
    </row>
    <row r="1552" spans="1:2" hidden="1" x14ac:dyDescent="0.35">
      <c r="A1552" s="426" t="s">
        <v>2082</v>
      </c>
      <c r="B1552" s="419">
        <v>0.99760000000000004</v>
      </c>
    </row>
    <row r="1553" spans="1:2" hidden="1" x14ac:dyDescent="0.35">
      <c r="A1553" s="426" t="s">
        <v>2083</v>
      </c>
      <c r="B1553" s="419">
        <v>0.99670000000000003</v>
      </c>
    </row>
    <row r="1554" spans="1:2" hidden="1" x14ac:dyDescent="0.35">
      <c r="A1554" s="426" t="s">
        <v>2084</v>
      </c>
      <c r="B1554" s="419">
        <v>0.98760000000000003</v>
      </c>
    </row>
    <row r="1555" spans="1:2" hidden="1" x14ac:dyDescent="0.35">
      <c r="A1555" s="426" t="s">
        <v>2085</v>
      </c>
      <c r="B1555" s="419">
        <v>0.99570000000000003</v>
      </c>
    </row>
    <row r="1556" spans="1:2" hidden="1" x14ac:dyDescent="0.35">
      <c r="A1556" s="426" t="s">
        <v>2086</v>
      </c>
      <c r="B1556" s="419">
        <v>0.99870000000000003</v>
      </c>
    </row>
    <row r="1557" spans="1:2" hidden="1" x14ac:dyDescent="0.35">
      <c r="A1557" s="426" t="s">
        <v>2087</v>
      </c>
      <c r="B1557" s="419">
        <v>0.99990000000000001</v>
      </c>
    </row>
    <row r="1558" spans="1:2" hidden="1" x14ac:dyDescent="0.35">
      <c r="A1558" s="426" t="s">
        <v>2088</v>
      </c>
      <c r="B1558" s="419">
        <v>0.99790000000000001</v>
      </c>
    </row>
    <row r="1559" spans="1:2" hidden="1" x14ac:dyDescent="0.35">
      <c r="A1559" s="426" t="s">
        <v>2089</v>
      </c>
      <c r="B1559" s="419">
        <v>0.99360000000000004</v>
      </c>
    </row>
    <row r="1560" spans="1:2" hidden="1" x14ac:dyDescent="0.35">
      <c r="A1560" s="426" t="s">
        <v>2090</v>
      </c>
      <c r="B1560" s="419">
        <v>1</v>
      </c>
    </row>
    <row r="1561" spans="1:2" hidden="1" x14ac:dyDescent="0.35">
      <c r="A1561" s="426" t="s">
        <v>2091</v>
      </c>
      <c r="B1561" s="419">
        <v>1</v>
      </c>
    </row>
    <row r="1562" spans="1:2" hidden="1" x14ac:dyDescent="0.35">
      <c r="A1562" s="426" t="s">
        <v>2092</v>
      </c>
      <c r="B1562" s="419">
        <v>0.99809999999999999</v>
      </c>
    </row>
    <row r="1563" spans="1:2" hidden="1" x14ac:dyDescent="0.35">
      <c r="A1563" s="426" t="s">
        <v>2093</v>
      </c>
      <c r="B1563" s="419">
        <v>1</v>
      </c>
    </row>
    <row r="1564" spans="1:2" hidden="1" x14ac:dyDescent="0.35">
      <c r="A1564" s="426" t="s">
        <v>2094</v>
      </c>
      <c r="B1564" s="419">
        <v>1</v>
      </c>
    </row>
    <row r="1565" spans="1:2" hidden="1" x14ac:dyDescent="0.35">
      <c r="A1565" s="426" t="s">
        <v>2095</v>
      </c>
      <c r="B1565" s="419">
        <v>1</v>
      </c>
    </row>
    <row r="1566" spans="1:2" hidden="1" x14ac:dyDescent="0.35">
      <c r="A1566" s="426" t="s">
        <v>2096</v>
      </c>
      <c r="B1566" s="419">
        <v>0.99809999999999999</v>
      </c>
    </row>
    <row r="1567" spans="1:2" hidden="1" x14ac:dyDescent="0.35">
      <c r="A1567" s="426" t="s">
        <v>2097</v>
      </c>
      <c r="B1567" s="419">
        <v>0.99850000000000005</v>
      </c>
    </row>
    <row r="1568" spans="1:2" hidden="1" x14ac:dyDescent="0.35">
      <c r="A1568" s="426" t="s">
        <v>2098</v>
      </c>
      <c r="B1568" s="419">
        <v>0.99729999999999996</v>
      </c>
    </row>
    <row r="1569" spans="1:2" hidden="1" x14ac:dyDescent="0.35">
      <c r="A1569" s="426" t="s">
        <v>2099</v>
      </c>
      <c r="B1569" s="419">
        <v>0.99980000000000002</v>
      </c>
    </row>
    <row r="1570" spans="1:2" hidden="1" x14ac:dyDescent="0.35">
      <c r="A1570" s="426" t="s">
        <v>2100</v>
      </c>
      <c r="B1570" s="419">
        <v>0.99839999999999995</v>
      </c>
    </row>
    <row r="1571" spans="1:2" hidden="1" x14ac:dyDescent="0.35">
      <c r="A1571" s="426" t="s">
        <v>2101</v>
      </c>
      <c r="B1571" s="419">
        <v>0.99809999999999999</v>
      </c>
    </row>
    <row r="1572" spans="1:2" hidden="1" x14ac:dyDescent="0.35">
      <c r="A1572" s="426" t="s">
        <v>2102</v>
      </c>
      <c r="B1572" s="419">
        <v>0.99480000000000002</v>
      </c>
    </row>
    <row r="1573" spans="1:2" hidden="1" x14ac:dyDescent="0.35">
      <c r="A1573" s="426" t="s">
        <v>2103</v>
      </c>
      <c r="B1573" s="419">
        <v>1</v>
      </c>
    </row>
    <row r="1574" spans="1:2" hidden="1" x14ac:dyDescent="0.35">
      <c r="A1574" s="426" t="s">
        <v>2104</v>
      </c>
      <c r="B1574" s="419">
        <v>0.99739999999999995</v>
      </c>
    </row>
    <row r="1575" spans="1:2" hidden="1" x14ac:dyDescent="0.35">
      <c r="A1575" s="426" t="s">
        <v>2105</v>
      </c>
      <c r="B1575" s="419">
        <v>0.99809999999999999</v>
      </c>
    </row>
    <row r="1576" spans="1:2" hidden="1" x14ac:dyDescent="0.35">
      <c r="A1576" s="426" t="s">
        <v>2106</v>
      </c>
      <c r="B1576" s="419">
        <v>0.99990000000000001</v>
      </c>
    </row>
    <row r="1577" spans="1:2" hidden="1" x14ac:dyDescent="0.35">
      <c r="A1577" s="426" t="s">
        <v>2107</v>
      </c>
      <c r="B1577" s="419">
        <v>0.99750000000000005</v>
      </c>
    </row>
    <row r="1578" spans="1:2" hidden="1" x14ac:dyDescent="0.35">
      <c r="A1578" s="426" t="s">
        <v>2108</v>
      </c>
      <c r="B1578" s="419">
        <v>0.99829999999999997</v>
      </c>
    </row>
    <row r="1579" spans="1:2" hidden="1" x14ac:dyDescent="0.35">
      <c r="A1579" s="426" t="s">
        <v>2109</v>
      </c>
      <c r="B1579" s="419">
        <v>0.99809999999999999</v>
      </c>
    </row>
    <row r="1580" spans="1:2" hidden="1" x14ac:dyDescent="0.35">
      <c r="A1580" s="426" t="s">
        <v>2110</v>
      </c>
      <c r="B1580" s="419">
        <v>0.99719999999999998</v>
      </c>
    </row>
    <row r="1581" spans="1:2" hidden="1" x14ac:dyDescent="0.35">
      <c r="A1581" s="426" t="s">
        <v>2111</v>
      </c>
      <c r="B1581" s="419">
        <v>1</v>
      </c>
    </row>
    <row r="1582" spans="1:2" hidden="1" x14ac:dyDescent="0.35">
      <c r="A1582" s="426" t="s">
        <v>2112</v>
      </c>
      <c r="B1582" s="419">
        <v>0.99919999999999998</v>
      </c>
    </row>
    <row r="1583" spans="1:2" hidden="1" x14ac:dyDescent="0.35">
      <c r="A1583" s="426" t="s">
        <v>2113</v>
      </c>
      <c r="B1583" s="419">
        <v>0.99880000000000002</v>
      </c>
    </row>
    <row r="1584" spans="1:2" hidden="1" x14ac:dyDescent="0.35">
      <c r="A1584" s="426" t="s">
        <v>2114</v>
      </c>
      <c r="B1584" s="419">
        <v>0.99570000000000003</v>
      </c>
    </row>
    <row r="1585" spans="1:2" hidden="1" x14ac:dyDescent="0.35">
      <c r="A1585" s="426" t="s">
        <v>2115</v>
      </c>
      <c r="B1585" s="419">
        <v>0.99280000000000002</v>
      </c>
    </row>
    <row r="1586" spans="1:2" hidden="1" x14ac:dyDescent="0.35">
      <c r="A1586" s="426" t="s">
        <v>2116</v>
      </c>
      <c r="B1586" s="419">
        <v>0.99629999999999996</v>
      </c>
    </row>
    <row r="1587" spans="1:2" hidden="1" x14ac:dyDescent="0.35">
      <c r="A1587" s="426" t="s">
        <v>2117</v>
      </c>
      <c r="B1587" s="419">
        <v>0.99819999999999998</v>
      </c>
    </row>
    <row r="1588" spans="1:2" hidden="1" x14ac:dyDescent="0.35">
      <c r="A1588" s="426" t="s">
        <v>2118</v>
      </c>
      <c r="B1588" s="419">
        <v>0.99950000000000006</v>
      </c>
    </row>
    <row r="1589" spans="1:2" hidden="1" x14ac:dyDescent="0.35">
      <c r="A1589" s="426" t="s">
        <v>2119</v>
      </c>
      <c r="B1589" s="419">
        <v>0.99860000000000004</v>
      </c>
    </row>
    <row r="1590" spans="1:2" hidden="1" x14ac:dyDescent="0.35">
      <c r="A1590" s="426" t="s">
        <v>2120</v>
      </c>
      <c r="B1590" s="419">
        <v>0.99750000000000005</v>
      </c>
    </row>
    <row r="1591" spans="1:2" hidden="1" x14ac:dyDescent="0.35">
      <c r="A1591" s="426" t="s">
        <v>2121</v>
      </c>
      <c r="B1591" s="419">
        <v>0.99709999999999999</v>
      </c>
    </row>
    <row r="1592" spans="1:2" hidden="1" x14ac:dyDescent="0.35">
      <c r="A1592" s="426" t="s">
        <v>2122</v>
      </c>
      <c r="B1592" s="419">
        <v>0.99860000000000004</v>
      </c>
    </row>
    <row r="1593" spans="1:2" hidden="1" x14ac:dyDescent="0.35">
      <c r="A1593" s="426" t="s">
        <v>2123</v>
      </c>
      <c r="B1593" s="419">
        <v>1</v>
      </c>
    </row>
    <row r="1594" spans="1:2" hidden="1" x14ac:dyDescent="0.35">
      <c r="A1594" s="426" t="s">
        <v>2124</v>
      </c>
      <c r="B1594" s="419">
        <v>0.99750000000000005</v>
      </c>
    </row>
    <row r="1595" spans="1:2" hidden="1" x14ac:dyDescent="0.35">
      <c r="A1595" s="426" t="s">
        <v>2125</v>
      </c>
      <c r="B1595" s="419">
        <v>0.97909999999999997</v>
      </c>
    </row>
    <row r="1596" spans="1:2" hidden="1" x14ac:dyDescent="0.35">
      <c r="A1596" s="426" t="s">
        <v>2126</v>
      </c>
      <c r="B1596" s="419">
        <v>0.98109999999999997</v>
      </c>
    </row>
    <row r="1597" spans="1:2" hidden="1" x14ac:dyDescent="0.35">
      <c r="A1597" s="426" t="s">
        <v>2127</v>
      </c>
      <c r="B1597" s="419">
        <v>0.99750000000000005</v>
      </c>
    </row>
    <row r="1598" spans="1:2" hidden="1" x14ac:dyDescent="0.35">
      <c r="A1598" s="426" t="s">
        <v>2128</v>
      </c>
      <c r="B1598" s="419">
        <v>0.998</v>
      </c>
    </row>
    <row r="1599" spans="1:2" hidden="1" x14ac:dyDescent="0.35">
      <c r="A1599" s="426" t="s">
        <v>2129</v>
      </c>
      <c r="B1599" s="419">
        <v>0.99360000000000004</v>
      </c>
    </row>
    <row r="1600" spans="1:2" hidden="1" x14ac:dyDescent="0.35">
      <c r="A1600" s="426" t="s">
        <v>2130</v>
      </c>
      <c r="B1600" s="419">
        <v>0.99829999999999997</v>
      </c>
    </row>
    <row r="1601" spans="1:2" hidden="1" x14ac:dyDescent="0.35">
      <c r="A1601" s="426" t="s">
        <v>2131</v>
      </c>
      <c r="B1601" s="419">
        <v>0.99680000000000002</v>
      </c>
    </row>
    <row r="1602" spans="1:2" hidden="1" x14ac:dyDescent="0.35">
      <c r="A1602" s="426" t="s">
        <v>2132</v>
      </c>
      <c r="B1602" s="419">
        <v>0.98850000000000005</v>
      </c>
    </row>
    <row r="1603" spans="1:2" hidden="1" x14ac:dyDescent="0.35">
      <c r="A1603" s="426" t="s">
        <v>2133</v>
      </c>
      <c r="B1603" s="419">
        <v>0.99860000000000004</v>
      </c>
    </row>
    <row r="1604" spans="1:2" hidden="1" x14ac:dyDescent="0.35">
      <c r="A1604" s="426" t="s">
        <v>2134</v>
      </c>
      <c r="B1604" s="419">
        <v>0.9909</v>
      </c>
    </row>
    <row r="1605" spans="1:2" hidden="1" x14ac:dyDescent="0.35">
      <c r="A1605" s="426" t="s">
        <v>2135</v>
      </c>
      <c r="B1605" s="419">
        <v>1</v>
      </c>
    </row>
    <row r="1606" spans="1:2" hidden="1" x14ac:dyDescent="0.35">
      <c r="A1606" s="426" t="s">
        <v>2136</v>
      </c>
      <c r="B1606" s="419">
        <v>0.99780000000000002</v>
      </c>
    </row>
    <row r="1607" spans="1:2" hidden="1" x14ac:dyDescent="0.35">
      <c r="A1607" s="426" t="s">
        <v>2137</v>
      </c>
      <c r="B1607" s="419">
        <v>1</v>
      </c>
    </row>
    <row r="1608" spans="1:2" hidden="1" x14ac:dyDescent="0.35">
      <c r="A1608" s="426" t="s">
        <v>2138</v>
      </c>
      <c r="B1608" s="419">
        <v>1</v>
      </c>
    </row>
    <row r="1609" spans="1:2" hidden="1" x14ac:dyDescent="0.35">
      <c r="A1609" s="426" t="s">
        <v>2139</v>
      </c>
      <c r="B1609" s="419">
        <v>0.97150000000000003</v>
      </c>
    </row>
    <row r="1610" spans="1:2" hidden="1" x14ac:dyDescent="0.35">
      <c r="A1610" s="426" t="s">
        <v>2140</v>
      </c>
      <c r="B1610" s="419">
        <v>0.99809999999999999</v>
      </c>
    </row>
    <row r="1611" spans="1:2" hidden="1" x14ac:dyDescent="0.35">
      <c r="A1611" s="426" t="s">
        <v>2141</v>
      </c>
      <c r="B1611" s="419">
        <v>0.99750000000000005</v>
      </c>
    </row>
    <row r="1612" spans="1:2" hidden="1" x14ac:dyDescent="0.35">
      <c r="A1612" s="426" t="s">
        <v>2142</v>
      </c>
      <c r="B1612" s="419">
        <v>0.99929999999999997</v>
      </c>
    </row>
    <row r="1613" spans="1:2" hidden="1" x14ac:dyDescent="0.35">
      <c r="A1613" s="426" t="s">
        <v>2143</v>
      </c>
      <c r="B1613" s="419">
        <v>1</v>
      </c>
    </row>
    <row r="1614" spans="1:2" hidden="1" x14ac:dyDescent="0.35">
      <c r="A1614" s="426" t="s">
        <v>2144</v>
      </c>
      <c r="B1614" s="419">
        <v>0.99329999999999996</v>
      </c>
    </row>
    <row r="1615" spans="1:2" hidden="1" x14ac:dyDescent="0.35">
      <c r="A1615" s="426" t="s">
        <v>2145</v>
      </c>
      <c r="B1615" s="419">
        <v>1</v>
      </c>
    </row>
    <row r="1616" spans="1:2" hidden="1" x14ac:dyDescent="0.35">
      <c r="A1616" s="426" t="s">
        <v>2146</v>
      </c>
      <c r="B1616" s="419">
        <v>0.98670000000000002</v>
      </c>
    </row>
    <row r="1617" spans="1:2" hidden="1" x14ac:dyDescent="0.35">
      <c r="A1617" s="426" t="s">
        <v>2147</v>
      </c>
      <c r="B1617" s="419">
        <v>0.99139999999999995</v>
      </c>
    </row>
    <row r="1618" spans="1:2" hidden="1" x14ac:dyDescent="0.35">
      <c r="A1618" s="426" t="s">
        <v>2148</v>
      </c>
      <c r="B1618" s="419">
        <v>1</v>
      </c>
    </row>
    <row r="1619" spans="1:2" hidden="1" x14ac:dyDescent="0.35">
      <c r="A1619" s="426" t="s">
        <v>2149</v>
      </c>
      <c r="B1619" s="419">
        <v>0.99890000000000001</v>
      </c>
    </row>
    <row r="1620" spans="1:2" hidden="1" x14ac:dyDescent="0.35">
      <c r="A1620" s="426" t="s">
        <v>2150</v>
      </c>
      <c r="B1620" s="419">
        <v>1</v>
      </c>
    </row>
    <row r="1621" spans="1:2" hidden="1" x14ac:dyDescent="0.35">
      <c r="A1621" s="426" t="s">
        <v>2151</v>
      </c>
      <c r="B1621" s="419">
        <v>0.99909999999999999</v>
      </c>
    </row>
    <row r="1622" spans="1:2" hidden="1" x14ac:dyDescent="0.35">
      <c r="A1622" s="426" t="s">
        <v>2152</v>
      </c>
      <c r="B1622" s="419">
        <v>1</v>
      </c>
    </row>
    <row r="1623" spans="1:2" hidden="1" x14ac:dyDescent="0.35">
      <c r="A1623" s="426" t="s">
        <v>2153</v>
      </c>
      <c r="B1623" s="419">
        <v>1</v>
      </c>
    </row>
    <row r="1624" spans="1:2" hidden="1" x14ac:dyDescent="0.35">
      <c r="A1624" s="426" t="s">
        <v>2154</v>
      </c>
      <c r="B1624" s="419">
        <v>1</v>
      </c>
    </row>
    <row r="1625" spans="1:2" hidden="1" x14ac:dyDescent="0.35">
      <c r="A1625" s="426" t="s">
        <v>2155</v>
      </c>
      <c r="B1625" s="419">
        <v>0.99980000000000002</v>
      </c>
    </row>
    <row r="1626" spans="1:2" hidden="1" x14ac:dyDescent="0.35">
      <c r="A1626" s="426" t="s">
        <v>2156</v>
      </c>
      <c r="B1626" s="419">
        <v>0.99929999999999997</v>
      </c>
    </row>
    <row r="1627" spans="1:2" hidden="1" x14ac:dyDescent="0.35">
      <c r="A1627" s="426" t="s">
        <v>2157</v>
      </c>
      <c r="B1627" s="419">
        <v>0.99970000000000003</v>
      </c>
    </row>
    <row r="1628" spans="1:2" hidden="1" x14ac:dyDescent="0.35">
      <c r="A1628" s="426" t="s">
        <v>2158</v>
      </c>
      <c r="B1628" s="419">
        <v>0.997</v>
      </c>
    </row>
    <row r="1629" spans="1:2" hidden="1" x14ac:dyDescent="0.35">
      <c r="A1629" s="426" t="s">
        <v>2159</v>
      </c>
      <c r="B1629" s="419">
        <v>0.99980000000000002</v>
      </c>
    </row>
    <row r="1630" spans="1:2" hidden="1" x14ac:dyDescent="0.35">
      <c r="A1630" s="426" t="s">
        <v>2160</v>
      </c>
      <c r="B1630" s="419">
        <v>0.99980000000000002</v>
      </c>
    </row>
    <row r="1631" spans="1:2" hidden="1" x14ac:dyDescent="0.35">
      <c r="A1631" s="426" t="s">
        <v>2161</v>
      </c>
      <c r="B1631" s="419">
        <v>0.99870000000000003</v>
      </c>
    </row>
    <row r="1632" spans="1:2" hidden="1" x14ac:dyDescent="0.35">
      <c r="A1632" s="426" t="s">
        <v>2162</v>
      </c>
      <c r="B1632" s="419">
        <v>0.99950000000000006</v>
      </c>
    </row>
    <row r="1633" spans="1:2" hidden="1" x14ac:dyDescent="0.35">
      <c r="A1633" s="426" t="s">
        <v>2163</v>
      </c>
      <c r="B1633" s="419">
        <v>0.997</v>
      </c>
    </row>
    <row r="1634" spans="1:2" hidden="1" x14ac:dyDescent="0.35">
      <c r="A1634" s="426" t="s">
        <v>2164</v>
      </c>
      <c r="B1634" s="419">
        <v>1</v>
      </c>
    </row>
    <row r="1635" spans="1:2" hidden="1" x14ac:dyDescent="0.35">
      <c r="A1635" s="426" t="s">
        <v>2165</v>
      </c>
      <c r="B1635" s="419">
        <v>0.99850000000000005</v>
      </c>
    </row>
    <row r="1636" spans="1:2" hidden="1" x14ac:dyDescent="0.35">
      <c r="A1636" s="426" t="s">
        <v>2166</v>
      </c>
      <c r="B1636" s="419">
        <v>1</v>
      </c>
    </row>
    <row r="1637" spans="1:2" hidden="1" x14ac:dyDescent="0.35">
      <c r="A1637" s="426" t="s">
        <v>2167</v>
      </c>
      <c r="B1637" s="419">
        <v>0.99929999999999997</v>
      </c>
    </row>
    <row r="1638" spans="1:2" hidden="1" x14ac:dyDescent="0.35">
      <c r="A1638" s="426" t="s">
        <v>2168</v>
      </c>
      <c r="B1638" s="419">
        <v>0.99439999999999995</v>
      </c>
    </row>
    <row r="1639" spans="1:2" hidden="1" x14ac:dyDescent="0.35">
      <c r="A1639" s="426" t="s">
        <v>2169</v>
      </c>
      <c r="B1639" s="419">
        <v>1</v>
      </c>
    </row>
    <row r="1640" spans="1:2" hidden="1" x14ac:dyDescent="0.35">
      <c r="A1640" s="426" t="s">
        <v>2170</v>
      </c>
      <c r="B1640" s="419">
        <v>0.99180000000000001</v>
      </c>
    </row>
    <row r="1641" spans="1:2" hidden="1" x14ac:dyDescent="0.35">
      <c r="A1641" s="426" t="s">
        <v>2171</v>
      </c>
      <c r="B1641" s="419">
        <v>1</v>
      </c>
    </row>
    <row r="1642" spans="1:2" hidden="1" x14ac:dyDescent="0.35">
      <c r="A1642" s="426" t="s">
        <v>2172</v>
      </c>
      <c r="B1642" s="419">
        <v>0.99980000000000002</v>
      </c>
    </row>
    <row r="1643" spans="1:2" hidden="1" x14ac:dyDescent="0.35">
      <c r="A1643" s="426" t="s">
        <v>2173</v>
      </c>
      <c r="B1643" s="419">
        <v>1</v>
      </c>
    </row>
    <row r="1644" spans="1:2" hidden="1" x14ac:dyDescent="0.35">
      <c r="A1644" s="426" t="s">
        <v>2174</v>
      </c>
      <c r="B1644" s="419">
        <v>0.99739999999999995</v>
      </c>
    </row>
    <row r="1645" spans="1:2" hidden="1" x14ac:dyDescent="0.35">
      <c r="A1645" s="426" t="s">
        <v>2175</v>
      </c>
      <c r="B1645" s="419">
        <v>0.99109999999999998</v>
      </c>
    </row>
    <row r="1646" spans="1:2" hidden="1" x14ac:dyDescent="0.35">
      <c r="A1646" s="426" t="s">
        <v>2176</v>
      </c>
      <c r="B1646" s="419">
        <v>1</v>
      </c>
    </row>
    <row r="1647" spans="1:2" hidden="1" x14ac:dyDescent="0.35">
      <c r="A1647" s="426" t="s">
        <v>2177</v>
      </c>
      <c r="B1647" s="419">
        <v>0.99880000000000002</v>
      </c>
    </row>
    <row r="1648" spans="1:2" hidden="1" x14ac:dyDescent="0.35">
      <c r="A1648" s="426" t="s">
        <v>2178</v>
      </c>
      <c r="B1648" s="419">
        <v>0.99160000000000004</v>
      </c>
    </row>
    <row r="1649" spans="1:2" hidden="1" x14ac:dyDescent="0.35">
      <c r="A1649" s="426" t="s">
        <v>2179</v>
      </c>
      <c r="B1649" s="419">
        <v>0.99980000000000002</v>
      </c>
    </row>
    <row r="1650" spans="1:2" hidden="1" x14ac:dyDescent="0.35">
      <c r="A1650" s="426" t="s">
        <v>2180</v>
      </c>
      <c r="B1650" s="419">
        <v>0.99760000000000004</v>
      </c>
    </row>
    <row r="1651" spans="1:2" hidden="1" x14ac:dyDescent="0.35">
      <c r="A1651" s="426" t="s">
        <v>2181</v>
      </c>
      <c r="B1651" s="419">
        <v>0.99319999999999997</v>
      </c>
    </row>
    <row r="1652" spans="1:2" hidden="1" x14ac:dyDescent="0.35">
      <c r="A1652" s="426" t="s">
        <v>2182</v>
      </c>
      <c r="B1652" s="419">
        <v>0.99839999999999995</v>
      </c>
    </row>
    <row r="1653" spans="1:2" hidden="1" x14ac:dyDescent="0.35">
      <c r="A1653" s="426" t="s">
        <v>2183</v>
      </c>
      <c r="B1653" s="419">
        <v>0.99850000000000005</v>
      </c>
    </row>
    <row r="1654" spans="1:2" hidden="1" x14ac:dyDescent="0.35">
      <c r="A1654" s="426" t="s">
        <v>2184</v>
      </c>
      <c r="B1654" s="419">
        <v>0.99470000000000003</v>
      </c>
    </row>
    <row r="1655" spans="1:2" hidden="1" x14ac:dyDescent="0.35">
      <c r="A1655" s="426" t="s">
        <v>2185</v>
      </c>
      <c r="B1655" s="419">
        <v>0.99990000000000001</v>
      </c>
    </row>
    <row r="1656" spans="1:2" hidden="1" x14ac:dyDescent="0.35">
      <c r="A1656" s="426" t="s">
        <v>2186</v>
      </c>
      <c r="B1656" s="419">
        <v>0.99760000000000004</v>
      </c>
    </row>
    <row r="1657" spans="1:2" hidden="1" x14ac:dyDescent="0.35">
      <c r="A1657" s="426" t="s">
        <v>2187</v>
      </c>
      <c r="B1657" s="419">
        <v>0.99250000000000005</v>
      </c>
    </row>
    <row r="1658" spans="1:2" hidden="1" x14ac:dyDescent="0.35">
      <c r="A1658" s="426" t="s">
        <v>2188</v>
      </c>
      <c r="B1658" s="419">
        <v>0.98899999999999999</v>
      </c>
    </row>
    <row r="1659" spans="1:2" hidden="1" x14ac:dyDescent="0.35">
      <c r="A1659" s="426" t="s">
        <v>2189</v>
      </c>
      <c r="B1659" s="419">
        <v>0.98450000000000004</v>
      </c>
    </row>
    <row r="1660" spans="1:2" hidden="1" x14ac:dyDescent="0.35">
      <c r="A1660" s="426" t="s">
        <v>2190</v>
      </c>
      <c r="B1660" s="419">
        <v>0.99329999999999996</v>
      </c>
    </row>
    <row r="1661" spans="1:2" hidden="1" x14ac:dyDescent="0.35">
      <c r="A1661" s="426" t="s">
        <v>2191</v>
      </c>
      <c r="B1661" s="419">
        <v>0.98960000000000004</v>
      </c>
    </row>
    <row r="1662" spans="1:2" hidden="1" x14ac:dyDescent="0.35">
      <c r="A1662" s="426" t="s">
        <v>2192</v>
      </c>
      <c r="B1662" s="419">
        <v>0.99370000000000003</v>
      </c>
    </row>
    <row r="1663" spans="1:2" hidden="1" x14ac:dyDescent="0.35">
      <c r="A1663" s="426" t="s">
        <v>2193</v>
      </c>
      <c r="B1663" s="419">
        <v>0.99429999999999996</v>
      </c>
    </row>
    <row r="1664" spans="1:2" hidden="1" x14ac:dyDescent="0.35">
      <c r="A1664" s="426" t="s">
        <v>2194</v>
      </c>
      <c r="B1664" s="419">
        <v>0.99639999999999995</v>
      </c>
    </row>
    <row r="1665" spans="1:2" hidden="1" x14ac:dyDescent="0.35">
      <c r="A1665" s="426" t="s">
        <v>2195</v>
      </c>
      <c r="B1665" s="419">
        <v>0.98299999999999998</v>
      </c>
    </row>
    <row r="1666" spans="1:2" hidden="1" x14ac:dyDescent="0.35">
      <c r="A1666" s="426" t="s">
        <v>2196</v>
      </c>
      <c r="B1666" s="419">
        <v>0.99590000000000001</v>
      </c>
    </row>
    <row r="1667" spans="1:2" hidden="1" x14ac:dyDescent="0.35">
      <c r="A1667" s="426" t="s">
        <v>2197</v>
      </c>
      <c r="B1667" s="419">
        <v>1</v>
      </c>
    </row>
    <row r="1668" spans="1:2" hidden="1" x14ac:dyDescent="0.35">
      <c r="A1668" s="426" t="s">
        <v>2198</v>
      </c>
      <c r="B1668" s="419">
        <v>0.98980000000000001</v>
      </c>
    </row>
    <row r="1669" spans="1:2" hidden="1" x14ac:dyDescent="0.35">
      <c r="A1669" s="426" t="s">
        <v>2199</v>
      </c>
      <c r="B1669" s="419">
        <v>0.99780000000000002</v>
      </c>
    </row>
    <row r="1670" spans="1:2" hidden="1" x14ac:dyDescent="0.35">
      <c r="A1670" s="426" t="s">
        <v>2200</v>
      </c>
      <c r="B1670" s="419">
        <v>0.99970000000000003</v>
      </c>
    </row>
    <row r="1671" spans="1:2" hidden="1" x14ac:dyDescent="0.35">
      <c r="A1671" s="426" t="s">
        <v>2201</v>
      </c>
      <c r="B1671" s="419">
        <v>0.99280000000000002</v>
      </c>
    </row>
    <row r="1672" spans="1:2" hidden="1" x14ac:dyDescent="0.35">
      <c r="A1672" s="426" t="s">
        <v>2202</v>
      </c>
      <c r="B1672" s="419">
        <v>0.99309999999999998</v>
      </c>
    </row>
    <row r="1673" spans="1:2" hidden="1" x14ac:dyDescent="0.35">
      <c r="A1673" s="426" t="s">
        <v>2203</v>
      </c>
      <c r="B1673" s="419">
        <v>1</v>
      </c>
    </row>
    <row r="1674" spans="1:2" hidden="1" x14ac:dyDescent="0.35">
      <c r="A1674" s="426" t="s">
        <v>2204</v>
      </c>
      <c r="B1674" s="419">
        <v>0.99929999999999997</v>
      </c>
    </row>
    <row r="1675" spans="1:2" hidden="1" x14ac:dyDescent="0.35">
      <c r="A1675" s="426" t="s">
        <v>2205</v>
      </c>
      <c r="B1675" s="419">
        <v>0.99650000000000005</v>
      </c>
    </row>
    <row r="1676" spans="1:2" hidden="1" x14ac:dyDescent="0.35">
      <c r="A1676" s="426" t="s">
        <v>2206</v>
      </c>
      <c r="B1676" s="419">
        <v>0.99780000000000002</v>
      </c>
    </row>
    <row r="1677" spans="1:2" hidden="1" x14ac:dyDescent="0.35">
      <c r="A1677" s="426" t="s">
        <v>2207</v>
      </c>
      <c r="B1677" s="419">
        <v>0.99490000000000001</v>
      </c>
    </row>
    <row r="1678" spans="1:2" hidden="1" x14ac:dyDescent="0.35">
      <c r="A1678" s="426" t="s">
        <v>2208</v>
      </c>
      <c r="B1678" s="419">
        <v>0.995</v>
      </c>
    </row>
    <row r="1679" spans="1:2" hidden="1" x14ac:dyDescent="0.35">
      <c r="A1679" s="426" t="s">
        <v>2209</v>
      </c>
      <c r="B1679" s="419">
        <v>1</v>
      </c>
    </row>
    <row r="1680" spans="1:2" hidden="1" x14ac:dyDescent="0.35">
      <c r="A1680" s="426" t="s">
        <v>2210</v>
      </c>
      <c r="B1680" s="419">
        <v>0.99470000000000003</v>
      </c>
    </row>
    <row r="1681" spans="1:2" hidden="1" x14ac:dyDescent="0.35">
      <c r="A1681" s="426" t="s">
        <v>2211</v>
      </c>
      <c r="B1681" s="419">
        <v>0.99980000000000002</v>
      </c>
    </row>
    <row r="1682" spans="1:2" hidden="1" x14ac:dyDescent="0.35">
      <c r="A1682" s="426" t="s">
        <v>2212</v>
      </c>
      <c r="B1682" s="419">
        <v>0.99770000000000003</v>
      </c>
    </row>
    <row r="1683" spans="1:2" hidden="1" x14ac:dyDescent="0.35">
      <c r="A1683" s="426" t="s">
        <v>2213</v>
      </c>
      <c r="B1683" s="419">
        <v>0.99960000000000004</v>
      </c>
    </row>
    <row r="1684" spans="1:2" hidden="1" x14ac:dyDescent="0.35">
      <c r="A1684" s="426" t="s">
        <v>2214</v>
      </c>
      <c r="B1684" s="419">
        <v>0.99880000000000002</v>
      </c>
    </row>
    <row r="1685" spans="1:2" hidden="1" x14ac:dyDescent="0.35">
      <c r="A1685" s="426" t="s">
        <v>2215</v>
      </c>
      <c r="B1685" s="419">
        <v>0.99990000000000001</v>
      </c>
    </row>
    <row r="1686" spans="1:2" hidden="1" x14ac:dyDescent="0.35">
      <c r="A1686" s="426" t="s">
        <v>2216</v>
      </c>
      <c r="B1686" s="419">
        <v>0.99199999999999999</v>
      </c>
    </row>
    <row r="1687" spans="1:2" hidden="1" x14ac:dyDescent="0.35">
      <c r="A1687" s="426" t="s">
        <v>2217</v>
      </c>
      <c r="B1687" s="419">
        <v>0.99970000000000003</v>
      </c>
    </row>
    <row r="1688" spans="1:2" hidden="1" x14ac:dyDescent="0.35">
      <c r="A1688" s="426" t="s">
        <v>2218</v>
      </c>
      <c r="B1688" s="419">
        <v>0.98399999999999999</v>
      </c>
    </row>
    <row r="1689" spans="1:2" hidden="1" x14ac:dyDescent="0.35">
      <c r="A1689" s="426" t="s">
        <v>2219</v>
      </c>
      <c r="B1689" s="419">
        <v>0.98929999999999996</v>
      </c>
    </row>
    <row r="1690" spans="1:2" hidden="1" x14ac:dyDescent="0.35">
      <c r="A1690" s="426" t="s">
        <v>2220</v>
      </c>
      <c r="B1690" s="419">
        <v>0.99709999999999999</v>
      </c>
    </row>
    <row r="1691" spans="1:2" hidden="1" x14ac:dyDescent="0.35">
      <c r="A1691" s="426" t="s">
        <v>2221</v>
      </c>
      <c r="B1691" s="419">
        <v>0.99729999999999996</v>
      </c>
    </row>
    <row r="1692" spans="1:2" hidden="1" x14ac:dyDescent="0.35">
      <c r="A1692" s="426" t="s">
        <v>2222</v>
      </c>
      <c r="B1692" s="419">
        <v>1</v>
      </c>
    </row>
    <row r="1693" spans="1:2" hidden="1" x14ac:dyDescent="0.35">
      <c r="A1693" s="426" t="s">
        <v>2223</v>
      </c>
      <c r="B1693" s="419">
        <v>0.99739999999999995</v>
      </c>
    </row>
    <row r="1694" spans="1:2" hidden="1" x14ac:dyDescent="0.35">
      <c r="A1694" s="426" t="s">
        <v>2224</v>
      </c>
      <c r="B1694" s="419">
        <v>0.999</v>
      </c>
    </row>
    <row r="1695" spans="1:2" hidden="1" x14ac:dyDescent="0.35">
      <c r="A1695" s="426" t="s">
        <v>2225</v>
      </c>
      <c r="B1695" s="419">
        <v>0.99399999999999999</v>
      </c>
    </row>
    <row r="1696" spans="1:2" hidden="1" x14ac:dyDescent="0.35">
      <c r="A1696" s="426" t="s">
        <v>2226</v>
      </c>
      <c r="B1696" s="419">
        <v>0.995</v>
      </c>
    </row>
    <row r="1697" spans="1:2" hidden="1" x14ac:dyDescent="0.35">
      <c r="A1697" s="426" t="s">
        <v>2227</v>
      </c>
      <c r="B1697" s="419">
        <v>0.98399999999999999</v>
      </c>
    </row>
    <row r="1698" spans="1:2" hidden="1" x14ac:dyDescent="0.35">
      <c r="A1698" s="426" t="s">
        <v>2228</v>
      </c>
      <c r="B1698" s="419">
        <v>0.99480000000000002</v>
      </c>
    </row>
    <row r="1699" spans="1:2" hidden="1" x14ac:dyDescent="0.35">
      <c r="A1699" s="426" t="s">
        <v>2229</v>
      </c>
      <c r="B1699" s="419">
        <v>0.99570000000000003</v>
      </c>
    </row>
    <row r="1700" spans="1:2" hidden="1" x14ac:dyDescent="0.35">
      <c r="A1700" s="426" t="s">
        <v>2230</v>
      </c>
      <c r="B1700" s="419">
        <v>0.99690000000000001</v>
      </c>
    </row>
    <row r="1701" spans="1:2" hidden="1" x14ac:dyDescent="0.35">
      <c r="A1701" s="426" t="s">
        <v>2231</v>
      </c>
      <c r="B1701" s="419">
        <v>0.99990000000000001</v>
      </c>
    </row>
    <row r="1702" spans="1:2" hidden="1" x14ac:dyDescent="0.35">
      <c r="A1702" s="426" t="s">
        <v>2232</v>
      </c>
      <c r="B1702" s="419">
        <v>0.9889</v>
      </c>
    </row>
    <row r="1703" spans="1:2" hidden="1" x14ac:dyDescent="0.35">
      <c r="A1703" s="426" t="s">
        <v>2233</v>
      </c>
      <c r="B1703" s="419">
        <v>0.99150000000000005</v>
      </c>
    </row>
    <row r="1704" spans="1:2" hidden="1" x14ac:dyDescent="0.35">
      <c r="A1704" s="426" t="s">
        <v>2234</v>
      </c>
      <c r="B1704" s="419">
        <v>0.99170000000000003</v>
      </c>
    </row>
    <row r="1705" spans="1:2" hidden="1" x14ac:dyDescent="0.35">
      <c r="A1705" s="426" t="s">
        <v>2235</v>
      </c>
      <c r="B1705" s="419">
        <v>0.99199999999999999</v>
      </c>
    </row>
    <row r="1706" spans="1:2" hidden="1" x14ac:dyDescent="0.35">
      <c r="A1706" s="426" t="s">
        <v>2236</v>
      </c>
      <c r="B1706" s="419">
        <v>0.98640000000000005</v>
      </c>
    </row>
    <row r="1707" spans="1:2" hidden="1" x14ac:dyDescent="0.35">
      <c r="A1707" s="426" t="s">
        <v>2237</v>
      </c>
      <c r="B1707" s="419">
        <v>0.99450000000000005</v>
      </c>
    </row>
    <row r="1708" spans="1:2" hidden="1" x14ac:dyDescent="0.35">
      <c r="A1708" s="426" t="s">
        <v>2238</v>
      </c>
      <c r="B1708" s="419">
        <v>0.99390000000000001</v>
      </c>
    </row>
    <row r="1709" spans="1:2" hidden="1" x14ac:dyDescent="0.35">
      <c r="A1709" s="426" t="s">
        <v>2239</v>
      </c>
      <c r="B1709" s="419">
        <v>0.98880000000000001</v>
      </c>
    </row>
    <row r="1710" spans="1:2" hidden="1" x14ac:dyDescent="0.35">
      <c r="A1710" s="426" t="s">
        <v>2240</v>
      </c>
      <c r="B1710" s="419">
        <v>0.99419999999999997</v>
      </c>
    </row>
    <row r="1711" spans="1:2" hidden="1" x14ac:dyDescent="0.35">
      <c r="A1711" s="426" t="s">
        <v>2241</v>
      </c>
      <c r="B1711" s="419">
        <v>0.98699999999999999</v>
      </c>
    </row>
    <row r="1712" spans="1:2" hidden="1" x14ac:dyDescent="0.35">
      <c r="A1712" s="426" t="s">
        <v>2242</v>
      </c>
      <c r="B1712" s="419">
        <v>0.99780000000000002</v>
      </c>
    </row>
    <row r="1713" spans="1:2" hidden="1" x14ac:dyDescent="0.35">
      <c r="A1713" s="426" t="s">
        <v>2243</v>
      </c>
      <c r="B1713" s="419">
        <v>0.99580000000000002</v>
      </c>
    </row>
    <row r="1714" spans="1:2" hidden="1" x14ac:dyDescent="0.35">
      <c r="A1714" s="426" t="s">
        <v>2244</v>
      </c>
      <c r="B1714" s="419">
        <v>0.99170000000000003</v>
      </c>
    </row>
    <row r="1715" spans="1:2" hidden="1" x14ac:dyDescent="0.35">
      <c r="A1715" s="426" t="s">
        <v>2245</v>
      </c>
      <c r="B1715" s="419">
        <v>1</v>
      </c>
    </row>
    <row r="1716" spans="1:2" hidden="1" x14ac:dyDescent="0.35">
      <c r="A1716" s="426" t="s">
        <v>2246</v>
      </c>
      <c r="B1716" s="419">
        <v>0.99819999999999998</v>
      </c>
    </row>
    <row r="1717" spans="1:2" hidden="1" x14ac:dyDescent="0.35">
      <c r="A1717" s="426" t="s">
        <v>2247</v>
      </c>
      <c r="B1717" s="419">
        <v>0.99719999999999998</v>
      </c>
    </row>
    <row r="1718" spans="1:2" hidden="1" x14ac:dyDescent="0.35">
      <c r="A1718" s="426" t="s">
        <v>2248</v>
      </c>
      <c r="B1718" s="419">
        <v>0.998</v>
      </c>
    </row>
    <row r="1719" spans="1:2" hidden="1" x14ac:dyDescent="0.35">
      <c r="A1719" s="426" t="s">
        <v>2249</v>
      </c>
      <c r="B1719" s="419">
        <v>1</v>
      </c>
    </row>
    <row r="1720" spans="1:2" hidden="1" x14ac:dyDescent="0.35">
      <c r="A1720" s="426" t="s">
        <v>2250</v>
      </c>
      <c r="B1720" s="419">
        <v>0.99419999999999997</v>
      </c>
    </row>
    <row r="1721" spans="1:2" hidden="1" x14ac:dyDescent="0.35">
      <c r="A1721" s="426" t="s">
        <v>2251</v>
      </c>
      <c r="B1721" s="419">
        <v>0.99319999999999997</v>
      </c>
    </row>
    <row r="1722" spans="1:2" hidden="1" x14ac:dyDescent="0.35">
      <c r="A1722" s="426" t="s">
        <v>2252</v>
      </c>
      <c r="B1722" s="419">
        <v>0.99739999999999995</v>
      </c>
    </row>
    <row r="1723" spans="1:2" hidden="1" x14ac:dyDescent="0.35">
      <c r="A1723" s="426" t="s">
        <v>2253</v>
      </c>
      <c r="B1723" s="419">
        <v>0.99039999999999995</v>
      </c>
    </row>
    <row r="1724" spans="1:2" hidden="1" x14ac:dyDescent="0.35">
      <c r="A1724" s="426" t="s">
        <v>2254</v>
      </c>
      <c r="B1724" s="419">
        <v>0.99209999999999998</v>
      </c>
    </row>
    <row r="1725" spans="1:2" hidden="1" x14ac:dyDescent="0.35">
      <c r="A1725" s="426" t="s">
        <v>2255</v>
      </c>
      <c r="B1725" s="419">
        <v>0.9919</v>
      </c>
    </row>
    <row r="1726" spans="1:2" hidden="1" x14ac:dyDescent="0.35">
      <c r="A1726" s="426" t="s">
        <v>2256</v>
      </c>
      <c r="B1726" s="419">
        <v>0.998</v>
      </c>
    </row>
    <row r="1727" spans="1:2" hidden="1" x14ac:dyDescent="0.35">
      <c r="A1727" s="426" t="s">
        <v>2257</v>
      </c>
      <c r="B1727" s="419">
        <v>0.99709999999999999</v>
      </c>
    </row>
    <row r="1728" spans="1:2" hidden="1" x14ac:dyDescent="0.35">
      <c r="A1728" s="426" t="s">
        <v>2258</v>
      </c>
      <c r="B1728" s="419">
        <v>0.99819999999999998</v>
      </c>
    </row>
    <row r="1729" spans="1:2" hidden="1" x14ac:dyDescent="0.35">
      <c r="A1729" s="426" t="s">
        <v>2259</v>
      </c>
      <c r="B1729" s="419">
        <v>0.99780000000000002</v>
      </c>
    </row>
    <row r="1730" spans="1:2" hidden="1" x14ac:dyDescent="0.35">
      <c r="A1730" s="426" t="s">
        <v>2260</v>
      </c>
      <c r="B1730" s="419">
        <v>0.996</v>
      </c>
    </row>
    <row r="1731" spans="1:2" hidden="1" x14ac:dyDescent="0.35">
      <c r="A1731" s="426" t="s">
        <v>2261</v>
      </c>
      <c r="B1731" s="419">
        <v>0.99139999999999995</v>
      </c>
    </row>
    <row r="1732" spans="1:2" hidden="1" x14ac:dyDescent="0.35">
      <c r="A1732" s="426" t="s">
        <v>2262</v>
      </c>
      <c r="B1732" s="419">
        <v>1</v>
      </c>
    </row>
    <row r="1733" spans="1:2" hidden="1" x14ac:dyDescent="0.35">
      <c r="A1733" s="426" t="s">
        <v>2263</v>
      </c>
      <c r="B1733" s="419">
        <v>0.99939999999999996</v>
      </c>
    </row>
    <row r="1734" spans="1:2" hidden="1" x14ac:dyDescent="0.35">
      <c r="A1734" s="426" t="s">
        <v>2264</v>
      </c>
      <c r="B1734" s="419">
        <v>0.99990000000000001</v>
      </c>
    </row>
    <row r="1735" spans="1:2" hidden="1" x14ac:dyDescent="0.35">
      <c r="A1735" s="426" t="s">
        <v>2265</v>
      </c>
      <c r="B1735" s="419">
        <v>0.99619999999999997</v>
      </c>
    </row>
    <row r="1736" spans="1:2" hidden="1" x14ac:dyDescent="0.35">
      <c r="A1736" s="426" t="s">
        <v>2266</v>
      </c>
      <c r="B1736" s="419">
        <v>0.99609999999999999</v>
      </c>
    </row>
    <row r="1737" spans="1:2" hidden="1" x14ac:dyDescent="0.35">
      <c r="A1737" s="426" t="s">
        <v>2267</v>
      </c>
      <c r="B1737" s="419">
        <v>0.99890000000000001</v>
      </c>
    </row>
    <row r="1738" spans="1:2" hidden="1" x14ac:dyDescent="0.35">
      <c r="A1738" s="426" t="s">
        <v>2268</v>
      </c>
      <c r="B1738" s="419">
        <v>0.998</v>
      </c>
    </row>
    <row r="1739" spans="1:2" hidden="1" x14ac:dyDescent="0.35">
      <c r="A1739" s="426" t="s">
        <v>2269</v>
      </c>
      <c r="B1739" s="419">
        <v>0.99939999999999996</v>
      </c>
    </row>
    <row r="1740" spans="1:2" hidden="1" x14ac:dyDescent="0.35">
      <c r="A1740" s="426" t="s">
        <v>2270</v>
      </c>
      <c r="B1740" s="419">
        <v>0.99829999999999997</v>
      </c>
    </row>
    <row r="1741" spans="1:2" hidden="1" x14ac:dyDescent="0.35">
      <c r="A1741" s="426" t="s">
        <v>2271</v>
      </c>
      <c r="B1741" s="419">
        <v>0.99850000000000005</v>
      </c>
    </row>
    <row r="1742" spans="1:2" hidden="1" x14ac:dyDescent="0.35">
      <c r="A1742" s="426" t="s">
        <v>2272</v>
      </c>
      <c r="B1742" s="419">
        <v>0.99950000000000006</v>
      </c>
    </row>
    <row r="1743" spans="1:2" hidden="1" x14ac:dyDescent="0.35">
      <c r="A1743" s="426" t="s">
        <v>2273</v>
      </c>
      <c r="B1743" s="419">
        <v>0.98309999999999997</v>
      </c>
    </row>
    <row r="1744" spans="1:2" hidden="1" x14ac:dyDescent="0.35">
      <c r="A1744" s="426" t="s">
        <v>2274</v>
      </c>
      <c r="B1744" s="419">
        <v>1</v>
      </c>
    </row>
    <row r="1745" spans="1:2" hidden="1" x14ac:dyDescent="0.35">
      <c r="A1745" s="426" t="s">
        <v>2275</v>
      </c>
      <c r="B1745" s="419">
        <v>1</v>
      </c>
    </row>
    <row r="1746" spans="1:2" hidden="1" x14ac:dyDescent="0.35">
      <c r="A1746" s="426" t="s">
        <v>2276</v>
      </c>
      <c r="B1746" s="419">
        <v>1</v>
      </c>
    </row>
    <row r="1747" spans="1:2" hidden="1" x14ac:dyDescent="0.35">
      <c r="A1747" s="426" t="s">
        <v>2277</v>
      </c>
      <c r="B1747" s="419">
        <v>0.99929999999999997</v>
      </c>
    </row>
    <row r="1748" spans="1:2" hidden="1" x14ac:dyDescent="0.35">
      <c r="A1748" s="426" t="s">
        <v>2278</v>
      </c>
      <c r="B1748" s="419">
        <v>0.99670000000000003</v>
      </c>
    </row>
    <row r="1749" spans="1:2" hidden="1" x14ac:dyDescent="0.35">
      <c r="A1749" s="426" t="s">
        <v>2279</v>
      </c>
      <c r="B1749" s="419">
        <v>0.99660000000000004</v>
      </c>
    </row>
    <row r="1750" spans="1:2" hidden="1" x14ac:dyDescent="0.35">
      <c r="A1750" s="426" t="s">
        <v>2280</v>
      </c>
      <c r="B1750" s="419">
        <v>0.99470000000000003</v>
      </c>
    </row>
    <row r="1751" spans="1:2" hidden="1" x14ac:dyDescent="0.35">
      <c r="A1751" s="426" t="s">
        <v>2281</v>
      </c>
      <c r="B1751" s="419">
        <v>0.98180000000000001</v>
      </c>
    </row>
    <row r="1752" spans="1:2" hidden="1" x14ac:dyDescent="0.35">
      <c r="A1752" s="426" t="s">
        <v>2282</v>
      </c>
      <c r="B1752" s="419">
        <v>0.999</v>
      </c>
    </row>
    <row r="1753" spans="1:2" hidden="1" x14ac:dyDescent="0.35">
      <c r="A1753" s="426" t="s">
        <v>2283</v>
      </c>
      <c r="B1753" s="419">
        <v>0.99829999999999997</v>
      </c>
    </row>
    <row r="1754" spans="1:2" hidden="1" x14ac:dyDescent="0.35">
      <c r="A1754" s="426" t="s">
        <v>2284</v>
      </c>
      <c r="B1754" s="419">
        <v>0.99580000000000002</v>
      </c>
    </row>
    <row r="1755" spans="1:2" hidden="1" x14ac:dyDescent="0.35">
      <c r="A1755" s="426" t="s">
        <v>2285</v>
      </c>
      <c r="B1755" s="419">
        <v>0.99970000000000003</v>
      </c>
    </row>
    <row r="1756" spans="1:2" hidden="1" x14ac:dyDescent="0.35">
      <c r="A1756" s="426" t="s">
        <v>2286</v>
      </c>
      <c r="B1756" s="419">
        <v>1</v>
      </c>
    </row>
    <row r="1757" spans="1:2" hidden="1" x14ac:dyDescent="0.35">
      <c r="A1757" s="426" t="s">
        <v>2287</v>
      </c>
      <c r="B1757" s="419">
        <v>1</v>
      </c>
    </row>
    <row r="1758" spans="1:2" hidden="1" x14ac:dyDescent="0.35">
      <c r="A1758" s="426" t="s">
        <v>2288</v>
      </c>
      <c r="B1758" s="419">
        <v>0.99970000000000003</v>
      </c>
    </row>
    <row r="1759" spans="1:2" hidden="1" x14ac:dyDescent="0.35">
      <c r="A1759" s="426" t="s">
        <v>2289</v>
      </c>
      <c r="B1759" s="419">
        <v>1</v>
      </c>
    </row>
    <row r="1760" spans="1:2" hidden="1" x14ac:dyDescent="0.35">
      <c r="A1760" s="426" t="s">
        <v>2290</v>
      </c>
      <c r="B1760" s="419">
        <v>1</v>
      </c>
    </row>
    <row r="1761" spans="1:2" hidden="1" x14ac:dyDescent="0.35">
      <c r="A1761" s="426" t="s">
        <v>2291</v>
      </c>
      <c r="B1761" s="419">
        <v>1</v>
      </c>
    </row>
    <row r="1762" spans="1:2" hidden="1" x14ac:dyDescent="0.35">
      <c r="A1762" s="426" t="s">
        <v>2292</v>
      </c>
      <c r="B1762" s="419">
        <v>1</v>
      </c>
    </row>
    <row r="1763" spans="1:2" hidden="1" x14ac:dyDescent="0.35">
      <c r="A1763" s="426" t="s">
        <v>2293</v>
      </c>
      <c r="B1763" s="419">
        <v>0.99629999999999996</v>
      </c>
    </row>
    <row r="1764" spans="1:2" hidden="1" x14ac:dyDescent="0.35">
      <c r="A1764" s="426" t="s">
        <v>2294</v>
      </c>
      <c r="B1764" s="419">
        <v>0.99729999999999996</v>
      </c>
    </row>
    <row r="1765" spans="1:2" hidden="1" x14ac:dyDescent="0.35">
      <c r="A1765" s="426" t="s">
        <v>2295</v>
      </c>
      <c r="B1765" s="419">
        <v>1</v>
      </c>
    </row>
    <row r="1766" spans="1:2" hidden="1" x14ac:dyDescent="0.35">
      <c r="A1766" s="426" t="s">
        <v>2296</v>
      </c>
      <c r="B1766" s="419">
        <v>0.98939999999999995</v>
      </c>
    </row>
    <row r="1767" spans="1:2" hidden="1" x14ac:dyDescent="0.35">
      <c r="A1767" s="426" t="s">
        <v>2297</v>
      </c>
      <c r="B1767" s="419">
        <v>1</v>
      </c>
    </row>
    <row r="1768" spans="1:2" hidden="1" x14ac:dyDescent="0.35">
      <c r="A1768" s="426" t="s">
        <v>2298</v>
      </c>
      <c r="B1768" s="419">
        <v>0.99550000000000005</v>
      </c>
    </row>
    <row r="1769" spans="1:2" hidden="1" x14ac:dyDescent="0.35">
      <c r="A1769" s="426" t="s">
        <v>2299</v>
      </c>
      <c r="B1769" s="419">
        <v>1</v>
      </c>
    </row>
    <row r="1770" spans="1:2" hidden="1" x14ac:dyDescent="0.35">
      <c r="A1770" s="426" t="s">
        <v>2300</v>
      </c>
      <c r="B1770" s="419">
        <v>0.98029999999999995</v>
      </c>
    </row>
    <row r="1771" spans="1:2" hidden="1" x14ac:dyDescent="0.35">
      <c r="A1771" s="426" t="s">
        <v>2301</v>
      </c>
      <c r="B1771" s="419">
        <v>1</v>
      </c>
    </row>
    <row r="1772" spans="1:2" hidden="1" x14ac:dyDescent="0.35">
      <c r="A1772" s="426" t="s">
        <v>2302</v>
      </c>
      <c r="B1772" s="419">
        <v>1</v>
      </c>
    </row>
    <row r="1773" spans="1:2" hidden="1" x14ac:dyDescent="0.35">
      <c r="A1773" s="426" t="s">
        <v>2303</v>
      </c>
      <c r="B1773" s="419">
        <v>0.99909999999999999</v>
      </c>
    </row>
    <row r="1774" spans="1:2" hidden="1" x14ac:dyDescent="0.35">
      <c r="A1774" s="426" t="s">
        <v>2304</v>
      </c>
      <c r="B1774" s="419">
        <v>0.99729999999999996</v>
      </c>
    </row>
    <row r="1775" spans="1:2" hidden="1" x14ac:dyDescent="0.35">
      <c r="A1775" s="426" t="s">
        <v>2305</v>
      </c>
      <c r="B1775" s="419">
        <v>0.99619999999999997</v>
      </c>
    </row>
    <row r="1776" spans="1:2" hidden="1" x14ac:dyDescent="0.35">
      <c r="A1776" s="426" t="s">
        <v>2306</v>
      </c>
      <c r="B1776" s="419">
        <v>0.99819999999999998</v>
      </c>
    </row>
    <row r="1777" spans="1:2" hidden="1" x14ac:dyDescent="0.35">
      <c r="A1777" s="426" t="s">
        <v>2307</v>
      </c>
      <c r="B1777" s="419">
        <v>0.998</v>
      </c>
    </row>
    <row r="1778" spans="1:2" hidden="1" x14ac:dyDescent="0.35">
      <c r="A1778" s="426" t="s">
        <v>2308</v>
      </c>
      <c r="B1778" s="419">
        <v>0.99709999999999999</v>
      </c>
    </row>
    <row r="1779" spans="1:2" hidden="1" x14ac:dyDescent="0.35">
      <c r="A1779" s="426" t="s">
        <v>2309</v>
      </c>
      <c r="B1779" s="419">
        <v>0.99780000000000002</v>
      </c>
    </row>
    <row r="1780" spans="1:2" hidden="1" x14ac:dyDescent="0.35">
      <c r="A1780" s="426" t="s">
        <v>2310</v>
      </c>
      <c r="B1780" s="419">
        <v>0.99880000000000002</v>
      </c>
    </row>
    <row r="1781" spans="1:2" hidden="1" x14ac:dyDescent="0.35">
      <c r="A1781" s="426" t="s">
        <v>2311</v>
      </c>
      <c r="B1781" s="419">
        <v>0.99329999999999996</v>
      </c>
    </row>
    <row r="1782" spans="1:2" hidden="1" x14ac:dyDescent="0.35">
      <c r="A1782" s="426" t="s">
        <v>2312</v>
      </c>
      <c r="B1782" s="419">
        <v>1</v>
      </c>
    </row>
    <row r="1783" spans="1:2" hidden="1" x14ac:dyDescent="0.35">
      <c r="A1783" s="426" t="s">
        <v>2313</v>
      </c>
      <c r="B1783" s="419">
        <v>0.99880000000000002</v>
      </c>
    </row>
    <row r="1784" spans="1:2" hidden="1" x14ac:dyDescent="0.35">
      <c r="A1784" s="426" t="s">
        <v>2314</v>
      </c>
      <c r="B1784" s="419">
        <v>0.99890000000000001</v>
      </c>
    </row>
    <row r="1785" spans="1:2" hidden="1" x14ac:dyDescent="0.35">
      <c r="A1785" s="426" t="s">
        <v>2315</v>
      </c>
      <c r="B1785" s="419">
        <v>0.996</v>
      </c>
    </row>
    <row r="1786" spans="1:2" hidden="1" x14ac:dyDescent="0.35">
      <c r="A1786" s="426" t="s">
        <v>2316</v>
      </c>
      <c r="B1786" s="419">
        <v>0.99870000000000003</v>
      </c>
    </row>
    <row r="1787" spans="1:2" hidden="1" x14ac:dyDescent="0.35">
      <c r="A1787" s="426" t="s">
        <v>2317</v>
      </c>
      <c r="B1787" s="419">
        <v>0.99819999999999998</v>
      </c>
    </row>
    <row r="1788" spans="1:2" hidden="1" x14ac:dyDescent="0.35">
      <c r="A1788" s="426" t="s">
        <v>2318</v>
      </c>
      <c r="B1788" s="419">
        <v>0.99839999999999995</v>
      </c>
    </row>
    <row r="1789" spans="1:2" hidden="1" x14ac:dyDescent="0.35">
      <c r="A1789" s="426" t="s">
        <v>2319</v>
      </c>
      <c r="B1789" s="419">
        <v>0.99629999999999996</v>
      </c>
    </row>
    <row r="1790" spans="1:2" hidden="1" x14ac:dyDescent="0.35">
      <c r="A1790" s="426" t="s">
        <v>2320</v>
      </c>
      <c r="B1790" s="419">
        <v>0.99809999999999999</v>
      </c>
    </row>
    <row r="1791" spans="1:2" hidden="1" x14ac:dyDescent="0.35">
      <c r="A1791" s="426" t="s">
        <v>2321</v>
      </c>
      <c r="B1791" s="419">
        <v>1</v>
      </c>
    </row>
    <row r="1792" spans="1:2" hidden="1" x14ac:dyDescent="0.35">
      <c r="A1792" s="426" t="s">
        <v>2322</v>
      </c>
      <c r="B1792" s="419">
        <v>0.99150000000000005</v>
      </c>
    </row>
    <row r="1793" spans="1:2" hidden="1" x14ac:dyDescent="0.35">
      <c r="A1793" s="426" t="s">
        <v>2323</v>
      </c>
      <c r="B1793" s="419">
        <v>0.99970000000000003</v>
      </c>
    </row>
    <row r="1794" spans="1:2" hidden="1" x14ac:dyDescent="0.35">
      <c r="A1794" s="426" t="s">
        <v>2324</v>
      </c>
      <c r="B1794" s="419">
        <v>1</v>
      </c>
    </row>
    <row r="1795" spans="1:2" hidden="1" x14ac:dyDescent="0.35">
      <c r="A1795" s="426" t="s">
        <v>2325</v>
      </c>
      <c r="B1795" s="419">
        <v>0.99639999999999995</v>
      </c>
    </row>
    <row r="1796" spans="1:2" hidden="1" x14ac:dyDescent="0.35">
      <c r="A1796" s="426" t="s">
        <v>2326</v>
      </c>
      <c r="B1796" s="419">
        <v>0.99450000000000005</v>
      </c>
    </row>
    <row r="1797" spans="1:2" hidden="1" x14ac:dyDescent="0.35">
      <c r="A1797" s="426" t="s">
        <v>2327</v>
      </c>
      <c r="B1797" s="419">
        <v>0.99399999999999999</v>
      </c>
    </row>
    <row r="1798" spans="1:2" hidden="1" x14ac:dyDescent="0.35">
      <c r="A1798" s="426" t="s">
        <v>2328</v>
      </c>
      <c r="B1798" s="419">
        <v>0.99839999999999995</v>
      </c>
    </row>
    <row r="1799" spans="1:2" hidden="1" x14ac:dyDescent="0.35">
      <c r="A1799" s="426" t="s">
        <v>2329</v>
      </c>
      <c r="B1799" s="419">
        <v>0.998</v>
      </c>
    </row>
    <row r="1800" spans="1:2" hidden="1" x14ac:dyDescent="0.35">
      <c r="A1800" s="426" t="s">
        <v>2330</v>
      </c>
      <c r="B1800" s="419">
        <v>0.99650000000000005</v>
      </c>
    </row>
    <row r="1801" spans="1:2" hidden="1" x14ac:dyDescent="0.35">
      <c r="A1801" s="426" t="s">
        <v>2331</v>
      </c>
      <c r="B1801" s="419">
        <v>0.99719999999999998</v>
      </c>
    </row>
    <row r="1802" spans="1:2" hidden="1" x14ac:dyDescent="0.35">
      <c r="A1802" s="426" t="s">
        <v>2332</v>
      </c>
      <c r="B1802" s="419">
        <v>1</v>
      </c>
    </row>
    <row r="1803" spans="1:2" hidden="1" x14ac:dyDescent="0.35">
      <c r="A1803" s="426" t="s">
        <v>2333</v>
      </c>
      <c r="B1803" s="419">
        <v>0.99750000000000005</v>
      </c>
    </row>
    <row r="1804" spans="1:2" hidden="1" x14ac:dyDescent="0.35">
      <c r="A1804" s="426" t="s">
        <v>2334</v>
      </c>
      <c r="B1804" s="419">
        <v>0.99550000000000005</v>
      </c>
    </row>
    <row r="1805" spans="1:2" hidden="1" x14ac:dyDescent="0.35">
      <c r="A1805" s="426" t="s">
        <v>2335</v>
      </c>
      <c r="B1805" s="419">
        <v>0.99329999999999996</v>
      </c>
    </row>
    <row r="1806" spans="1:2" hidden="1" x14ac:dyDescent="0.35">
      <c r="A1806" s="426" t="s">
        <v>2336</v>
      </c>
      <c r="B1806" s="419">
        <v>0.99870000000000003</v>
      </c>
    </row>
    <row r="1807" spans="1:2" hidden="1" x14ac:dyDescent="0.35">
      <c r="A1807" s="426" t="s">
        <v>2337</v>
      </c>
      <c r="B1807" s="419">
        <v>0.99690000000000001</v>
      </c>
    </row>
    <row r="1808" spans="1:2" hidden="1" x14ac:dyDescent="0.35">
      <c r="A1808" s="426" t="s">
        <v>2338</v>
      </c>
      <c r="B1808" s="419">
        <v>0.99250000000000005</v>
      </c>
    </row>
    <row r="1809" spans="1:2" hidden="1" x14ac:dyDescent="0.35">
      <c r="A1809" s="426" t="s">
        <v>2339</v>
      </c>
      <c r="B1809" s="419">
        <v>0.99770000000000003</v>
      </c>
    </row>
    <row r="1810" spans="1:2" hidden="1" x14ac:dyDescent="0.35">
      <c r="A1810" s="426" t="s">
        <v>2340</v>
      </c>
      <c r="B1810" s="419">
        <v>0.997</v>
      </c>
    </row>
    <row r="1811" spans="1:2" hidden="1" x14ac:dyDescent="0.35">
      <c r="A1811" s="426" t="s">
        <v>2341</v>
      </c>
      <c r="B1811" s="419">
        <v>0.99929999999999997</v>
      </c>
    </row>
    <row r="1812" spans="1:2" hidden="1" x14ac:dyDescent="0.35">
      <c r="A1812" s="426" t="s">
        <v>2342</v>
      </c>
      <c r="B1812" s="419">
        <v>0.9919</v>
      </c>
    </row>
    <row r="1813" spans="1:2" hidden="1" x14ac:dyDescent="0.35">
      <c r="A1813" s="426" t="s">
        <v>2343</v>
      </c>
      <c r="B1813" s="419">
        <v>0.99690000000000001</v>
      </c>
    </row>
    <row r="1814" spans="1:2" hidden="1" x14ac:dyDescent="0.35">
      <c r="A1814" s="426" t="s">
        <v>2344</v>
      </c>
      <c r="B1814" s="419">
        <v>0.99270000000000003</v>
      </c>
    </row>
    <row r="1815" spans="1:2" hidden="1" x14ac:dyDescent="0.35">
      <c r="A1815" s="426" t="s">
        <v>2345</v>
      </c>
      <c r="B1815" s="419">
        <v>0.99629999999999996</v>
      </c>
    </row>
    <row r="1816" spans="1:2" hidden="1" x14ac:dyDescent="0.35">
      <c r="A1816" s="426" t="s">
        <v>2346</v>
      </c>
      <c r="B1816" s="419">
        <v>0.99629999999999996</v>
      </c>
    </row>
    <row r="1817" spans="1:2" hidden="1" x14ac:dyDescent="0.35">
      <c r="A1817" s="426" t="s">
        <v>2347</v>
      </c>
      <c r="B1817" s="419">
        <v>0.99650000000000005</v>
      </c>
    </row>
    <row r="1818" spans="1:2" hidden="1" x14ac:dyDescent="0.35">
      <c r="A1818" s="426" t="s">
        <v>2348</v>
      </c>
      <c r="B1818" s="419">
        <v>0.99850000000000005</v>
      </c>
    </row>
    <row r="1819" spans="1:2" hidden="1" x14ac:dyDescent="0.35">
      <c r="A1819" s="426" t="s">
        <v>2349</v>
      </c>
      <c r="B1819" s="419">
        <v>0.98740000000000006</v>
      </c>
    </row>
    <row r="1820" spans="1:2" hidden="1" x14ac:dyDescent="0.35">
      <c r="A1820" s="426" t="s">
        <v>2350</v>
      </c>
      <c r="B1820" s="419">
        <v>0.99850000000000005</v>
      </c>
    </row>
    <row r="1821" spans="1:2" hidden="1" x14ac:dyDescent="0.35">
      <c r="A1821" s="426" t="s">
        <v>2351</v>
      </c>
      <c r="B1821" s="419">
        <v>0.99980000000000002</v>
      </c>
    </row>
    <row r="1822" spans="1:2" hidden="1" x14ac:dyDescent="0.35">
      <c r="A1822" s="426" t="s">
        <v>2352</v>
      </c>
      <c r="B1822" s="419">
        <v>0.99890000000000001</v>
      </c>
    </row>
    <row r="1823" spans="1:2" hidden="1" x14ac:dyDescent="0.35">
      <c r="A1823" s="426" t="s">
        <v>2353</v>
      </c>
      <c r="B1823" s="419">
        <v>0.99839999999999995</v>
      </c>
    </row>
    <row r="1824" spans="1:2" hidden="1" x14ac:dyDescent="0.35">
      <c r="A1824" s="426" t="s">
        <v>2354</v>
      </c>
      <c r="B1824" s="419">
        <v>0.99439999999999995</v>
      </c>
    </row>
    <row r="1825" spans="1:2" hidden="1" x14ac:dyDescent="0.35">
      <c r="A1825" s="426" t="s">
        <v>2355</v>
      </c>
      <c r="B1825" s="419">
        <v>0.97719999999999996</v>
      </c>
    </row>
    <row r="1826" spans="1:2" hidden="1" x14ac:dyDescent="0.35">
      <c r="A1826" s="426" t="s">
        <v>2356</v>
      </c>
      <c r="B1826" s="419">
        <v>0.99729999999999996</v>
      </c>
    </row>
    <row r="1827" spans="1:2" hidden="1" x14ac:dyDescent="0.35">
      <c r="A1827" s="426" t="s">
        <v>2357</v>
      </c>
      <c r="B1827" s="419">
        <v>1</v>
      </c>
    </row>
    <row r="1828" spans="1:2" hidden="1" x14ac:dyDescent="0.35">
      <c r="A1828" s="426" t="s">
        <v>2358</v>
      </c>
      <c r="B1828" s="419">
        <v>0.99990000000000001</v>
      </c>
    </row>
    <row r="1829" spans="1:2" hidden="1" x14ac:dyDescent="0.35">
      <c r="A1829" s="426" t="s">
        <v>2359</v>
      </c>
      <c r="B1829" s="419">
        <v>0.99390000000000001</v>
      </c>
    </row>
    <row r="1830" spans="1:2" hidden="1" x14ac:dyDescent="0.35">
      <c r="A1830" s="426" t="s">
        <v>2360</v>
      </c>
      <c r="B1830" s="419">
        <v>0.99929999999999997</v>
      </c>
    </row>
    <row r="1831" spans="1:2" hidden="1" x14ac:dyDescent="0.35">
      <c r="A1831" s="426" t="s">
        <v>2361</v>
      </c>
      <c r="B1831" s="419">
        <v>0.99550000000000005</v>
      </c>
    </row>
    <row r="1832" spans="1:2" hidden="1" x14ac:dyDescent="0.35">
      <c r="A1832" s="426" t="s">
        <v>2362</v>
      </c>
      <c r="B1832" s="419">
        <v>0.99929999999999997</v>
      </c>
    </row>
    <row r="1833" spans="1:2" hidden="1" x14ac:dyDescent="0.35">
      <c r="A1833" s="426" t="s">
        <v>2363</v>
      </c>
      <c r="B1833" s="419">
        <v>0.99480000000000002</v>
      </c>
    </row>
    <row r="1834" spans="1:2" hidden="1" x14ac:dyDescent="0.35">
      <c r="A1834" s="426" t="s">
        <v>2364</v>
      </c>
      <c r="B1834" s="419">
        <v>0.99329999999999996</v>
      </c>
    </row>
    <row r="1835" spans="1:2" hidden="1" x14ac:dyDescent="0.35">
      <c r="A1835" s="426" t="s">
        <v>2365</v>
      </c>
      <c r="B1835" s="419">
        <v>0.98980000000000001</v>
      </c>
    </row>
    <row r="1836" spans="1:2" hidden="1" x14ac:dyDescent="0.35">
      <c r="A1836" s="426" t="s">
        <v>2366</v>
      </c>
      <c r="B1836" s="419">
        <v>1</v>
      </c>
    </row>
    <row r="1837" spans="1:2" hidden="1" x14ac:dyDescent="0.35">
      <c r="A1837" s="426" t="s">
        <v>2367</v>
      </c>
      <c r="B1837" s="419">
        <v>0.99890000000000001</v>
      </c>
    </row>
    <row r="1838" spans="1:2" hidden="1" x14ac:dyDescent="0.35">
      <c r="A1838" s="426" t="s">
        <v>2368</v>
      </c>
      <c r="B1838" s="419">
        <v>0.99609999999999999</v>
      </c>
    </row>
    <row r="1839" spans="1:2" hidden="1" x14ac:dyDescent="0.35">
      <c r="A1839" s="426" t="s">
        <v>2369</v>
      </c>
      <c r="B1839" s="419">
        <v>0.99890000000000001</v>
      </c>
    </row>
    <row r="1840" spans="1:2" hidden="1" x14ac:dyDescent="0.35">
      <c r="A1840" s="426" t="s">
        <v>2370</v>
      </c>
      <c r="B1840" s="419">
        <v>0.99850000000000005</v>
      </c>
    </row>
    <row r="1841" spans="1:2" hidden="1" x14ac:dyDescent="0.35">
      <c r="A1841" s="426" t="s">
        <v>2371</v>
      </c>
      <c r="B1841" s="419">
        <v>0.98629999999999995</v>
      </c>
    </row>
    <row r="1842" spans="1:2" hidden="1" x14ac:dyDescent="0.35">
      <c r="A1842" s="426" t="s">
        <v>2372</v>
      </c>
      <c r="B1842" s="419">
        <v>0.99970000000000003</v>
      </c>
    </row>
    <row r="1843" spans="1:2" hidden="1" x14ac:dyDescent="0.35">
      <c r="A1843" s="426" t="s">
        <v>2373</v>
      </c>
      <c r="B1843" s="419">
        <v>0.99880000000000002</v>
      </c>
    </row>
    <row r="1844" spans="1:2" hidden="1" x14ac:dyDescent="0.35">
      <c r="A1844" s="426" t="s">
        <v>2374</v>
      </c>
      <c r="B1844" s="419">
        <v>0.99519999999999997</v>
      </c>
    </row>
    <row r="1845" spans="1:2" hidden="1" x14ac:dyDescent="0.35">
      <c r="A1845" s="426" t="s">
        <v>2375</v>
      </c>
      <c r="B1845" s="419">
        <v>0.99709999999999999</v>
      </c>
    </row>
    <row r="1846" spans="1:2" hidden="1" x14ac:dyDescent="0.35">
      <c r="A1846" s="426" t="s">
        <v>2376</v>
      </c>
      <c r="B1846" s="419">
        <v>1</v>
      </c>
    </row>
    <row r="1847" spans="1:2" hidden="1" x14ac:dyDescent="0.35">
      <c r="A1847" s="426" t="s">
        <v>2377</v>
      </c>
      <c r="B1847" s="419">
        <v>0.99860000000000004</v>
      </c>
    </row>
    <row r="1848" spans="1:2" hidden="1" x14ac:dyDescent="0.35">
      <c r="A1848" s="426" t="s">
        <v>2378</v>
      </c>
      <c r="B1848" s="419">
        <v>0.99929999999999997</v>
      </c>
    </row>
    <row r="1849" spans="1:2" hidden="1" x14ac:dyDescent="0.35">
      <c r="A1849" s="426" t="s">
        <v>2379</v>
      </c>
      <c r="B1849" s="419">
        <v>0.99990000000000001</v>
      </c>
    </row>
    <row r="1850" spans="1:2" hidden="1" x14ac:dyDescent="0.35">
      <c r="A1850" s="426" t="s">
        <v>2380</v>
      </c>
      <c r="B1850" s="419">
        <v>0.99639999999999995</v>
      </c>
    </row>
    <row r="1851" spans="1:2" hidden="1" x14ac:dyDescent="0.35">
      <c r="A1851" s="426" t="s">
        <v>2381</v>
      </c>
      <c r="B1851" s="419">
        <v>0.99990000000000001</v>
      </c>
    </row>
    <row r="1852" spans="1:2" hidden="1" x14ac:dyDescent="0.35">
      <c r="A1852" s="426" t="s">
        <v>2382</v>
      </c>
      <c r="B1852" s="419">
        <v>1</v>
      </c>
    </row>
    <row r="1853" spans="1:2" hidden="1" x14ac:dyDescent="0.35">
      <c r="A1853" s="426" t="s">
        <v>2383</v>
      </c>
      <c r="B1853" s="419">
        <v>0.998</v>
      </c>
    </row>
    <row r="1854" spans="1:2" hidden="1" x14ac:dyDescent="0.35">
      <c r="A1854" s="426" t="s">
        <v>2384</v>
      </c>
      <c r="B1854" s="419">
        <v>0.99439999999999995</v>
      </c>
    </row>
    <row r="1855" spans="1:2" hidden="1" x14ac:dyDescent="0.35">
      <c r="A1855" s="426" t="s">
        <v>2385</v>
      </c>
      <c r="B1855" s="419">
        <v>0.99870000000000003</v>
      </c>
    </row>
    <row r="1856" spans="1:2" hidden="1" x14ac:dyDescent="0.35">
      <c r="A1856" s="426" t="s">
        <v>2386</v>
      </c>
      <c r="B1856" s="419">
        <v>1</v>
      </c>
    </row>
    <row r="1857" spans="1:2" hidden="1" x14ac:dyDescent="0.35">
      <c r="A1857" s="426" t="s">
        <v>2387</v>
      </c>
      <c r="B1857" s="419">
        <v>0.99199999999999999</v>
      </c>
    </row>
    <row r="1858" spans="1:2" hidden="1" x14ac:dyDescent="0.35">
      <c r="A1858" s="426" t="s">
        <v>2388</v>
      </c>
      <c r="B1858" s="419">
        <v>0.99980000000000002</v>
      </c>
    </row>
    <row r="1859" spans="1:2" hidden="1" x14ac:dyDescent="0.35">
      <c r="A1859" s="426" t="s">
        <v>2389</v>
      </c>
      <c r="B1859" s="419">
        <v>0.99770000000000003</v>
      </c>
    </row>
    <row r="1860" spans="1:2" hidden="1" x14ac:dyDescent="0.35">
      <c r="A1860" s="426" t="s">
        <v>2390</v>
      </c>
      <c r="B1860" s="419">
        <v>0.99739999999999995</v>
      </c>
    </row>
    <row r="1861" spans="1:2" hidden="1" x14ac:dyDescent="0.35">
      <c r="A1861" s="426" t="s">
        <v>2391</v>
      </c>
      <c r="B1861" s="419">
        <v>0.99890000000000001</v>
      </c>
    </row>
    <row r="1862" spans="1:2" hidden="1" x14ac:dyDescent="0.35">
      <c r="A1862" s="426" t="s">
        <v>2392</v>
      </c>
      <c r="B1862" s="419">
        <v>1</v>
      </c>
    </row>
    <row r="1863" spans="1:2" hidden="1" x14ac:dyDescent="0.35">
      <c r="A1863" s="426" t="s">
        <v>2393</v>
      </c>
      <c r="B1863" s="419">
        <v>0.999</v>
      </c>
    </row>
    <row r="1864" spans="1:2" hidden="1" x14ac:dyDescent="0.35">
      <c r="A1864" s="426" t="s">
        <v>2394</v>
      </c>
      <c r="B1864" s="419">
        <v>0.99690000000000001</v>
      </c>
    </row>
    <row r="1865" spans="1:2" hidden="1" x14ac:dyDescent="0.35">
      <c r="A1865" s="426" t="s">
        <v>2395</v>
      </c>
      <c r="B1865" s="419">
        <v>0.99980000000000002</v>
      </c>
    </row>
    <row r="1866" spans="1:2" hidden="1" x14ac:dyDescent="0.35">
      <c r="A1866" s="426" t="s">
        <v>2396</v>
      </c>
      <c r="B1866" s="419">
        <v>0.99770000000000003</v>
      </c>
    </row>
    <row r="1867" spans="1:2" hidden="1" x14ac:dyDescent="0.35">
      <c r="A1867" s="426" t="s">
        <v>2397</v>
      </c>
      <c r="B1867" s="419">
        <v>0.99380000000000002</v>
      </c>
    </row>
    <row r="1868" spans="1:2" hidden="1" x14ac:dyDescent="0.35">
      <c r="A1868" s="426" t="s">
        <v>2398</v>
      </c>
      <c r="B1868" s="419">
        <v>0.99770000000000003</v>
      </c>
    </row>
    <row r="1869" spans="1:2" hidden="1" x14ac:dyDescent="0.35">
      <c r="A1869" s="426" t="s">
        <v>2399</v>
      </c>
      <c r="B1869" s="419">
        <v>0.99990000000000001</v>
      </c>
    </row>
    <row r="1870" spans="1:2" hidden="1" x14ac:dyDescent="0.35">
      <c r="A1870" s="426" t="s">
        <v>2400</v>
      </c>
      <c r="B1870" s="419">
        <v>0.99939999999999996</v>
      </c>
    </row>
    <row r="1871" spans="1:2" hidden="1" x14ac:dyDescent="0.35">
      <c r="A1871" s="426" t="s">
        <v>2401</v>
      </c>
      <c r="B1871" s="419">
        <v>0.99670000000000003</v>
      </c>
    </row>
    <row r="1872" spans="1:2" hidden="1" x14ac:dyDescent="0.35">
      <c r="A1872" s="426" t="s">
        <v>2402</v>
      </c>
      <c r="B1872" s="419">
        <v>0.9909</v>
      </c>
    </row>
    <row r="1873" spans="1:2" hidden="1" x14ac:dyDescent="0.35">
      <c r="A1873" s="426" t="s">
        <v>2403</v>
      </c>
      <c r="B1873" s="419">
        <v>0.99480000000000002</v>
      </c>
    </row>
    <row r="1874" spans="1:2" hidden="1" x14ac:dyDescent="0.35">
      <c r="A1874" s="426" t="s">
        <v>2404</v>
      </c>
      <c r="B1874" s="419">
        <v>0.99970000000000003</v>
      </c>
    </row>
    <row r="1875" spans="1:2" hidden="1" x14ac:dyDescent="0.35">
      <c r="A1875" s="426" t="s">
        <v>2405</v>
      </c>
      <c r="B1875" s="419">
        <v>0.99970000000000003</v>
      </c>
    </row>
    <row r="1876" spans="1:2" hidden="1" x14ac:dyDescent="0.35">
      <c r="A1876" s="426" t="s">
        <v>2406</v>
      </c>
      <c r="B1876" s="419">
        <v>0.99850000000000005</v>
      </c>
    </row>
    <row r="1877" spans="1:2" hidden="1" x14ac:dyDescent="0.35">
      <c r="A1877" s="426" t="s">
        <v>2407</v>
      </c>
      <c r="B1877" s="419">
        <v>0.99890000000000001</v>
      </c>
    </row>
    <row r="1878" spans="1:2" hidden="1" x14ac:dyDescent="0.35">
      <c r="A1878" s="426" t="s">
        <v>2408</v>
      </c>
      <c r="B1878" s="419">
        <v>0.99219999999999997</v>
      </c>
    </row>
    <row r="1879" spans="1:2" hidden="1" x14ac:dyDescent="0.35">
      <c r="A1879" s="426" t="s">
        <v>2409</v>
      </c>
      <c r="B1879" s="419">
        <v>0.99270000000000003</v>
      </c>
    </row>
    <row r="1880" spans="1:2" hidden="1" x14ac:dyDescent="0.35">
      <c r="A1880" s="426" t="s">
        <v>2410</v>
      </c>
      <c r="B1880" s="419">
        <v>0.99609999999999999</v>
      </c>
    </row>
    <row r="1881" spans="1:2" hidden="1" x14ac:dyDescent="0.35">
      <c r="A1881" s="426" t="s">
        <v>2411</v>
      </c>
      <c r="B1881" s="419">
        <v>1</v>
      </c>
    </row>
    <row r="1882" spans="1:2" hidden="1" x14ac:dyDescent="0.35">
      <c r="A1882" s="426" t="s">
        <v>2412</v>
      </c>
      <c r="B1882" s="419">
        <v>0.99960000000000004</v>
      </c>
    </row>
    <row r="1883" spans="1:2" hidden="1" x14ac:dyDescent="0.35">
      <c r="A1883" s="426" t="s">
        <v>2413</v>
      </c>
      <c r="B1883" s="419">
        <v>0.99750000000000005</v>
      </c>
    </row>
    <row r="1884" spans="1:2" hidden="1" x14ac:dyDescent="0.35">
      <c r="A1884" s="426" t="s">
        <v>2414</v>
      </c>
      <c r="B1884" s="419">
        <v>0.99939999999999996</v>
      </c>
    </row>
    <row r="1885" spans="1:2" hidden="1" x14ac:dyDescent="0.35">
      <c r="A1885" s="426" t="s">
        <v>2415</v>
      </c>
      <c r="B1885" s="419">
        <v>0.99619999999999997</v>
      </c>
    </row>
    <row r="1886" spans="1:2" hidden="1" x14ac:dyDescent="0.35">
      <c r="A1886" s="426" t="s">
        <v>2416</v>
      </c>
      <c r="B1886" s="419">
        <v>1</v>
      </c>
    </row>
    <row r="1887" spans="1:2" hidden="1" x14ac:dyDescent="0.35">
      <c r="A1887" s="426" t="s">
        <v>2417</v>
      </c>
      <c r="B1887" s="419">
        <v>0.99760000000000004</v>
      </c>
    </row>
    <row r="1888" spans="1:2" hidden="1" x14ac:dyDescent="0.35">
      <c r="A1888" s="426" t="s">
        <v>2418</v>
      </c>
      <c r="B1888" s="419">
        <v>0.99780000000000002</v>
      </c>
    </row>
    <row r="1889" spans="1:2" hidden="1" x14ac:dyDescent="0.35">
      <c r="A1889" s="426" t="s">
        <v>2419</v>
      </c>
      <c r="B1889" s="419">
        <v>0.999</v>
      </c>
    </row>
    <row r="1890" spans="1:2" hidden="1" x14ac:dyDescent="0.35">
      <c r="A1890" s="426" t="s">
        <v>2420</v>
      </c>
      <c r="B1890" s="419">
        <v>0.99929999999999997</v>
      </c>
    </row>
    <row r="1891" spans="1:2" hidden="1" x14ac:dyDescent="0.35">
      <c r="A1891" s="426" t="s">
        <v>2421</v>
      </c>
      <c r="B1891" s="419">
        <v>0.99850000000000005</v>
      </c>
    </row>
    <row r="1892" spans="1:2" hidden="1" x14ac:dyDescent="0.35">
      <c r="A1892" s="426" t="s">
        <v>2422</v>
      </c>
      <c r="B1892" s="419">
        <v>0.98829999999999996</v>
      </c>
    </row>
    <row r="1893" spans="1:2" hidden="1" x14ac:dyDescent="0.35">
      <c r="A1893" s="426" t="s">
        <v>2423</v>
      </c>
      <c r="B1893" s="419">
        <v>0.99560000000000004</v>
      </c>
    </row>
    <row r="1894" spans="1:2" hidden="1" x14ac:dyDescent="0.35">
      <c r="A1894" s="426" t="s">
        <v>2424</v>
      </c>
      <c r="B1894" s="419">
        <v>0.99909999999999999</v>
      </c>
    </row>
    <row r="1895" spans="1:2" hidden="1" x14ac:dyDescent="0.35">
      <c r="A1895" s="426" t="s">
        <v>2425</v>
      </c>
      <c r="B1895" s="419">
        <v>0.99070000000000003</v>
      </c>
    </row>
    <row r="1896" spans="1:2" hidden="1" x14ac:dyDescent="0.35">
      <c r="A1896" s="426" t="s">
        <v>2426</v>
      </c>
      <c r="B1896" s="419">
        <v>0.99109999999999998</v>
      </c>
    </row>
    <row r="1897" spans="1:2" hidden="1" x14ac:dyDescent="0.35">
      <c r="A1897" s="426" t="s">
        <v>2427</v>
      </c>
      <c r="B1897" s="419">
        <v>0.99729999999999996</v>
      </c>
    </row>
    <row r="1898" spans="1:2" hidden="1" x14ac:dyDescent="0.35">
      <c r="A1898" s="426" t="s">
        <v>2428</v>
      </c>
      <c r="B1898" s="419">
        <v>0.99729999999999996</v>
      </c>
    </row>
    <row r="1899" spans="1:2" hidden="1" x14ac:dyDescent="0.35">
      <c r="A1899" s="426" t="s">
        <v>2429</v>
      </c>
      <c r="B1899" s="419">
        <v>0.99680000000000002</v>
      </c>
    </row>
    <row r="1900" spans="1:2" hidden="1" x14ac:dyDescent="0.35">
      <c r="A1900" s="426" t="s">
        <v>2430</v>
      </c>
      <c r="B1900" s="419">
        <v>0.99539999999999995</v>
      </c>
    </row>
    <row r="1901" spans="1:2" hidden="1" x14ac:dyDescent="0.35">
      <c r="A1901" s="426" t="s">
        <v>2431</v>
      </c>
      <c r="B1901" s="419">
        <v>0.99960000000000004</v>
      </c>
    </row>
    <row r="1902" spans="1:2" hidden="1" x14ac:dyDescent="0.35">
      <c r="A1902" s="426" t="s">
        <v>2432</v>
      </c>
      <c r="B1902" s="419">
        <v>1</v>
      </c>
    </row>
    <row r="1903" spans="1:2" hidden="1" x14ac:dyDescent="0.35">
      <c r="A1903" s="426" t="s">
        <v>2433</v>
      </c>
      <c r="B1903" s="419">
        <v>0.999</v>
      </c>
    </row>
    <row r="1904" spans="1:2" hidden="1" x14ac:dyDescent="0.35">
      <c r="A1904" s="426" t="s">
        <v>2434</v>
      </c>
      <c r="B1904" s="419">
        <v>0.99929999999999997</v>
      </c>
    </row>
    <row r="1905" spans="1:2" hidden="1" x14ac:dyDescent="0.35">
      <c r="A1905" s="426" t="s">
        <v>2435</v>
      </c>
      <c r="B1905" s="419">
        <v>0.99960000000000004</v>
      </c>
    </row>
    <row r="1906" spans="1:2" hidden="1" x14ac:dyDescent="0.35">
      <c r="A1906" s="426" t="s">
        <v>2436</v>
      </c>
      <c r="B1906" s="419">
        <v>0.99929999999999997</v>
      </c>
    </row>
    <row r="1907" spans="1:2" hidden="1" x14ac:dyDescent="0.35">
      <c r="A1907" s="426" t="s">
        <v>2437</v>
      </c>
      <c r="B1907" s="419">
        <v>0.99909999999999999</v>
      </c>
    </row>
    <row r="1908" spans="1:2" hidden="1" x14ac:dyDescent="0.35">
      <c r="A1908" s="426" t="s">
        <v>2438</v>
      </c>
      <c r="B1908" s="419">
        <v>0.99619999999999997</v>
      </c>
    </row>
    <row r="1909" spans="1:2" hidden="1" x14ac:dyDescent="0.35">
      <c r="A1909" s="426" t="s">
        <v>2439</v>
      </c>
      <c r="B1909" s="419">
        <v>0.99550000000000005</v>
      </c>
    </row>
    <row r="1910" spans="1:2" hidden="1" x14ac:dyDescent="0.35">
      <c r="A1910" s="426" t="s">
        <v>2440</v>
      </c>
      <c r="B1910" s="419">
        <v>0.99890000000000001</v>
      </c>
    </row>
    <row r="1911" spans="1:2" hidden="1" x14ac:dyDescent="0.35">
      <c r="A1911" s="426" t="s">
        <v>2441</v>
      </c>
      <c r="B1911" s="419">
        <v>1</v>
      </c>
    </row>
    <row r="1912" spans="1:2" hidden="1" x14ac:dyDescent="0.35">
      <c r="A1912" s="426" t="s">
        <v>2442</v>
      </c>
      <c r="B1912" s="419">
        <v>0.99619999999999997</v>
      </c>
    </row>
    <row r="1913" spans="1:2" hidden="1" x14ac:dyDescent="0.35">
      <c r="A1913" s="426" t="s">
        <v>2443</v>
      </c>
      <c r="B1913" s="419">
        <v>0.98939999999999995</v>
      </c>
    </row>
    <row r="1914" spans="1:2" hidden="1" x14ac:dyDescent="0.35">
      <c r="A1914" s="426" t="s">
        <v>2444</v>
      </c>
      <c r="B1914" s="419">
        <v>0.98399999999999999</v>
      </c>
    </row>
    <row r="1915" spans="1:2" hidden="1" x14ac:dyDescent="0.35">
      <c r="A1915" s="426" t="s">
        <v>2445</v>
      </c>
      <c r="B1915" s="419">
        <v>0.99380000000000002</v>
      </c>
    </row>
    <row r="1916" spans="1:2" hidden="1" x14ac:dyDescent="0.35">
      <c r="A1916" s="426" t="s">
        <v>2446</v>
      </c>
      <c r="B1916" s="419">
        <v>0.99719999999999998</v>
      </c>
    </row>
    <row r="1917" spans="1:2" hidden="1" x14ac:dyDescent="0.35">
      <c r="A1917" s="426" t="s">
        <v>2447</v>
      </c>
      <c r="B1917" s="419">
        <v>0.99560000000000004</v>
      </c>
    </row>
    <row r="1918" spans="1:2" hidden="1" x14ac:dyDescent="0.35">
      <c r="A1918" s="426" t="s">
        <v>2448</v>
      </c>
      <c r="B1918" s="419">
        <v>0.99970000000000003</v>
      </c>
    </row>
    <row r="1919" spans="1:2" hidden="1" x14ac:dyDescent="0.35">
      <c r="A1919" s="426" t="s">
        <v>2449</v>
      </c>
      <c r="B1919" s="419">
        <v>0.99890000000000001</v>
      </c>
    </row>
    <row r="1920" spans="1:2" hidden="1" x14ac:dyDescent="0.35">
      <c r="A1920" s="426" t="s">
        <v>2450</v>
      </c>
      <c r="B1920" s="419">
        <v>0.99690000000000001</v>
      </c>
    </row>
    <row r="1921" spans="1:2" hidden="1" x14ac:dyDescent="0.35">
      <c r="A1921" s="426" t="s">
        <v>2451</v>
      </c>
      <c r="B1921" s="419">
        <v>0.99029999999999996</v>
      </c>
    </row>
    <row r="1922" spans="1:2" hidden="1" x14ac:dyDescent="0.35">
      <c r="A1922" s="426" t="s">
        <v>2452</v>
      </c>
      <c r="B1922" s="419">
        <v>0.999</v>
      </c>
    </row>
    <row r="1923" spans="1:2" hidden="1" x14ac:dyDescent="0.35">
      <c r="A1923" s="426" t="s">
        <v>2453</v>
      </c>
      <c r="B1923" s="419">
        <v>0.99399999999999999</v>
      </c>
    </row>
    <row r="1924" spans="1:2" hidden="1" x14ac:dyDescent="0.35">
      <c r="A1924" s="426" t="s">
        <v>2454</v>
      </c>
      <c r="B1924" s="419">
        <v>0.98799999999999999</v>
      </c>
    </row>
    <row r="1925" spans="1:2" hidden="1" x14ac:dyDescent="0.35">
      <c r="A1925" s="426" t="s">
        <v>2455</v>
      </c>
      <c r="B1925" s="419">
        <v>0.99650000000000005</v>
      </c>
    </row>
    <row r="1926" spans="1:2" hidden="1" x14ac:dyDescent="0.35">
      <c r="A1926" s="426" t="s">
        <v>2456</v>
      </c>
      <c r="B1926" s="419">
        <v>1</v>
      </c>
    </row>
    <row r="1927" spans="1:2" hidden="1" x14ac:dyDescent="0.35">
      <c r="A1927" s="426" t="s">
        <v>2457</v>
      </c>
      <c r="B1927" s="419">
        <v>0.997</v>
      </c>
    </row>
    <row r="1928" spans="1:2" hidden="1" x14ac:dyDescent="0.35">
      <c r="A1928" s="426" t="s">
        <v>2458</v>
      </c>
      <c r="B1928" s="419">
        <v>0.99829999999999997</v>
      </c>
    </row>
    <row r="1929" spans="1:2" hidden="1" x14ac:dyDescent="0.35">
      <c r="A1929" s="426" t="s">
        <v>2459</v>
      </c>
      <c r="B1929" s="419">
        <v>1</v>
      </c>
    </row>
    <row r="1930" spans="1:2" hidden="1" x14ac:dyDescent="0.35">
      <c r="A1930" s="426" t="s">
        <v>2460</v>
      </c>
      <c r="B1930" s="419">
        <v>0.99860000000000004</v>
      </c>
    </row>
    <row r="1931" spans="1:2" hidden="1" x14ac:dyDescent="0.35">
      <c r="A1931" s="426" t="s">
        <v>2461</v>
      </c>
      <c r="B1931" s="419">
        <v>0.99439999999999995</v>
      </c>
    </row>
    <row r="1932" spans="1:2" hidden="1" x14ac:dyDescent="0.35">
      <c r="A1932" s="426" t="s">
        <v>2462</v>
      </c>
      <c r="B1932" s="419">
        <v>0.999</v>
      </c>
    </row>
    <row r="1933" spans="1:2" hidden="1" x14ac:dyDescent="0.35">
      <c r="A1933" s="426" t="s">
        <v>2463</v>
      </c>
      <c r="B1933" s="419">
        <v>0.99550000000000005</v>
      </c>
    </row>
    <row r="1934" spans="1:2" hidden="1" x14ac:dyDescent="0.35">
      <c r="A1934" s="426" t="s">
        <v>2464</v>
      </c>
      <c r="B1934" s="419">
        <v>0.99909999999999999</v>
      </c>
    </row>
    <row r="1935" spans="1:2" hidden="1" x14ac:dyDescent="0.35">
      <c r="A1935" s="426" t="s">
        <v>2465</v>
      </c>
      <c r="B1935" s="419">
        <v>0.995</v>
      </c>
    </row>
    <row r="1936" spans="1:2" hidden="1" x14ac:dyDescent="0.35">
      <c r="A1936" s="426" t="s">
        <v>2466</v>
      </c>
      <c r="B1936" s="419">
        <v>0.997</v>
      </c>
    </row>
    <row r="1937" spans="1:2" hidden="1" x14ac:dyDescent="0.35">
      <c r="A1937" s="426" t="s">
        <v>2467</v>
      </c>
      <c r="B1937" s="419">
        <v>0.99939999999999996</v>
      </c>
    </row>
    <row r="1938" spans="1:2" hidden="1" x14ac:dyDescent="0.35">
      <c r="A1938" s="426" t="s">
        <v>2468</v>
      </c>
      <c r="B1938" s="419">
        <v>0.99909999999999999</v>
      </c>
    </row>
    <row r="1939" spans="1:2" hidden="1" x14ac:dyDescent="0.35">
      <c r="A1939" s="426" t="s">
        <v>2469</v>
      </c>
      <c r="B1939" s="419">
        <v>0.99470000000000003</v>
      </c>
    </row>
    <row r="1940" spans="1:2" hidden="1" x14ac:dyDescent="0.35">
      <c r="A1940" s="426" t="s">
        <v>2470</v>
      </c>
      <c r="B1940" s="419">
        <v>0.99870000000000003</v>
      </c>
    </row>
    <row r="1941" spans="1:2" hidden="1" x14ac:dyDescent="0.35">
      <c r="A1941" s="426" t="s">
        <v>2471</v>
      </c>
      <c r="B1941" s="419">
        <v>0.99980000000000002</v>
      </c>
    </row>
    <row r="1942" spans="1:2" hidden="1" x14ac:dyDescent="0.35">
      <c r="A1942" s="426" t="s">
        <v>2472</v>
      </c>
      <c r="B1942" s="419">
        <v>1</v>
      </c>
    </row>
    <row r="1943" spans="1:2" hidden="1" x14ac:dyDescent="0.35">
      <c r="A1943" s="426" t="s">
        <v>2473</v>
      </c>
      <c r="B1943" s="419">
        <v>0.98829999999999996</v>
      </c>
    </row>
    <row r="1944" spans="1:2" hidden="1" x14ac:dyDescent="0.35">
      <c r="A1944" s="426" t="s">
        <v>2474</v>
      </c>
      <c r="B1944" s="419">
        <v>1</v>
      </c>
    </row>
    <row r="1945" spans="1:2" hidden="1" x14ac:dyDescent="0.35">
      <c r="A1945" s="426" t="s">
        <v>2475</v>
      </c>
      <c r="B1945" s="419">
        <v>0.99199999999999999</v>
      </c>
    </row>
    <row r="1946" spans="1:2" hidden="1" x14ac:dyDescent="0.35">
      <c r="A1946" s="426" t="s">
        <v>2476</v>
      </c>
      <c r="B1946" s="419">
        <v>0.999</v>
      </c>
    </row>
    <row r="1947" spans="1:2" hidden="1" x14ac:dyDescent="0.35">
      <c r="A1947" s="426" t="s">
        <v>2477</v>
      </c>
      <c r="B1947" s="419">
        <v>0.97260000000000002</v>
      </c>
    </row>
    <row r="1948" spans="1:2" hidden="1" x14ac:dyDescent="0.35">
      <c r="A1948" s="426" t="s">
        <v>2478</v>
      </c>
      <c r="B1948" s="419">
        <v>0.99819999999999998</v>
      </c>
    </row>
    <row r="1949" spans="1:2" hidden="1" x14ac:dyDescent="0.35">
      <c r="A1949" s="426" t="s">
        <v>2479</v>
      </c>
      <c r="B1949" s="419">
        <v>0.98299999999999998</v>
      </c>
    </row>
    <row r="1950" spans="1:2" hidden="1" x14ac:dyDescent="0.35">
      <c r="A1950" s="426" t="s">
        <v>2480</v>
      </c>
      <c r="B1950" s="419">
        <v>0.99380000000000002</v>
      </c>
    </row>
    <row r="1951" spans="1:2" hidden="1" x14ac:dyDescent="0.35">
      <c r="A1951" s="426" t="s">
        <v>2481</v>
      </c>
      <c r="B1951" s="419">
        <v>0.99580000000000002</v>
      </c>
    </row>
    <row r="1952" spans="1:2" hidden="1" x14ac:dyDescent="0.35">
      <c r="A1952" s="426" t="s">
        <v>2482</v>
      </c>
      <c r="B1952" s="419">
        <v>0.99980000000000002</v>
      </c>
    </row>
    <row r="1953" spans="1:2" hidden="1" x14ac:dyDescent="0.35">
      <c r="A1953" s="426" t="s">
        <v>2483</v>
      </c>
      <c r="B1953" s="419">
        <v>0.99729999999999996</v>
      </c>
    </row>
    <row r="1954" spans="1:2" hidden="1" x14ac:dyDescent="0.35">
      <c r="A1954" s="426" t="s">
        <v>2484</v>
      </c>
      <c r="B1954" s="419">
        <v>0.99990000000000001</v>
      </c>
    </row>
    <row r="1955" spans="1:2" hidden="1" x14ac:dyDescent="0.35">
      <c r="A1955" s="426" t="s">
        <v>2485</v>
      </c>
      <c r="B1955" s="419">
        <v>0.99590000000000001</v>
      </c>
    </row>
    <row r="1956" spans="1:2" hidden="1" x14ac:dyDescent="0.35">
      <c r="A1956" s="426" t="s">
        <v>2486</v>
      </c>
      <c r="B1956" s="419">
        <v>0.99099999999999999</v>
      </c>
    </row>
    <row r="1957" spans="1:2" hidden="1" x14ac:dyDescent="0.35">
      <c r="A1957" s="426" t="s">
        <v>2487</v>
      </c>
      <c r="B1957" s="419">
        <v>0.99790000000000001</v>
      </c>
    </row>
    <row r="1958" spans="1:2" hidden="1" x14ac:dyDescent="0.35">
      <c r="A1958" s="426" t="s">
        <v>2488</v>
      </c>
      <c r="B1958" s="419">
        <v>0.99729999999999996</v>
      </c>
    </row>
    <row r="1959" spans="1:2" hidden="1" x14ac:dyDescent="0.35">
      <c r="A1959" s="426" t="s">
        <v>2489</v>
      </c>
      <c r="B1959" s="419">
        <v>0.98950000000000005</v>
      </c>
    </row>
    <row r="1960" spans="1:2" hidden="1" x14ac:dyDescent="0.35">
      <c r="A1960" s="426" t="s">
        <v>2490</v>
      </c>
      <c r="B1960" s="419">
        <v>0.99660000000000004</v>
      </c>
    </row>
    <row r="1961" spans="1:2" hidden="1" x14ac:dyDescent="0.35">
      <c r="A1961" s="426" t="s">
        <v>2491</v>
      </c>
      <c r="B1961" s="419">
        <v>1</v>
      </c>
    </row>
    <row r="1962" spans="1:2" hidden="1" x14ac:dyDescent="0.35">
      <c r="A1962" s="426" t="s">
        <v>2492</v>
      </c>
      <c r="B1962" s="419">
        <v>0.99580000000000002</v>
      </c>
    </row>
    <row r="1963" spans="1:2" hidden="1" x14ac:dyDescent="0.35">
      <c r="A1963" s="426" t="s">
        <v>2493</v>
      </c>
      <c r="B1963" s="419">
        <v>0.99970000000000003</v>
      </c>
    </row>
    <row r="1964" spans="1:2" hidden="1" x14ac:dyDescent="0.35">
      <c r="A1964" s="426" t="s">
        <v>2494</v>
      </c>
      <c r="B1964" s="419">
        <v>0.98699999999999999</v>
      </c>
    </row>
    <row r="1965" spans="1:2" hidden="1" x14ac:dyDescent="0.35">
      <c r="A1965" s="426" t="s">
        <v>2495</v>
      </c>
      <c r="B1965" s="419">
        <v>0.99619999999999997</v>
      </c>
    </row>
    <row r="1966" spans="1:2" hidden="1" x14ac:dyDescent="0.35">
      <c r="A1966" s="426" t="s">
        <v>2496</v>
      </c>
      <c r="B1966" s="419">
        <v>0.99770000000000003</v>
      </c>
    </row>
    <row r="1967" spans="1:2" hidden="1" x14ac:dyDescent="0.35">
      <c r="A1967" s="426" t="s">
        <v>2497</v>
      </c>
      <c r="B1967" s="419">
        <v>0.997</v>
      </c>
    </row>
    <row r="1968" spans="1:2" hidden="1" x14ac:dyDescent="0.35">
      <c r="A1968" s="426" t="s">
        <v>2498</v>
      </c>
      <c r="B1968" s="419">
        <v>0.99360000000000004</v>
      </c>
    </row>
    <row r="1969" spans="1:2" hidden="1" x14ac:dyDescent="0.35">
      <c r="A1969" s="426" t="s">
        <v>2499</v>
      </c>
      <c r="B1969" s="419">
        <v>1</v>
      </c>
    </row>
    <row r="1970" spans="1:2" hidden="1" x14ac:dyDescent="0.35">
      <c r="A1970" s="426" t="s">
        <v>2500</v>
      </c>
      <c r="B1970" s="419">
        <v>0.99660000000000004</v>
      </c>
    </row>
    <row r="1971" spans="1:2" hidden="1" x14ac:dyDescent="0.35">
      <c r="A1971" s="426" t="s">
        <v>2501</v>
      </c>
      <c r="B1971" s="419">
        <v>0.99950000000000006</v>
      </c>
    </row>
    <row r="1972" spans="1:2" hidden="1" x14ac:dyDescent="0.35">
      <c r="A1972" s="426" t="s">
        <v>2502</v>
      </c>
      <c r="B1972" s="419">
        <v>0.99619999999999997</v>
      </c>
    </row>
    <row r="1973" spans="1:2" hidden="1" x14ac:dyDescent="0.35">
      <c r="A1973" s="426" t="s">
        <v>2503</v>
      </c>
      <c r="B1973" s="419">
        <v>0.98660000000000003</v>
      </c>
    </row>
    <row r="1974" spans="1:2" hidden="1" x14ac:dyDescent="0.35">
      <c r="A1974" s="426" t="s">
        <v>2504</v>
      </c>
      <c r="B1974" s="419">
        <v>0.998</v>
      </c>
    </row>
    <row r="1975" spans="1:2" hidden="1" x14ac:dyDescent="0.35">
      <c r="A1975" s="426" t="s">
        <v>2505</v>
      </c>
      <c r="B1975" s="419">
        <v>1</v>
      </c>
    </row>
    <row r="1976" spans="1:2" hidden="1" x14ac:dyDescent="0.35">
      <c r="A1976" s="426" t="s">
        <v>2506</v>
      </c>
      <c r="B1976" s="419">
        <v>0.99670000000000003</v>
      </c>
    </row>
    <row r="1977" spans="1:2" hidden="1" x14ac:dyDescent="0.35">
      <c r="A1977" s="426" t="s">
        <v>2507</v>
      </c>
      <c r="B1977" s="419">
        <v>0.998</v>
      </c>
    </row>
    <row r="1978" spans="1:2" hidden="1" x14ac:dyDescent="0.35">
      <c r="A1978" s="426" t="s">
        <v>2508</v>
      </c>
      <c r="B1978" s="419">
        <v>0.99970000000000003</v>
      </c>
    </row>
    <row r="1979" spans="1:2" hidden="1" x14ac:dyDescent="0.35">
      <c r="A1979" s="426" t="s">
        <v>2509</v>
      </c>
      <c r="B1979" s="419">
        <v>1</v>
      </c>
    </row>
    <row r="1980" spans="1:2" hidden="1" x14ac:dyDescent="0.35">
      <c r="A1980" s="426" t="s">
        <v>2510</v>
      </c>
      <c r="B1980" s="419">
        <v>0.9879</v>
      </c>
    </row>
    <row r="1981" spans="1:2" hidden="1" x14ac:dyDescent="0.35">
      <c r="A1981" s="426" t="s">
        <v>2511</v>
      </c>
      <c r="B1981" s="419">
        <v>0.97729999999999995</v>
      </c>
    </row>
    <row r="1982" spans="1:2" hidden="1" x14ac:dyDescent="0.35">
      <c r="A1982" s="426" t="s">
        <v>2512</v>
      </c>
      <c r="B1982" s="419">
        <v>0.99229999999999996</v>
      </c>
    </row>
    <row r="1983" spans="1:2" hidden="1" x14ac:dyDescent="0.35">
      <c r="A1983" s="426" t="s">
        <v>2513</v>
      </c>
      <c r="B1983" s="419">
        <v>1</v>
      </c>
    </row>
    <row r="1984" spans="1:2" hidden="1" x14ac:dyDescent="0.35">
      <c r="A1984" s="426" t="s">
        <v>2514</v>
      </c>
      <c r="B1984" s="419">
        <v>0.97</v>
      </c>
    </row>
    <row r="1985" spans="1:2" hidden="1" x14ac:dyDescent="0.35">
      <c r="A1985" s="426" t="s">
        <v>2515</v>
      </c>
      <c r="B1985" s="419">
        <v>1</v>
      </c>
    </row>
    <row r="1986" spans="1:2" hidden="1" x14ac:dyDescent="0.35">
      <c r="A1986" s="426" t="s">
        <v>2516</v>
      </c>
      <c r="B1986" s="419">
        <v>0.996</v>
      </c>
    </row>
    <row r="1987" spans="1:2" hidden="1" x14ac:dyDescent="0.35">
      <c r="A1987" s="426" t="s">
        <v>2517</v>
      </c>
      <c r="B1987" s="419">
        <v>0.99639999999999995</v>
      </c>
    </row>
    <row r="1988" spans="1:2" hidden="1" x14ac:dyDescent="0.35">
      <c r="A1988" s="426" t="s">
        <v>2518</v>
      </c>
      <c r="B1988" s="419">
        <v>0.99809999999999999</v>
      </c>
    </row>
    <row r="1989" spans="1:2" hidden="1" x14ac:dyDescent="0.35">
      <c r="A1989" s="426" t="s">
        <v>2519</v>
      </c>
      <c r="B1989" s="419">
        <v>0.99980000000000002</v>
      </c>
    </row>
    <row r="1990" spans="1:2" hidden="1" x14ac:dyDescent="0.35">
      <c r="A1990" s="426" t="s">
        <v>2520</v>
      </c>
      <c r="B1990" s="419">
        <v>1</v>
      </c>
    </row>
    <row r="1991" spans="1:2" hidden="1" x14ac:dyDescent="0.35">
      <c r="A1991" s="426" t="s">
        <v>2521</v>
      </c>
      <c r="B1991" s="419">
        <v>0.99909999999999999</v>
      </c>
    </row>
    <row r="1992" spans="1:2" hidden="1" x14ac:dyDescent="0.35">
      <c r="A1992" s="426" t="s">
        <v>2522</v>
      </c>
      <c r="B1992" s="419">
        <v>0.99939999999999996</v>
      </c>
    </row>
    <row r="1993" spans="1:2" hidden="1" x14ac:dyDescent="0.35">
      <c r="A1993" s="426" t="s">
        <v>2523</v>
      </c>
      <c r="B1993" s="419">
        <v>0.99580000000000002</v>
      </c>
    </row>
    <row r="1994" spans="1:2" hidden="1" x14ac:dyDescent="0.35">
      <c r="A1994" s="426" t="s">
        <v>2524</v>
      </c>
      <c r="B1994" s="419">
        <v>0.99890000000000001</v>
      </c>
    </row>
    <row r="1995" spans="1:2" hidden="1" x14ac:dyDescent="0.35">
      <c r="A1995" s="426" t="s">
        <v>2525</v>
      </c>
      <c r="B1995" s="419">
        <v>0.99960000000000004</v>
      </c>
    </row>
    <row r="1996" spans="1:2" hidden="1" x14ac:dyDescent="0.35">
      <c r="A1996" s="426" t="s">
        <v>2526</v>
      </c>
      <c r="B1996" s="419">
        <v>0.99819999999999998</v>
      </c>
    </row>
    <row r="1997" spans="1:2" hidden="1" x14ac:dyDescent="0.35">
      <c r="A1997" s="426" t="s">
        <v>2527</v>
      </c>
      <c r="B1997" s="419">
        <v>0.99509999999999998</v>
      </c>
    </row>
    <row r="1998" spans="1:2" hidden="1" x14ac:dyDescent="0.35">
      <c r="A1998" s="426" t="s">
        <v>2528</v>
      </c>
      <c r="B1998" s="419">
        <v>0.99399999999999999</v>
      </c>
    </row>
    <row r="1999" spans="1:2" hidden="1" x14ac:dyDescent="0.35">
      <c r="A1999" s="426" t="s">
        <v>2529</v>
      </c>
      <c r="B1999" s="419">
        <v>1</v>
      </c>
    </row>
    <row r="2000" spans="1:2" hidden="1" x14ac:dyDescent="0.35">
      <c r="A2000" s="426" t="s">
        <v>2530</v>
      </c>
      <c r="B2000" s="419">
        <v>0.99539999999999995</v>
      </c>
    </row>
    <row r="2001" spans="1:2" hidden="1" x14ac:dyDescent="0.35">
      <c r="A2001" s="426" t="s">
        <v>2531</v>
      </c>
      <c r="B2001" s="419">
        <v>0.999</v>
      </c>
    </row>
    <row r="2002" spans="1:2" hidden="1" x14ac:dyDescent="0.35">
      <c r="A2002" s="426" t="s">
        <v>2532</v>
      </c>
      <c r="B2002" s="419">
        <v>0.99850000000000005</v>
      </c>
    </row>
    <row r="2003" spans="1:2" hidden="1" x14ac:dyDescent="0.35">
      <c r="A2003" s="426" t="s">
        <v>2533</v>
      </c>
      <c r="B2003" s="419">
        <v>0.99939999999999996</v>
      </c>
    </row>
    <row r="2004" spans="1:2" hidden="1" x14ac:dyDescent="0.35">
      <c r="A2004" s="426" t="s">
        <v>2534</v>
      </c>
      <c r="B2004" s="419">
        <v>0.99250000000000005</v>
      </c>
    </row>
    <row r="2005" spans="1:2" hidden="1" x14ac:dyDescent="0.35">
      <c r="A2005" s="426" t="s">
        <v>2535</v>
      </c>
      <c r="B2005" s="419">
        <v>0.99880000000000002</v>
      </c>
    </row>
    <row r="2006" spans="1:2" hidden="1" x14ac:dyDescent="0.35">
      <c r="A2006" s="426" t="s">
        <v>2536</v>
      </c>
      <c r="B2006" s="419">
        <v>0.99590000000000001</v>
      </c>
    </row>
    <row r="2007" spans="1:2" hidden="1" x14ac:dyDescent="0.35">
      <c r="A2007" s="426" t="s">
        <v>2537</v>
      </c>
      <c r="B2007" s="419">
        <v>0.99509999999999998</v>
      </c>
    </row>
    <row r="2008" spans="1:2" hidden="1" x14ac:dyDescent="0.35">
      <c r="A2008" s="426" t="s">
        <v>2538</v>
      </c>
      <c r="B2008" s="419">
        <v>0.99929999999999997</v>
      </c>
    </row>
    <row r="2009" spans="1:2" hidden="1" x14ac:dyDescent="0.35">
      <c r="A2009" s="426" t="s">
        <v>2539</v>
      </c>
      <c r="B2009" s="419">
        <v>0.99609999999999999</v>
      </c>
    </row>
    <row r="2010" spans="1:2" hidden="1" x14ac:dyDescent="0.35">
      <c r="A2010" s="426" t="s">
        <v>2540</v>
      </c>
      <c r="B2010" s="419">
        <v>0.99509999999999998</v>
      </c>
    </row>
    <row r="2011" spans="1:2" hidden="1" x14ac:dyDescent="0.35">
      <c r="A2011" s="426" t="s">
        <v>2541</v>
      </c>
      <c r="B2011" s="419">
        <v>0.99329999999999996</v>
      </c>
    </row>
    <row r="2012" spans="1:2" hidden="1" x14ac:dyDescent="0.35">
      <c r="A2012" s="426" t="s">
        <v>2542</v>
      </c>
      <c r="B2012" s="419">
        <v>0.99470000000000003</v>
      </c>
    </row>
    <row r="2013" spans="1:2" hidden="1" x14ac:dyDescent="0.35">
      <c r="A2013" s="426" t="s">
        <v>2543</v>
      </c>
      <c r="B2013" s="419">
        <v>0.99739999999999995</v>
      </c>
    </row>
    <row r="2014" spans="1:2" hidden="1" x14ac:dyDescent="0.35">
      <c r="A2014" s="426" t="s">
        <v>2544</v>
      </c>
      <c r="B2014" s="419">
        <v>0.97799999999999998</v>
      </c>
    </row>
    <row r="2015" spans="1:2" hidden="1" x14ac:dyDescent="0.35">
      <c r="A2015" s="426" t="s">
        <v>2545</v>
      </c>
      <c r="B2015" s="419">
        <v>0.99570000000000003</v>
      </c>
    </row>
    <row r="2016" spans="1:2" hidden="1" x14ac:dyDescent="0.35">
      <c r="A2016" s="426" t="s">
        <v>2546</v>
      </c>
      <c r="B2016" s="419">
        <v>0.99790000000000001</v>
      </c>
    </row>
    <row r="2017" spans="1:2" hidden="1" x14ac:dyDescent="0.35">
      <c r="A2017" s="426" t="s">
        <v>2547</v>
      </c>
      <c r="B2017" s="419">
        <v>0.99580000000000002</v>
      </c>
    </row>
    <row r="2018" spans="1:2" hidden="1" x14ac:dyDescent="0.35">
      <c r="A2018" s="426" t="s">
        <v>2548</v>
      </c>
      <c r="B2018" s="419">
        <v>0.99709999999999999</v>
      </c>
    </row>
    <row r="2019" spans="1:2" hidden="1" x14ac:dyDescent="0.35">
      <c r="A2019" s="426" t="s">
        <v>2549</v>
      </c>
      <c r="B2019" s="419">
        <v>0.98980000000000001</v>
      </c>
    </row>
    <row r="2020" spans="1:2" hidden="1" x14ac:dyDescent="0.35">
      <c r="A2020" s="426" t="s">
        <v>2550</v>
      </c>
      <c r="B2020" s="419">
        <v>0.99919999999999998</v>
      </c>
    </row>
    <row r="2021" spans="1:2" hidden="1" x14ac:dyDescent="0.35">
      <c r="A2021" s="426" t="s">
        <v>2551</v>
      </c>
      <c r="B2021" s="419">
        <v>0.99519999999999997</v>
      </c>
    </row>
    <row r="2022" spans="1:2" hidden="1" x14ac:dyDescent="0.35">
      <c r="A2022" s="426" t="s">
        <v>2552</v>
      </c>
      <c r="B2022" s="419">
        <v>0.99839999999999995</v>
      </c>
    </row>
    <row r="2023" spans="1:2" hidden="1" x14ac:dyDescent="0.35">
      <c r="A2023" s="426" t="s">
        <v>2553</v>
      </c>
      <c r="B2023" s="419">
        <v>0.99019999999999997</v>
      </c>
    </row>
    <row r="2024" spans="1:2" hidden="1" x14ac:dyDescent="0.35">
      <c r="A2024" s="426" t="s">
        <v>2554</v>
      </c>
      <c r="B2024" s="419">
        <v>0.99239999999999995</v>
      </c>
    </row>
    <row r="2025" spans="1:2" hidden="1" x14ac:dyDescent="0.35">
      <c r="A2025" s="426" t="s">
        <v>2555</v>
      </c>
      <c r="B2025" s="419">
        <v>0.99829999999999997</v>
      </c>
    </row>
    <row r="2026" spans="1:2" hidden="1" x14ac:dyDescent="0.35">
      <c r="A2026" s="426" t="s">
        <v>2556</v>
      </c>
      <c r="B2026" s="419">
        <v>0.99960000000000004</v>
      </c>
    </row>
    <row r="2027" spans="1:2" hidden="1" x14ac:dyDescent="0.35">
      <c r="A2027" s="426" t="s">
        <v>2557</v>
      </c>
      <c r="B2027" s="419">
        <v>0.99580000000000002</v>
      </c>
    </row>
    <row r="2028" spans="1:2" hidden="1" x14ac:dyDescent="0.35">
      <c r="A2028" s="426" t="s">
        <v>2558</v>
      </c>
      <c r="B2028" s="419">
        <v>0.99790000000000001</v>
      </c>
    </row>
    <row r="2029" spans="1:2" hidden="1" x14ac:dyDescent="0.35">
      <c r="A2029" s="426" t="s">
        <v>2559</v>
      </c>
      <c r="B2029" s="419">
        <v>0.99509999999999998</v>
      </c>
    </row>
    <row r="2030" spans="1:2" hidden="1" x14ac:dyDescent="0.35">
      <c r="A2030" s="426" t="s">
        <v>2560</v>
      </c>
      <c r="B2030" s="419">
        <v>0.99790000000000001</v>
      </c>
    </row>
    <row r="2031" spans="1:2" hidden="1" x14ac:dyDescent="0.35">
      <c r="A2031" s="426" t="s">
        <v>2561</v>
      </c>
      <c r="B2031" s="419">
        <v>0.99880000000000002</v>
      </c>
    </row>
    <row r="2032" spans="1:2" hidden="1" x14ac:dyDescent="0.35">
      <c r="A2032" s="426" t="s">
        <v>2562</v>
      </c>
      <c r="B2032" s="419">
        <v>1</v>
      </c>
    </row>
    <row r="2033" spans="1:2" hidden="1" x14ac:dyDescent="0.35">
      <c r="A2033" s="426" t="s">
        <v>2563</v>
      </c>
      <c r="B2033" s="419">
        <v>0.98909999999999998</v>
      </c>
    </row>
    <row r="2034" spans="1:2" hidden="1" x14ac:dyDescent="0.35">
      <c r="A2034" s="426" t="s">
        <v>2564</v>
      </c>
      <c r="B2034" s="419">
        <v>1</v>
      </c>
    </row>
    <row r="2035" spans="1:2" hidden="1" x14ac:dyDescent="0.35">
      <c r="A2035" s="426" t="s">
        <v>2565</v>
      </c>
      <c r="B2035" s="419">
        <v>0.99770000000000003</v>
      </c>
    </row>
    <row r="2036" spans="1:2" hidden="1" x14ac:dyDescent="0.35">
      <c r="A2036" s="426" t="s">
        <v>2566</v>
      </c>
      <c r="B2036" s="419">
        <v>0.98939999999999995</v>
      </c>
    </row>
    <row r="2037" spans="1:2" hidden="1" x14ac:dyDescent="0.35">
      <c r="A2037" s="426" t="s">
        <v>2567</v>
      </c>
      <c r="B2037" s="419">
        <v>0.999</v>
      </c>
    </row>
    <row r="2038" spans="1:2" hidden="1" x14ac:dyDescent="0.35">
      <c r="A2038" s="426" t="s">
        <v>2568</v>
      </c>
      <c r="B2038" s="419">
        <v>0.99590000000000001</v>
      </c>
    </row>
    <row r="2039" spans="1:2" hidden="1" x14ac:dyDescent="0.35">
      <c r="A2039" s="426" t="s">
        <v>2569</v>
      </c>
      <c r="B2039" s="419">
        <v>0.99850000000000005</v>
      </c>
    </row>
    <row r="2040" spans="1:2" hidden="1" x14ac:dyDescent="0.35">
      <c r="A2040" s="426" t="s">
        <v>2570</v>
      </c>
      <c r="B2040" s="419">
        <v>0.99460000000000004</v>
      </c>
    </row>
    <row r="2041" spans="1:2" hidden="1" x14ac:dyDescent="0.35">
      <c r="A2041" s="426" t="s">
        <v>2571</v>
      </c>
      <c r="B2041" s="419">
        <v>0.9758</v>
      </c>
    </row>
    <row r="2042" spans="1:2" hidden="1" x14ac:dyDescent="0.35">
      <c r="A2042" s="426" t="s">
        <v>2572</v>
      </c>
      <c r="B2042" s="419">
        <v>0.99890000000000001</v>
      </c>
    </row>
    <row r="2043" spans="1:2" hidden="1" x14ac:dyDescent="0.35">
      <c r="A2043" s="426" t="s">
        <v>2573</v>
      </c>
      <c r="B2043" s="419">
        <v>1</v>
      </c>
    </row>
    <row r="2044" spans="1:2" hidden="1" x14ac:dyDescent="0.35">
      <c r="A2044" s="426" t="s">
        <v>2574</v>
      </c>
      <c r="B2044" s="419">
        <v>0.99960000000000004</v>
      </c>
    </row>
    <row r="2045" spans="1:2" hidden="1" x14ac:dyDescent="0.35">
      <c r="A2045" s="426" t="s">
        <v>2575</v>
      </c>
      <c r="B2045" s="419">
        <v>1</v>
      </c>
    </row>
    <row r="2046" spans="1:2" hidden="1" x14ac:dyDescent="0.35">
      <c r="A2046" s="426" t="s">
        <v>2576</v>
      </c>
      <c r="B2046" s="419">
        <v>1</v>
      </c>
    </row>
    <row r="2047" spans="1:2" hidden="1" x14ac:dyDescent="0.35">
      <c r="A2047" s="426" t="s">
        <v>2577</v>
      </c>
      <c r="B2047" s="419">
        <v>0.99199999999999999</v>
      </c>
    </row>
    <row r="2048" spans="1:2" hidden="1" x14ac:dyDescent="0.35">
      <c r="A2048" s="426" t="s">
        <v>2578</v>
      </c>
      <c r="B2048" s="419">
        <v>0.99909999999999999</v>
      </c>
    </row>
    <row r="2049" spans="1:2" hidden="1" x14ac:dyDescent="0.35">
      <c r="A2049" s="426" t="s">
        <v>2579</v>
      </c>
      <c r="B2049" s="419">
        <v>1</v>
      </c>
    </row>
    <row r="2050" spans="1:2" hidden="1" x14ac:dyDescent="0.35">
      <c r="A2050" s="426" t="s">
        <v>2580</v>
      </c>
      <c r="B2050" s="419">
        <v>0.99619999999999997</v>
      </c>
    </row>
    <row r="2051" spans="1:2" hidden="1" x14ac:dyDescent="0.35">
      <c r="A2051" s="426" t="s">
        <v>2581</v>
      </c>
      <c r="B2051" s="419">
        <v>0.99909999999999999</v>
      </c>
    </row>
    <row r="2052" spans="1:2" hidden="1" x14ac:dyDescent="0.35">
      <c r="A2052" s="426" t="s">
        <v>2582</v>
      </c>
      <c r="B2052" s="419">
        <v>0.98770000000000002</v>
      </c>
    </row>
    <row r="2053" spans="1:2" hidden="1" x14ac:dyDescent="0.35">
      <c r="A2053" s="426" t="s">
        <v>2583</v>
      </c>
      <c r="B2053" s="419">
        <v>0.998</v>
      </c>
    </row>
    <row r="2054" spans="1:2" hidden="1" x14ac:dyDescent="0.35">
      <c r="A2054" s="426" t="s">
        <v>2584</v>
      </c>
      <c r="B2054" s="419">
        <v>0.99870000000000003</v>
      </c>
    </row>
    <row r="2055" spans="1:2" hidden="1" x14ac:dyDescent="0.35">
      <c r="A2055" s="426" t="s">
        <v>2585</v>
      </c>
      <c r="B2055" s="419">
        <v>0.98409999999999997</v>
      </c>
    </row>
    <row r="2056" spans="1:2" hidden="1" x14ac:dyDescent="0.35">
      <c r="A2056" s="426" t="s">
        <v>2586</v>
      </c>
      <c r="B2056" s="419">
        <v>0.99629999999999996</v>
      </c>
    </row>
    <row r="2057" spans="1:2" hidden="1" x14ac:dyDescent="0.35">
      <c r="A2057" s="426" t="s">
        <v>2587</v>
      </c>
      <c r="B2057" s="419">
        <v>0.99939999999999996</v>
      </c>
    </row>
    <row r="2058" spans="1:2" hidden="1" x14ac:dyDescent="0.35">
      <c r="A2058" s="426" t="s">
        <v>2588</v>
      </c>
      <c r="B2058" s="419">
        <v>0.99609999999999999</v>
      </c>
    </row>
    <row r="2059" spans="1:2" hidden="1" x14ac:dyDescent="0.35">
      <c r="A2059" s="426" t="s">
        <v>2589</v>
      </c>
      <c r="B2059" s="419">
        <v>0.98970000000000002</v>
      </c>
    </row>
    <row r="2060" spans="1:2" hidden="1" x14ac:dyDescent="0.35">
      <c r="A2060" s="426" t="s">
        <v>2590</v>
      </c>
      <c r="B2060" s="419">
        <v>0.98919999999999997</v>
      </c>
    </row>
    <row r="2061" spans="1:2" hidden="1" x14ac:dyDescent="0.35">
      <c r="A2061" s="426" t="s">
        <v>2591</v>
      </c>
      <c r="B2061" s="419">
        <v>0.99350000000000005</v>
      </c>
    </row>
    <row r="2062" spans="1:2" hidden="1" x14ac:dyDescent="0.35">
      <c r="A2062" s="426" t="s">
        <v>2592</v>
      </c>
      <c r="B2062" s="419">
        <v>0.99250000000000005</v>
      </c>
    </row>
    <row r="2063" spans="1:2" hidden="1" x14ac:dyDescent="0.35">
      <c r="A2063" s="426" t="s">
        <v>2593</v>
      </c>
      <c r="B2063" s="419">
        <v>0.99909999999999999</v>
      </c>
    </row>
    <row r="2064" spans="1:2" hidden="1" x14ac:dyDescent="0.35">
      <c r="A2064" s="426" t="s">
        <v>2594</v>
      </c>
      <c r="B2064" s="419">
        <v>0.99419999999999997</v>
      </c>
    </row>
    <row r="2065" spans="1:2" hidden="1" x14ac:dyDescent="0.35">
      <c r="A2065" s="426" t="s">
        <v>2595</v>
      </c>
      <c r="B2065" s="419">
        <v>1</v>
      </c>
    </row>
    <row r="2066" spans="1:2" hidden="1" x14ac:dyDescent="0.35">
      <c r="A2066" s="426" t="s">
        <v>2596</v>
      </c>
      <c r="B2066" s="419">
        <v>0.99429999999999996</v>
      </c>
    </row>
    <row r="2067" spans="1:2" hidden="1" x14ac:dyDescent="0.35">
      <c r="A2067" s="426" t="s">
        <v>2597</v>
      </c>
      <c r="B2067" s="419">
        <v>1</v>
      </c>
    </row>
    <row r="2068" spans="1:2" hidden="1" x14ac:dyDescent="0.35">
      <c r="A2068" s="426" t="s">
        <v>2598</v>
      </c>
      <c r="B2068" s="419">
        <v>0.99829999999999997</v>
      </c>
    </row>
    <row r="2069" spans="1:2" hidden="1" x14ac:dyDescent="0.35">
      <c r="A2069" s="426" t="s">
        <v>2599</v>
      </c>
      <c r="B2069" s="419">
        <v>1</v>
      </c>
    </row>
    <row r="2070" spans="1:2" hidden="1" x14ac:dyDescent="0.35">
      <c r="A2070" s="426" t="s">
        <v>2600</v>
      </c>
      <c r="B2070" s="419">
        <v>0.99939999999999996</v>
      </c>
    </row>
    <row r="2071" spans="1:2" hidden="1" x14ac:dyDescent="0.35">
      <c r="A2071" s="426" t="s">
        <v>2601</v>
      </c>
      <c r="B2071" s="419">
        <v>0.99950000000000006</v>
      </c>
    </row>
    <row r="2072" spans="1:2" hidden="1" x14ac:dyDescent="0.35">
      <c r="A2072" s="426" t="s">
        <v>2602</v>
      </c>
      <c r="B2072" s="419">
        <v>0.99619999999999997</v>
      </c>
    </row>
    <row r="2073" spans="1:2" hidden="1" x14ac:dyDescent="0.35">
      <c r="A2073" s="426" t="s">
        <v>2603</v>
      </c>
      <c r="B2073" s="419">
        <v>0.98899999999999999</v>
      </c>
    </row>
    <row r="2074" spans="1:2" hidden="1" x14ac:dyDescent="0.35">
      <c r="A2074" s="426" t="s">
        <v>2604</v>
      </c>
      <c r="B2074" s="419">
        <v>0.99529999999999996</v>
      </c>
    </row>
    <row r="2075" spans="1:2" hidden="1" x14ac:dyDescent="0.35">
      <c r="A2075" s="426" t="s">
        <v>2605</v>
      </c>
      <c r="B2075" s="419">
        <v>0.995</v>
      </c>
    </row>
    <row r="2076" spans="1:2" hidden="1" x14ac:dyDescent="0.35">
      <c r="A2076" s="426" t="s">
        <v>2606</v>
      </c>
      <c r="B2076" s="419">
        <v>0.99850000000000005</v>
      </c>
    </row>
    <row r="2077" spans="1:2" hidden="1" x14ac:dyDescent="0.35">
      <c r="A2077" s="426" t="s">
        <v>2607</v>
      </c>
      <c r="B2077" s="419">
        <v>0.99890000000000001</v>
      </c>
    </row>
    <row r="2078" spans="1:2" hidden="1" x14ac:dyDescent="0.35">
      <c r="A2078" s="426" t="s">
        <v>2608</v>
      </c>
      <c r="B2078" s="419">
        <v>0.99429999999999996</v>
      </c>
    </row>
    <row r="2079" spans="1:2" hidden="1" x14ac:dyDescent="0.35">
      <c r="A2079" s="426" t="s">
        <v>2609</v>
      </c>
      <c r="B2079" s="419">
        <v>0.99729999999999996</v>
      </c>
    </row>
    <row r="2080" spans="1:2" hidden="1" x14ac:dyDescent="0.35">
      <c r="A2080" s="426" t="s">
        <v>2610</v>
      </c>
      <c r="B2080" s="419">
        <v>0.99480000000000002</v>
      </c>
    </row>
    <row r="2081" spans="1:2" hidden="1" x14ac:dyDescent="0.35">
      <c r="A2081" s="426" t="s">
        <v>2611</v>
      </c>
      <c r="B2081" s="419">
        <v>0.99580000000000002</v>
      </c>
    </row>
    <row r="2082" spans="1:2" hidden="1" x14ac:dyDescent="0.35">
      <c r="A2082" s="426" t="s">
        <v>2612</v>
      </c>
      <c r="B2082" s="419">
        <v>0.99970000000000003</v>
      </c>
    </row>
    <row r="2083" spans="1:2" hidden="1" x14ac:dyDescent="0.35">
      <c r="A2083" s="426" t="s">
        <v>2613</v>
      </c>
      <c r="B2083" s="419">
        <v>0.99750000000000005</v>
      </c>
    </row>
    <row r="2084" spans="1:2" hidden="1" x14ac:dyDescent="0.35">
      <c r="A2084" s="426" t="s">
        <v>2614</v>
      </c>
      <c r="B2084" s="419">
        <v>1</v>
      </c>
    </row>
    <row r="2085" spans="1:2" hidden="1" x14ac:dyDescent="0.35">
      <c r="A2085" s="426" t="s">
        <v>2615</v>
      </c>
      <c r="B2085" s="419">
        <v>0.99729999999999996</v>
      </c>
    </row>
    <row r="2086" spans="1:2" hidden="1" x14ac:dyDescent="0.35">
      <c r="A2086" s="426" t="s">
        <v>2616</v>
      </c>
      <c r="B2086" s="419">
        <v>0.9899</v>
      </c>
    </row>
    <row r="2087" spans="1:2" hidden="1" x14ac:dyDescent="0.35">
      <c r="A2087" s="426" t="s">
        <v>2617</v>
      </c>
      <c r="B2087" s="419">
        <v>1</v>
      </c>
    </row>
    <row r="2088" spans="1:2" hidden="1" x14ac:dyDescent="0.35">
      <c r="A2088" s="426" t="s">
        <v>2618</v>
      </c>
      <c r="B2088" s="419">
        <v>0.99970000000000003</v>
      </c>
    </row>
    <row r="2089" spans="1:2" hidden="1" x14ac:dyDescent="0.35">
      <c r="A2089" s="426" t="s">
        <v>2619</v>
      </c>
      <c r="B2089" s="419">
        <v>0.98909999999999998</v>
      </c>
    </row>
    <row r="2090" spans="1:2" hidden="1" x14ac:dyDescent="0.35">
      <c r="A2090" s="426" t="s">
        <v>2620</v>
      </c>
      <c r="B2090" s="419">
        <v>0.998</v>
      </c>
    </row>
    <row r="2091" spans="1:2" hidden="1" x14ac:dyDescent="0.35">
      <c r="A2091" s="426" t="s">
        <v>2621</v>
      </c>
      <c r="B2091" s="419">
        <v>0.9929</v>
      </c>
    </row>
    <row r="2092" spans="1:2" hidden="1" x14ac:dyDescent="0.35">
      <c r="A2092" s="426" t="s">
        <v>2622</v>
      </c>
      <c r="B2092" s="419">
        <v>0.99819999999999998</v>
      </c>
    </row>
    <row r="2093" spans="1:2" hidden="1" x14ac:dyDescent="0.35">
      <c r="A2093" s="426" t="s">
        <v>2623</v>
      </c>
      <c r="B2093" s="419">
        <v>0.99580000000000002</v>
      </c>
    </row>
    <row r="2094" spans="1:2" hidden="1" x14ac:dyDescent="0.35">
      <c r="A2094" s="426" t="s">
        <v>2624</v>
      </c>
      <c r="B2094" s="419">
        <v>0.99839999999999995</v>
      </c>
    </row>
    <row r="2095" spans="1:2" hidden="1" x14ac:dyDescent="0.35">
      <c r="A2095" s="426" t="s">
        <v>2625</v>
      </c>
      <c r="B2095" s="419">
        <v>0.99860000000000004</v>
      </c>
    </row>
    <row r="2096" spans="1:2" hidden="1" x14ac:dyDescent="0.35">
      <c r="A2096" s="426" t="s">
        <v>2626</v>
      </c>
      <c r="B2096" s="419">
        <v>0.99309999999999998</v>
      </c>
    </row>
    <row r="2097" spans="1:2" hidden="1" x14ac:dyDescent="0.35">
      <c r="A2097" s="426" t="s">
        <v>2627</v>
      </c>
      <c r="B2097" s="419">
        <v>0.98939999999999995</v>
      </c>
    </row>
    <row r="2098" spans="1:2" hidden="1" x14ac:dyDescent="0.35">
      <c r="A2098" s="426" t="s">
        <v>2628</v>
      </c>
      <c r="B2098" s="419">
        <v>1</v>
      </c>
    </row>
    <row r="2099" spans="1:2" hidden="1" x14ac:dyDescent="0.35">
      <c r="A2099" s="426" t="s">
        <v>2629</v>
      </c>
      <c r="B2099" s="419">
        <v>0.99750000000000005</v>
      </c>
    </row>
    <row r="2100" spans="1:2" hidden="1" x14ac:dyDescent="0.35">
      <c r="A2100" s="426" t="s">
        <v>2630</v>
      </c>
      <c r="B2100" s="419">
        <v>0.99390000000000001</v>
      </c>
    </row>
    <row r="2101" spans="1:2" hidden="1" x14ac:dyDescent="0.35">
      <c r="A2101" s="426" t="s">
        <v>2631</v>
      </c>
      <c r="B2101" s="419">
        <v>0.99709999999999999</v>
      </c>
    </row>
    <row r="2102" spans="1:2" hidden="1" x14ac:dyDescent="0.35">
      <c r="A2102" s="426" t="s">
        <v>2632</v>
      </c>
      <c r="B2102" s="419">
        <v>1</v>
      </c>
    </row>
    <row r="2103" spans="1:2" hidden="1" x14ac:dyDescent="0.35">
      <c r="A2103" s="426" t="s">
        <v>2633</v>
      </c>
      <c r="B2103" s="419">
        <v>1</v>
      </c>
    </row>
    <row r="2104" spans="1:2" hidden="1" x14ac:dyDescent="0.35">
      <c r="A2104" s="426" t="s">
        <v>2634</v>
      </c>
      <c r="B2104" s="419">
        <v>0.99709999999999999</v>
      </c>
    </row>
    <row r="2105" spans="1:2" hidden="1" x14ac:dyDescent="0.35">
      <c r="A2105" s="426" t="s">
        <v>2635</v>
      </c>
      <c r="B2105" s="419">
        <v>1</v>
      </c>
    </row>
    <row r="2106" spans="1:2" hidden="1" x14ac:dyDescent="0.35">
      <c r="A2106" s="426" t="s">
        <v>2636</v>
      </c>
      <c r="B2106" s="419">
        <v>1</v>
      </c>
    </row>
    <row r="2107" spans="1:2" hidden="1" x14ac:dyDescent="0.35">
      <c r="A2107" s="426" t="s">
        <v>2637</v>
      </c>
      <c r="B2107" s="419">
        <v>0.99750000000000005</v>
      </c>
    </row>
    <row r="2108" spans="1:2" hidden="1" x14ac:dyDescent="0.35">
      <c r="A2108" s="426" t="s">
        <v>2638</v>
      </c>
      <c r="B2108" s="419">
        <v>0.99360000000000004</v>
      </c>
    </row>
    <row r="2109" spans="1:2" hidden="1" x14ac:dyDescent="0.35">
      <c r="A2109" s="426" t="s">
        <v>2639</v>
      </c>
      <c r="B2109" s="419">
        <v>0.97</v>
      </c>
    </row>
    <row r="2110" spans="1:2" hidden="1" x14ac:dyDescent="0.35">
      <c r="A2110" s="426" t="s">
        <v>2640</v>
      </c>
      <c r="B2110" s="419">
        <v>0.99380000000000002</v>
      </c>
    </row>
    <row r="2111" spans="1:2" hidden="1" x14ac:dyDescent="0.35">
      <c r="A2111" s="426" t="s">
        <v>2641</v>
      </c>
      <c r="B2111" s="419">
        <v>1</v>
      </c>
    </row>
    <row r="2112" spans="1:2" hidden="1" x14ac:dyDescent="0.35">
      <c r="A2112" s="426" t="s">
        <v>2642</v>
      </c>
      <c r="B2112" s="419">
        <v>1</v>
      </c>
    </row>
    <row r="2113" spans="1:2" hidden="1" x14ac:dyDescent="0.35">
      <c r="A2113" s="426" t="s">
        <v>2643</v>
      </c>
      <c r="B2113" s="419">
        <v>1</v>
      </c>
    </row>
    <row r="2114" spans="1:2" hidden="1" x14ac:dyDescent="0.35">
      <c r="A2114" s="426" t="s">
        <v>2644</v>
      </c>
      <c r="B2114" s="419">
        <v>0.99070000000000003</v>
      </c>
    </row>
    <row r="2115" spans="1:2" hidden="1" x14ac:dyDescent="0.35">
      <c r="A2115" s="426" t="s">
        <v>2645</v>
      </c>
      <c r="B2115" s="419">
        <v>1</v>
      </c>
    </row>
    <row r="2116" spans="1:2" hidden="1" x14ac:dyDescent="0.35">
      <c r="A2116" s="426" t="s">
        <v>2646</v>
      </c>
      <c r="B2116" s="419">
        <v>0.99870000000000003</v>
      </c>
    </row>
    <row r="2117" spans="1:2" hidden="1" x14ac:dyDescent="0.35">
      <c r="A2117" s="426" t="s">
        <v>2647</v>
      </c>
      <c r="B2117" s="419">
        <v>0.98960000000000004</v>
      </c>
    </row>
    <row r="2118" spans="1:2" hidden="1" x14ac:dyDescent="0.35">
      <c r="A2118" s="426" t="s">
        <v>2648</v>
      </c>
      <c r="B2118" s="419">
        <v>0.99850000000000005</v>
      </c>
    </row>
    <row r="2119" spans="1:2" hidden="1" x14ac:dyDescent="0.35">
      <c r="A2119" s="426" t="s">
        <v>2649</v>
      </c>
      <c r="B2119" s="419">
        <v>0.99880000000000002</v>
      </c>
    </row>
    <row r="2120" spans="1:2" hidden="1" x14ac:dyDescent="0.35">
      <c r="A2120" s="426" t="s">
        <v>2650</v>
      </c>
      <c r="B2120" s="419">
        <v>0.99250000000000005</v>
      </c>
    </row>
    <row r="2121" spans="1:2" hidden="1" x14ac:dyDescent="0.35">
      <c r="A2121" s="426" t="s">
        <v>2651</v>
      </c>
      <c r="B2121" s="419">
        <v>0.99880000000000002</v>
      </c>
    </row>
    <row r="2122" spans="1:2" hidden="1" x14ac:dyDescent="0.35">
      <c r="A2122" s="426" t="s">
        <v>2652</v>
      </c>
      <c r="B2122" s="419">
        <v>1</v>
      </c>
    </row>
    <row r="2123" spans="1:2" hidden="1" x14ac:dyDescent="0.35">
      <c r="A2123" s="426" t="s">
        <v>2653</v>
      </c>
      <c r="B2123" s="419">
        <v>1</v>
      </c>
    </row>
    <row r="2124" spans="1:2" hidden="1" x14ac:dyDescent="0.35">
      <c r="A2124" s="426" t="s">
        <v>2654</v>
      </c>
      <c r="B2124" s="419">
        <v>0.99760000000000004</v>
      </c>
    </row>
    <row r="2125" spans="1:2" hidden="1" x14ac:dyDescent="0.35">
      <c r="A2125" s="426" t="s">
        <v>2655</v>
      </c>
      <c r="B2125" s="419">
        <v>1</v>
      </c>
    </row>
    <row r="2126" spans="1:2" hidden="1" x14ac:dyDescent="0.35">
      <c r="A2126" s="426" t="s">
        <v>2656</v>
      </c>
      <c r="B2126" s="419">
        <v>1</v>
      </c>
    </row>
    <row r="2127" spans="1:2" hidden="1" x14ac:dyDescent="0.35">
      <c r="A2127" s="426" t="s">
        <v>2657</v>
      </c>
      <c r="B2127" s="419">
        <v>0.99739999999999995</v>
      </c>
    </row>
    <row r="2128" spans="1:2" hidden="1" x14ac:dyDescent="0.35">
      <c r="A2128" s="426" t="s">
        <v>2658</v>
      </c>
      <c r="B2128" s="419">
        <v>0.99880000000000002</v>
      </c>
    </row>
    <row r="2129" spans="1:2" hidden="1" x14ac:dyDescent="0.35">
      <c r="A2129" s="426" t="s">
        <v>2659</v>
      </c>
      <c r="B2129" s="419">
        <v>1</v>
      </c>
    </row>
    <row r="2130" spans="1:2" hidden="1" x14ac:dyDescent="0.35">
      <c r="A2130" s="426" t="s">
        <v>2660</v>
      </c>
      <c r="B2130" s="419">
        <v>0.99870000000000003</v>
      </c>
    </row>
    <row r="2131" spans="1:2" hidden="1" x14ac:dyDescent="0.35">
      <c r="A2131" s="426" t="s">
        <v>2661</v>
      </c>
      <c r="B2131" s="419">
        <v>0.99970000000000003</v>
      </c>
    </row>
    <row r="2132" spans="1:2" hidden="1" x14ac:dyDescent="0.35">
      <c r="A2132" s="426" t="s">
        <v>2662</v>
      </c>
      <c r="B2132" s="419">
        <v>0.99760000000000004</v>
      </c>
    </row>
    <row r="2133" spans="1:2" hidden="1" x14ac:dyDescent="0.35">
      <c r="A2133" s="426" t="s">
        <v>2663</v>
      </c>
      <c r="B2133" s="419">
        <v>0.99929999999999997</v>
      </c>
    </row>
    <row r="2134" spans="1:2" hidden="1" x14ac:dyDescent="0.35">
      <c r="A2134" s="426" t="s">
        <v>2664</v>
      </c>
      <c r="B2134" s="419">
        <v>0.99919999999999998</v>
      </c>
    </row>
    <row r="2135" spans="1:2" hidden="1" x14ac:dyDescent="0.35">
      <c r="A2135" s="426" t="s">
        <v>2665</v>
      </c>
      <c r="B2135" s="419">
        <v>0.99219999999999997</v>
      </c>
    </row>
    <row r="2136" spans="1:2" hidden="1" x14ac:dyDescent="0.35">
      <c r="A2136" s="426" t="s">
        <v>2666</v>
      </c>
      <c r="B2136" s="419">
        <v>1</v>
      </c>
    </row>
    <row r="2137" spans="1:2" hidden="1" x14ac:dyDescent="0.35">
      <c r="A2137" s="426" t="s">
        <v>2667</v>
      </c>
      <c r="B2137" s="419">
        <v>0.999</v>
      </c>
    </row>
    <row r="2138" spans="1:2" hidden="1" x14ac:dyDescent="0.35">
      <c r="A2138" s="426" t="s">
        <v>2668</v>
      </c>
      <c r="B2138" s="419">
        <v>0.99919999999999998</v>
      </c>
    </row>
    <row r="2139" spans="1:2" hidden="1" x14ac:dyDescent="0.35">
      <c r="A2139" s="426" t="s">
        <v>2669</v>
      </c>
      <c r="B2139" s="419">
        <v>0.99980000000000002</v>
      </c>
    </row>
    <row r="2140" spans="1:2" hidden="1" x14ac:dyDescent="0.35">
      <c r="A2140" s="426" t="s">
        <v>2670</v>
      </c>
      <c r="B2140" s="419">
        <v>0.98409999999999997</v>
      </c>
    </row>
    <row r="2141" spans="1:2" hidden="1" x14ac:dyDescent="0.35">
      <c r="A2141" s="426" t="s">
        <v>2671</v>
      </c>
      <c r="B2141" s="419">
        <v>1</v>
      </c>
    </row>
    <row r="2142" spans="1:2" hidden="1" x14ac:dyDescent="0.35">
      <c r="A2142" s="426" t="s">
        <v>2672</v>
      </c>
      <c r="B2142" s="419">
        <v>0.99460000000000004</v>
      </c>
    </row>
    <row r="2143" spans="1:2" hidden="1" x14ac:dyDescent="0.35">
      <c r="A2143" s="426" t="s">
        <v>2673</v>
      </c>
      <c r="B2143" s="419">
        <v>0.997</v>
      </c>
    </row>
    <row r="2144" spans="1:2" hidden="1" x14ac:dyDescent="0.35">
      <c r="A2144" s="426" t="s">
        <v>2674</v>
      </c>
      <c r="B2144" s="419">
        <v>0.99890000000000001</v>
      </c>
    </row>
    <row r="2145" spans="1:2" hidden="1" x14ac:dyDescent="0.35">
      <c r="A2145" s="426" t="s">
        <v>2675</v>
      </c>
      <c r="B2145" s="419">
        <v>0.995</v>
      </c>
    </row>
    <row r="2146" spans="1:2" hidden="1" x14ac:dyDescent="0.35">
      <c r="A2146" s="426" t="s">
        <v>2676</v>
      </c>
      <c r="B2146" s="419">
        <v>0.99819999999999998</v>
      </c>
    </row>
    <row r="2147" spans="1:2" hidden="1" x14ac:dyDescent="0.35">
      <c r="A2147" s="426" t="s">
        <v>2677</v>
      </c>
      <c r="B2147" s="419">
        <v>0.99939999999999996</v>
      </c>
    </row>
    <row r="2148" spans="1:2" hidden="1" x14ac:dyDescent="0.35">
      <c r="A2148" s="426" t="s">
        <v>2678</v>
      </c>
      <c r="B2148" s="419">
        <v>0.999</v>
      </c>
    </row>
    <row r="2149" spans="1:2" hidden="1" x14ac:dyDescent="0.35">
      <c r="A2149" s="426" t="s">
        <v>2679</v>
      </c>
      <c r="B2149" s="419">
        <v>1</v>
      </c>
    </row>
    <row r="2150" spans="1:2" hidden="1" x14ac:dyDescent="0.35">
      <c r="A2150" s="426" t="s">
        <v>2680</v>
      </c>
      <c r="B2150" s="419">
        <v>0.99350000000000005</v>
      </c>
    </row>
    <row r="2151" spans="1:2" hidden="1" x14ac:dyDescent="0.35">
      <c r="A2151" s="426" t="s">
        <v>2681</v>
      </c>
      <c r="B2151" s="419">
        <v>1</v>
      </c>
    </row>
    <row r="2152" spans="1:2" hidden="1" x14ac:dyDescent="0.35">
      <c r="A2152" s="426" t="s">
        <v>2682</v>
      </c>
      <c r="B2152" s="419">
        <v>0.997</v>
      </c>
    </row>
    <row r="2153" spans="1:2" hidden="1" x14ac:dyDescent="0.35">
      <c r="A2153" s="426" t="s">
        <v>2683</v>
      </c>
      <c r="B2153" s="419">
        <v>0.99790000000000001</v>
      </c>
    </row>
    <row r="2154" spans="1:2" hidden="1" x14ac:dyDescent="0.35">
      <c r="A2154" s="426" t="s">
        <v>2684</v>
      </c>
      <c r="B2154" s="419">
        <v>0.99670000000000003</v>
      </c>
    </row>
    <row r="2155" spans="1:2" hidden="1" x14ac:dyDescent="0.35">
      <c r="A2155" s="426" t="s">
        <v>2685</v>
      </c>
      <c r="B2155" s="419">
        <v>1</v>
      </c>
    </row>
    <row r="2156" spans="1:2" hidden="1" x14ac:dyDescent="0.35">
      <c r="A2156" s="426" t="s">
        <v>2686</v>
      </c>
      <c r="B2156" s="419">
        <v>0.99719999999999998</v>
      </c>
    </row>
    <row r="2157" spans="1:2" hidden="1" x14ac:dyDescent="0.35">
      <c r="A2157" s="426" t="s">
        <v>2687</v>
      </c>
      <c r="B2157" s="419">
        <v>0.99860000000000004</v>
      </c>
    </row>
    <row r="2158" spans="1:2" hidden="1" x14ac:dyDescent="0.35">
      <c r="A2158" s="426" t="s">
        <v>2688</v>
      </c>
      <c r="B2158" s="419">
        <v>1</v>
      </c>
    </row>
    <row r="2159" spans="1:2" hidden="1" x14ac:dyDescent="0.35">
      <c r="A2159" s="426" t="s">
        <v>2689</v>
      </c>
      <c r="B2159" s="419">
        <v>0.99990000000000001</v>
      </c>
    </row>
    <row r="2160" spans="1:2" hidden="1" x14ac:dyDescent="0.35">
      <c r="A2160" s="426" t="s">
        <v>2690</v>
      </c>
      <c r="B2160" s="419">
        <v>1</v>
      </c>
    </row>
    <row r="2161" spans="1:2" hidden="1" x14ac:dyDescent="0.35">
      <c r="A2161" s="426" t="s">
        <v>2691</v>
      </c>
      <c r="B2161" s="419">
        <v>0.99880000000000002</v>
      </c>
    </row>
    <row r="2162" spans="1:2" hidden="1" x14ac:dyDescent="0.35">
      <c r="A2162" s="426" t="s">
        <v>2692</v>
      </c>
      <c r="B2162" s="419">
        <v>1</v>
      </c>
    </row>
    <row r="2163" spans="1:2" hidden="1" x14ac:dyDescent="0.35">
      <c r="A2163" s="426" t="s">
        <v>2693</v>
      </c>
      <c r="B2163" s="419">
        <v>1</v>
      </c>
    </row>
    <row r="2164" spans="1:2" hidden="1" x14ac:dyDescent="0.35">
      <c r="A2164" s="426" t="s">
        <v>2694</v>
      </c>
      <c r="B2164" s="419">
        <v>1</v>
      </c>
    </row>
    <row r="2165" spans="1:2" hidden="1" x14ac:dyDescent="0.35">
      <c r="A2165" s="426" t="s">
        <v>2695</v>
      </c>
      <c r="B2165" s="419">
        <v>1</v>
      </c>
    </row>
    <row r="2166" spans="1:2" hidden="1" x14ac:dyDescent="0.35">
      <c r="A2166" s="426" t="s">
        <v>2696</v>
      </c>
      <c r="B2166" s="419">
        <v>1</v>
      </c>
    </row>
    <row r="2167" spans="1:2" hidden="1" x14ac:dyDescent="0.35">
      <c r="A2167" s="426" t="s">
        <v>2697</v>
      </c>
      <c r="B2167" s="419">
        <v>1</v>
      </c>
    </row>
    <row r="2168" spans="1:2" hidden="1" x14ac:dyDescent="0.35">
      <c r="A2168" s="426" t="s">
        <v>2698</v>
      </c>
      <c r="B2168" s="419">
        <v>1</v>
      </c>
    </row>
    <row r="2169" spans="1:2" hidden="1" x14ac:dyDescent="0.35">
      <c r="A2169" s="426" t="s">
        <v>2699</v>
      </c>
      <c r="B2169" s="419">
        <v>0.99619999999999997</v>
      </c>
    </row>
    <row r="2170" spans="1:2" hidden="1" x14ac:dyDescent="0.35">
      <c r="A2170" s="426" t="s">
        <v>2700</v>
      </c>
      <c r="B2170" s="419">
        <v>1</v>
      </c>
    </row>
    <row r="2171" spans="1:2" hidden="1" x14ac:dyDescent="0.35">
      <c r="A2171" s="426" t="s">
        <v>2701</v>
      </c>
      <c r="B2171" s="419">
        <v>1</v>
      </c>
    </row>
    <row r="2172" spans="1:2" hidden="1" x14ac:dyDescent="0.35">
      <c r="A2172" s="426" t="s">
        <v>2702</v>
      </c>
      <c r="B2172" s="419">
        <v>0.999</v>
      </c>
    </row>
    <row r="2173" spans="1:2" hidden="1" x14ac:dyDescent="0.35">
      <c r="A2173" s="426" t="s">
        <v>2703</v>
      </c>
      <c r="B2173" s="419">
        <v>1</v>
      </c>
    </row>
    <row r="2174" spans="1:2" hidden="1" x14ac:dyDescent="0.35">
      <c r="A2174" s="426" t="s">
        <v>2704</v>
      </c>
      <c r="B2174" s="419">
        <v>1</v>
      </c>
    </row>
    <row r="2175" spans="1:2" hidden="1" x14ac:dyDescent="0.35">
      <c r="A2175" s="426" t="s">
        <v>2705</v>
      </c>
      <c r="B2175" s="419">
        <v>0.99629999999999996</v>
      </c>
    </row>
    <row r="2176" spans="1:2" hidden="1" x14ac:dyDescent="0.35">
      <c r="A2176" s="426" t="s">
        <v>2706</v>
      </c>
      <c r="B2176" s="419">
        <v>1</v>
      </c>
    </row>
    <row r="2177" spans="1:2" hidden="1" x14ac:dyDescent="0.35">
      <c r="A2177" s="426" t="s">
        <v>2707</v>
      </c>
      <c r="B2177" s="419">
        <v>0.99570000000000003</v>
      </c>
    </row>
    <row r="2178" spans="1:2" hidden="1" x14ac:dyDescent="0.35">
      <c r="A2178" s="426" t="s">
        <v>2708</v>
      </c>
      <c r="B2178" s="419">
        <v>1</v>
      </c>
    </row>
    <row r="2179" spans="1:2" hidden="1" x14ac:dyDescent="0.35">
      <c r="A2179" s="426" t="s">
        <v>2709</v>
      </c>
      <c r="B2179" s="419">
        <v>1</v>
      </c>
    </row>
    <row r="2180" spans="1:2" hidden="1" x14ac:dyDescent="0.35">
      <c r="A2180" s="426" t="s">
        <v>2710</v>
      </c>
      <c r="B2180" s="419">
        <v>1</v>
      </c>
    </row>
    <row r="2181" spans="1:2" hidden="1" x14ac:dyDescent="0.35">
      <c r="A2181" s="426" t="s">
        <v>2711</v>
      </c>
      <c r="B2181" s="419">
        <v>0.99880000000000002</v>
      </c>
    </row>
    <row r="2182" spans="1:2" hidden="1" x14ac:dyDescent="0.35">
      <c r="A2182" s="426" t="s">
        <v>2712</v>
      </c>
      <c r="B2182" s="419">
        <v>0.97</v>
      </c>
    </row>
    <row r="2183" spans="1:2" hidden="1" x14ac:dyDescent="0.35">
      <c r="A2183" s="426" t="s">
        <v>2713</v>
      </c>
      <c r="B2183" s="419">
        <v>1</v>
      </c>
    </row>
    <row r="2184" spans="1:2" hidden="1" x14ac:dyDescent="0.35">
      <c r="A2184" s="426" t="s">
        <v>2714</v>
      </c>
      <c r="B2184" s="419">
        <v>1</v>
      </c>
    </row>
    <row r="2185" spans="1:2" hidden="1" x14ac:dyDescent="0.35">
      <c r="A2185" s="426" t="s">
        <v>2715</v>
      </c>
      <c r="B2185" s="419">
        <v>0.97970000000000002</v>
      </c>
    </row>
    <row r="2186" spans="1:2" hidden="1" x14ac:dyDescent="0.35">
      <c r="A2186" s="426" t="s">
        <v>2716</v>
      </c>
      <c r="B2186" s="419">
        <v>0.99880000000000002</v>
      </c>
    </row>
    <row r="2187" spans="1:2" hidden="1" x14ac:dyDescent="0.35">
      <c r="A2187" s="426" t="s">
        <v>2717</v>
      </c>
      <c r="B2187" s="419">
        <v>1</v>
      </c>
    </row>
    <row r="2188" spans="1:2" hidden="1" x14ac:dyDescent="0.35">
      <c r="A2188" s="426" t="s">
        <v>2718</v>
      </c>
      <c r="B2188" s="419">
        <v>1</v>
      </c>
    </row>
    <row r="2189" spans="1:2" hidden="1" x14ac:dyDescent="0.35">
      <c r="A2189" s="426" t="s">
        <v>2719</v>
      </c>
      <c r="B2189" s="419">
        <v>0.99960000000000004</v>
      </c>
    </row>
    <row r="2190" spans="1:2" hidden="1" x14ac:dyDescent="0.35">
      <c r="A2190" s="426" t="s">
        <v>2720</v>
      </c>
      <c r="B2190" s="419">
        <v>1</v>
      </c>
    </row>
    <row r="2191" spans="1:2" hidden="1" x14ac:dyDescent="0.35">
      <c r="A2191" s="426" t="s">
        <v>2721</v>
      </c>
      <c r="B2191" s="419">
        <v>1</v>
      </c>
    </row>
    <row r="2192" spans="1:2" hidden="1" x14ac:dyDescent="0.35">
      <c r="A2192" s="426" t="s">
        <v>2722</v>
      </c>
      <c r="B2192" s="419">
        <v>1</v>
      </c>
    </row>
    <row r="2193" spans="1:2" hidden="1" x14ac:dyDescent="0.35">
      <c r="A2193" s="426" t="s">
        <v>2723</v>
      </c>
      <c r="B2193" s="419">
        <v>0.99939999999999996</v>
      </c>
    </row>
    <row r="2194" spans="1:2" hidden="1" x14ac:dyDescent="0.35">
      <c r="A2194" s="426" t="s">
        <v>2724</v>
      </c>
      <c r="B2194" s="419">
        <v>1</v>
      </c>
    </row>
    <row r="2195" spans="1:2" hidden="1" x14ac:dyDescent="0.35">
      <c r="A2195" s="426" t="s">
        <v>2725</v>
      </c>
      <c r="B2195" s="419">
        <v>1</v>
      </c>
    </row>
    <row r="2196" spans="1:2" hidden="1" x14ac:dyDescent="0.35">
      <c r="A2196" s="426" t="s">
        <v>2726</v>
      </c>
      <c r="B2196" s="419">
        <v>0.99939999999999996</v>
      </c>
    </row>
    <row r="2197" spans="1:2" hidden="1" x14ac:dyDescent="0.35">
      <c r="A2197" s="426" t="s">
        <v>2727</v>
      </c>
      <c r="B2197" s="419">
        <v>1</v>
      </c>
    </row>
    <row r="2198" spans="1:2" hidden="1" x14ac:dyDescent="0.35">
      <c r="A2198" s="426" t="s">
        <v>2728</v>
      </c>
      <c r="B2198" s="419">
        <v>0.99509999999999998</v>
      </c>
    </row>
    <row r="2199" spans="1:2" hidden="1" x14ac:dyDescent="0.35">
      <c r="A2199" s="426" t="s">
        <v>2729</v>
      </c>
      <c r="B2199" s="419">
        <v>0.99960000000000004</v>
      </c>
    </row>
    <row r="2200" spans="1:2" hidden="1" x14ac:dyDescent="0.35">
      <c r="A2200" s="426" t="s">
        <v>2730</v>
      </c>
      <c r="B2200" s="419">
        <v>0.99490000000000001</v>
      </c>
    </row>
    <row r="2201" spans="1:2" hidden="1" x14ac:dyDescent="0.35">
      <c r="A2201" s="426" t="s">
        <v>2731</v>
      </c>
      <c r="B2201" s="419">
        <v>0.99860000000000004</v>
      </c>
    </row>
    <row r="2202" spans="1:2" hidden="1" x14ac:dyDescent="0.35">
      <c r="A2202" s="426" t="s">
        <v>2732</v>
      </c>
      <c r="B2202" s="419">
        <v>0.99709999999999999</v>
      </c>
    </row>
    <row r="2203" spans="1:2" hidden="1" x14ac:dyDescent="0.35">
      <c r="A2203" s="426" t="s">
        <v>2733</v>
      </c>
      <c r="B2203" s="419">
        <v>0.99990000000000001</v>
      </c>
    </row>
    <row r="2204" spans="1:2" hidden="1" x14ac:dyDescent="0.35">
      <c r="A2204" s="426" t="s">
        <v>2734</v>
      </c>
      <c r="B2204" s="419">
        <v>1</v>
      </c>
    </row>
    <row r="2205" spans="1:2" hidden="1" x14ac:dyDescent="0.35">
      <c r="A2205" s="426" t="s">
        <v>2735</v>
      </c>
      <c r="B2205" s="419">
        <v>0.99839999999999995</v>
      </c>
    </row>
    <row r="2206" spans="1:2" hidden="1" x14ac:dyDescent="0.35">
      <c r="A2206" s="426" t="s">
        <v>2736</v>
      </c>
      <c r="B2206" s="419">
        <v>1</v>
      </c>
    </row>
    <row r="2207" spans="1:2" hidden="1" x14ac:dyDescent="0.35">
      <c r="A2207" s="426" t="s">
        <v>2737</v>
      </c>
      <c r="B2207" s="419">
        <v>0.99990000000000001</v>
      </c>
    </row>
    <row r="2208" spans="1:2" hidden="1" x14ac:dyDescent="0.35">
      <c r="A2208" s="426" t="s">
        <v>2738</v>
      </c>
      <c r="B2208" s="419">
        <v>1</v>
      </c>
    </row>
    <row r="2209" spans="1:2" hidden="1" x14ac:dyDescent="0.35">
      <c r="A2209" s="426" t="s">
        <v>2739</v>
      </c>
      <c r="B2209" s="419">
        <v>0.99350000000000005</v>
      </c>
    </row>
    <row r="2210" spans="1:2" hidden="1" x14ac:dyDescent="0.35">
      <c r="A2210" s="426" t="s">
        <v>2740</v>
      </c>
      <c r="B2210" s="419">
        <v>0.99560000000000004</v>
      </c>
    </row>
    <row r="2211" spans="1:2" hidden="1" x14ac:dyDescent="0.35">
      <c r="A2211" s="426" t="s">
        <v>2741</v>
      </c>
      <c r="B2211" s="419">
        <v>0.99919999999999998</v>
      </c>
    </row>
    <row r="2212" spans="1:2" hidden="1" x14ac:dyDescent="0.35">
      <c r="A2212" s="426" t="s">
        <v>2742</v>
      </c>
      <c r="B2212" s="419">
        <v>1</v>
      </c>
    </row>
    <row r="2213" spans="1:2" hidden="1" x14ac:dyDescent="0.35">
      <c r="A2213" s="426" t="s">
        <v>2743</v>
      </c>
      <c r="B2213" s="419">
        <v>0.99450000000000005</v>
      </c>
    </row>
    <row r="2214" spans="1:2" hidden="1" x14ac:dyDescent="0.35">
      <c r="A2214" s="426" t="s">
        <v>2744</v>
      </c>
      <c r="B2214" s="419">
        <v>0.99880000000000002</v>
      </c>
    </row>
    <row r="2215" spans="1:2" hidden="1" x14ac:dyDescent="0.35">
      <c r="A2215" s="426" t="s">
        <v>2745</v>
      </c>
      <c r="B2215" s="419">
        <v>0.99580000000000002</v>
      </c>
    </row>
    <row r="2216" spans="1:2" hidden="1" x14ac:dyDescent="0.35">
      <c r="A2216" s="426" t="s">
        <v>2746</v>
      </c>
      <c r="B2216" s="419">
        <v>0.99690000000000001</v>
      </c>
    </row>
    <row r="2217" spans="1:2" hidden="1" x14ac:dyDescent="0.35">
      <c r="A2217" s="426" t="s">
        <v>2747</v>
      </c>
      <c r="B2217" s="419">
        <v>0.998</v>
      </c>
    </row>
    <row r="2218" spans="1:2" hidden="1" x14ac:dyDescent="0.35">
      <c r="A2218" s="426" t="s">
        <v>2748</v>
      </c>
      <c r="B2218" s="419">
        <v>0.99580000000000002</v>
      </c>
    </row>
    <row r="2219" spans="1:2" hidden="1" x14ac:dyDescent="0.35">
      <c r="A2219" s="426" t="s">
        <v>2749</v>
      </c>
      <c r="B2219" s="419">
        <v>1</v>
      </c>
    </row>
    <row r="2220" spans="1:2" hidden="1" x14ac:dyDescent="0.35">
      <c r="A2220" s="426" t="s">
        <v>2750</v>
      </c>
      <c r="B2220" s="419">
        <v>1</v>
      </c>
    </row>
    <row r="2221" spans="1:2" hidden="1" x14ac:dyDescent="0.35">
      <c r="A2221" s="426" t="s">
        <v>2751</v>
      </c>
      <c r="B2221" s="419">
        <v>0.99639999999999995</v>
      </c>
    </row>
    <row r="2222" spans="1:2" hidden="1" x14ac:dyDescent="0.35">
      <c r="A2222" s="426" t="s">
        <v>2752</v>
      </c>
      <c r="B2222" s="419">
        <v>1</v>
      </c>
    </row>
    <row r="2223" spans="1:2" hidden="1" x14ac:dyDescent="0.35">
      <c r="A2223" s="426" t="s">
        <v>2753</v>
      </c>
      <c r="B2223" s="419">
        <v>1</v>
      </c>
    </row>
    <row r="2224" spans="1:2" hidden="1" x14ac:dyDescent="0.35">
      <c r="A2224" s="426" t="s">
        <v>2754</v>
      </c>
      <c r="B2224" s="419">
        <v>0.99980000000000002</v>
      </c>
    </row>
    <row r="2225" spans="1:2" hidden="1" x14ac:dyDescent="0.35">
      <c r="A2225" s="426" t="s">
        <v>2755</v>
      </c>
      <c r="B2225" s="419">
        <v>0.99990000000000001</v>
      </c>
    </row>
    <row r="2226" spans="1:2" hidden="1" x14ac:dyDescent="0.35">
      <c r="A2226" s="426" t="s">
        <v>2756</v>
      </c>
      <c r="B2226" s="419">
        <v>0.99939999999999996</v>
      </c>
    </row>
    <row r="2227" spans="1:2" hidden="1" x14ac:dyDescent="0.35">
      <c r="A2227" s="426" t="s">
        <v>2757</v>
      </c>
      <c r="B2227" s="419">
        <v>1</v>
      </c>
    </row>
    <row r="2228" spans="1:2" hidden="1" x14ac:dyDescent="0.35">
      <c r="A2228" s="426" t="s">
        <v>2758</v>
      </c>
      <c r="B2228" s="419">
        <v>1</v>
      </c>
    </row>
    <row r="2229" spans="1:2" hidden="1" x14ac:dyDescent="0.35">
      <c r="A2229" s="426" t="s">
        <v>2759</v>
      </c>
      <c r="B2229" s="419">
        <v>0.99150000000000005</v>
      </c>
    </row>
    <row r="2230" spans="1:2" hidden="1" x14ac:dyDescent="0.35">
      <c r="A2230" s="426" t="s">
        <v>2760</v>
      </c>
      <c r="B2230" s="419">
        <v>0.99929999999999997</v>
      </c>
    </row>
    <row r="2231" spans="1:2" hidden="1" x14ac:dyDescent="0.35">
      <c r="A2231" s="426" t="s">
        <v>2761</v>
      </c>
      <c r="B2231" s="419">
        <v>0.99970000000000003</v>
      </c>
    </row>
    <row r="2232" spans="1:2" hidden="1" x14ac:dyDescent="0.35">
      <c r="A2232" s="426" t="s">
        <v>2762</v>
      </c>
      <c r="B2232" s="419">
        <v>0.99909999999999999</v>
      </c>
    </row>
    <row r="2233" spans="1:2" hidden="1" x14ac:dyDescent="0.35">
      <c r="A2233" s="426" t="s">
        <v>2763</v>
      </c>
      <c r="B2233" s="419">
        <v>0.998</v>
      </c>
    </row>
    <row r="2234" spans="1:2" hidden="1" x14ac:dyDescent="0.35">
      <c r="A2234" s="426" t="s">
        <v>2764</v>
      </c>
      <c r="B2234" s="419">
        <v>0.99870000000000003</v>
      </c>
    </row>
    <row r="2235" spans="1:2" hidden="1" x14ac:dyDescent="0.35">
      <c r="A2235" s="426" t="s">
        <v>2765</v>
      </c>
      <c r="B2235" s="419">
        <v>0.99570000000000003</v>
      </c>
    </row>
    <row r="2236" spans="1:2" hidden="1" x14ac:dyDescent="0.35">
      <c r="A2236" s="426" t="s">
        <v>2766</v>
      </c>
      <c r="B2236" s="419">
        <v>0.99329999999999996</v>
      </c>
    </row>
    <row r="2237" spans="1:2" hidden="1" x14ac:dyDescent="0.35">
      <c r="A2237" s="426" t="s">
        <v>2767</v>
      </c>
      <c r="B2237" s="419">
        <v>0.99539999999999995</v>
      </c>
    </row>
    <row r="2238" spans="1:2" hidden="1" x14ac:dyDescent="0.35">
      <c r="A2238" s="426" t="s">
        <v>2768</v>
      </c>
      <c r="B2238" s="419">
        <v>0.9889</v>
      </c>
    </row>
    <row r="2239" spans="1:2" hidden="1" x14ac:dyDescent="0.35">
      <c r="A2239" s="426" t="s">
        <v>2769</v>
      </c>
      <c r="B2239" s="419">
        <v>0.98880000000000001</v>
      </c>
    </row>
    <row r="2240" spans="1:2" hidden="1" x14ac:dyDescent="0.35">
      <c r="A2240" s="426" t="s">
        <v>2770</v>
      </c>
      <c r="B2240" s="419">
        <v>0.99760000000000004</v>
      </c>
    </row>
    <row r="2241" spans="1:2" hidden="1" x14ac:dyDescent="0.35">
      <c r="A2241" s="426" t="s">
        <v>2771</v>
      </c>
      <c r="B2241" s="419">
        <v>0.99990000000000001</v>
      </c>
    </row>
    <row r="2242" spans="1:2" hidden="1" x14ac:dyDescent="0.35">
      <c r="A2242" s="426" t="s">
        <v>2772</v>
      </c>
      <c r="B2242" s="419">
        <v>0.99970000000000003</v>
      </c>
    </row>
    <row r="2243" spans="1:2" hidden="1" x14ac:dyDescent="0.35">
      <c r="A2243" s="426" t="s">
        <v>2773</v>
      </c>
      <c r="B2243" s="419">
        <v>0.996</v>
      </c>
    </row>
    <row r="2244" spans="1:2" hidden="1" x14ac:dyDescent="0.35">
      <c r="A2244" s="426" t="s">
        <v>2774</v>
      </c>
      <c r="B2244" s="419">
        <v>0.99890000000000001</v>
      </c>
    </row>
    <row r="2245" spans="1:2" hidden="1" x14ac:dyDescent="0.35">
      <c r="A2245" s="426" t="s">
        <v>2775</v>
      </c>
      <c r="B2245" s="419">
        <v>0.99809999999999999</v>
      </c>
    </row>
    <row r="2246" spans="1:2" hidden="1" x14ac:dyDescent="0.35">
      <c r="A2246" s="426" t="s">
        <v>2776</v>
      </c>
      <c r="B2246" s="419">
        <v>1</v>
      </c>
    </row>
    <row r="2247" spans="1:2" hidden="1" x14ac:dyDescent="0.35">
      <c r="A2247" s="426" t="s">
        <v>2777</v>
      </c>
      <c r="B2247" s="419">
        <v>0.99970000000000003</v>
      </c>
    </row>
    <row r="2248" spans="1:2" hidden="1" x14ac:dyDescent="0.35">
      <c r="A2248" s="426" t="s">
        <v>2778</v>
      </c>
      <c r="B2248" s="419">
        <v>0.99619999999999997</v>
      </c>
    </row>
    <row r="2249" spans="1:2" hidden="1" x14ac:dyDescent="0.35">
      <c r="A2249" s="426" t="s">
        <v>2779</v>
      </c>
      <c r="B2249" s="419">
        <v>1</v>
      </c>
    </row>
    <row r="2250" spans="1:2" hidden="1" x14ac:dyDescent="0.35">
      <c r="A2250" s="426" t="s">
        <v>2780</v>
      </c>
      <c r="B2250" s="419">
        <v>1</v>
      </c>
    </row>
    <row r="2251" spans="1:2" hidden="1" x14ac:dyDescent="0.35">
      <c r="A2251" s="426" t="s">
        <v>2781</v>
      </c>
      <c r="B2251" s="419">
        <v>0.99970000000000003</v>
      </c>
    </row>
    <row r="2252" spans="1:2" hidden="1" x14ac:dyDescent="0.35">
      <c r="A2252" s="426" t="s">
        <v>2782</v>
      </c>
      <c r="B2252" s="419">
        <v>0.97909999999999997</v>
      </c>
    </row>
    <row r="2253" spans="1:2" hidden="1" x14ac:dyDescent="0.35">
      <c r="A2253" s="426" t="s">
        <v>2783</v>
      </c>
      <c r="B2253" s="419">
        <v>0.99719999999999998</v>
      </c>
    </row>
    <row r="2254" spans="1:2" hidden="1" x14ac:dyDescent="0.35">
      <c r="A2254" s="426" t="s">
        <v>2784</v>
      </c>
      <c r="B2254" s="419">
        <v>1</v>
      </c>
    </row>
    <row r="2255" spans="1:2" hidden="1" x14ac:dyDescent="0.35">
      <c r="A2255" s="426" t="s">
        <v>2785</v>
      </c>
      <c r="B2255" s="419">
        <v>1</v>
      </c>
    </row>
    <row r="2256" spans="1:2" hidden="1" x14ac:dyDescent="0.35">
      <c r="A2256" s="426" t="s">
        <v>2786</v>
      </c>
      <c r="B2256" s="419">
        <v>0.99450000000000005</v>
      </c>
    </row>
    <row r="2257" spans="1:2" hidden="1" x14ac:dyDescent="0.35">
      <c r="A2257" s="426" t="s">
        <v>2787</v>
      </c>
      <c r="B2257" s="419">
        <v>0.997</v>
      </c>
    </row>
    <row r="2258" spans="1:2" hidden="1" x14ac:dyDescent="0.35">
      <c r="A2258" s="426" t="s">
        <v>2788</v>
      </c>
      <c r="B2258" s="419">
        <v>0.99829999999999997</v>
      </c>
    </row>
    <row r="2259" spans="1:2" hidden="1" x14ac:dyDescent="0.35">
      <c r="A2259" s="426" t="s">
        <v>2789</v>
      </c>
      <c r="B2259" s="419">
        <v>1</v>
      </c>
    </row>
    <row r="2260" spans="1:2" hidden="1" x14ac:dyDescent="0.35">
      <c r="A2260" s="426" t="s">
        <v>2790</v>
      </c>
      <c r="B2260" s="419">
        <v>1</v>
      </c>
    </row>
    <row r="2261" spans="1:2" hidden="1" x14ac:dyDescent="0.35">
      <c r="A2261" s="426" t="s">
        <v>2791</v>
      </c>
      <c r="B2261" s="419">
        <v>0.99470000000000003</v>
      </c>
    </row>
    <row r="2262" spans="1:2" hidden="1" x14ac:dyDescent="0.35">
      <c r="A2262" s="426" t="s">
        <v>2792</v>
      </c>
      <c r="B2262" s="419">
        <v>0.99739999999999995</v>
      </c>
    </row>
    <row r="2263" spans="1:2" hidden="1" x14ac:dyDescent="0.35">
      <c r="A2263" s="426" t="s">
        <v>2793</v>
      </c>
      <c r="B2263" s="419">
        <v>0.98719999999999997</v>
      </c>
    </row>
    <row r="2264" spans="1:2" hidden="1" x14ac:dyDescent="0.35">
      <c r="A2264" s="426" t="s">
        <v>2794</v>
      </c>
      <c r="B2264" s="419">
        <v>0.99829999999999997</v>
      </c>
    </row>
    <row r="2265" spans="1:2" hidden="1" x14ac:dyDescent="0.35">
      <c r="A2265" s="426" t="s">
        <v>2795</v>
      </c>
      <c r="B2265" s="419">
        <v>0.99670000000000003</v>
      </c>
    </row>
    <row r="2266" spans="1:2" hidden="1" x14ac:dyDescent="0.35">
      <c r="A2266" s="426" t="s">
        <v>2796</v>
      </c>
      <c r="B2266" s="419">
        <v>1</v>
      </c>
    </row>
    <row r="2267" spans="1:2" hidden="1" x14ac:dyDescent="0.35">
      <c r="A2267" s="426" t="s">
        <v>2797</v>
      </c>
      <c r="B2267" s="419">
        <v>1</v>
      </c>
    </row>
    <row r="2268" spans="1:2" hidden="1" x14ac:dyDescent="0.35">
      <c r="A2268" s="426" t="s">
        <v>2798</v>
      </c>
      <c r="B2268" s="419">
        <v>0.99819999999999998</v>
      </c>
    </row>
    <row r="2269" spans="1:2" hidden="1" x14ac:dyDescent="0.35">
      <c r="A2269" s="426" t="s">
        <v>2799</v>
      </c>
      <c r="B2269" s="419">
        <v>1</v>
      </c>
    </row>
    <row r="2270" spans="1:2" hidden="1" x14ac:dyDescent="0.35">
      <c r="A2270" s="426" t="s">
        <v>2800</v>
      </c>
      <c r="B2270" s="419">
        <v>1</v>
      </c>
    </row>
    <row r="2271" spans="1:2" hidden="1" x14ac:dyDescent="0.35">
      <c r="A2271" s="426" t="s">
        <v>2801</v>
      </c>
      <c r="B2271" s="419">
        <v>1</v>
      </c>
    </row>
    <row r="2272" spans="1:2" hidden="1" x14ac:dyDescent="0.35">
      <c r="A2272" s="426" t="s">
        <v>2802</v>
      </c>
      <c r="B2272" s="419">
        <v>0.99680000000000002</v>
      </c>
    </row>
    <row r="2273" spans="1:2" hidden="1" x14ac:dyDescent="0.35">
      <c r="A2273" s="426" t="s">
        <v>2803</v>
      </c>
      <c r="B2273" s="419">
        <v>0.98899999999999999</v>
      </c>
    </row>
    <row r="2274" spans="1:2" hidden="1" x14ac:dyDescent="0.35">
      <c r="A2274" s="426" t="s">
        <v>2804</v>
      </c>
      <c r="B2274" s="419">
        <v>1</v>
      </c>
    </row>
    <row r="2275" spans="1:2" hidden="1" x14ac:dyDescent="0.35">
      <c r="A2275" s="426" t="s">
        <v>2805</v>
      </c>
      <c r="B2275" s="419">
        <v>0.99850000000000005</v>
      </c>
    </row>
    <row r="2276" spans="1:2" hidden="1" x14ac:dyDescent="0.35">
      <c r="A2276" s="426" t="s">
        <v>2806</v>
      </c>
      <c r="B2276" s="419">
        <v>0.99399999999999999</v>
      </c>
    </row>
    <row r="2277" spans="1:2" hidden="1" x14ac:dyDescent="0.35">
      <c r="A2277" s="426" t="s">
        <v>2807</v>
      </c>
      <c r="B2277" s="419">
        <v>1</v>
      </c>
    </row>
    <row r="2278" spans="1:2" hidden="1" x14ac:dyDescent="0.35">
      <c r="A2278" s="426" t="s">
        <v>2808</v>
      </c>
      <c r="B2278" s="419">
        <v>1</v>
      </c>
    </row>
    <row r="2279" spans="1:2" hidden="1" x14ac:dyDescent="0.35">
      <c r="A2279" s="426" t="s">
        <v>2809</v>
      </c>
      <c r="B2279" s="419">
        <v>0.99819999999999998</v>
      </c>
    </row>
    <row r="2280" spans="1:2" hidden="1" x14ac:dyDescent="0.35">
      <c r="A2280" s="426" t="s">
        <v>2810</v>
      </c>
      <c r="B2280" s="419">
        <v>0.99280000000000002</v>
      </c>
    </row>
    <row r="2281" spans="1:2" hidden="1" x14ac:dyDescent="0.35">
      <c r="A2281" s="426" t="s">
        <v>2811</v>
      </c>
      <c r="B2281" s="419">
        <v>0.99639999999999995</v>
      </c>
    </row>
    <row r="2282" spans="1:2" hidden="1" x14ac:dyDescent="0.35">
      <c r="A2282" s="426" t="s">
        <v>2812</v>
      </c>
      <c r="B2282" s="419">
        <v>1</v>
      </c>
    </row>
    <row r="2283" spans="1:2" hidden="1" x14ac:dyDescent="0.35">
      <c r="A2283" s="426" t="s">
        <v>2813</v>
      </c>
      <c r="B2283" s="419">
        <v>0.99890000000000001</v>
      </c>
    </row>
    <row r="2284" spans="1:2" hidden="1" x14ac:dyDescent="0.35">
      <c r="A2284" s="426" t="s">
        <v>2814</v>
      </c>
      <c r="B2284" s="419">
        <v>0.99270000000000003</v>
      </c>
    </row>
    <row r="2285" spans="1:2" hidden="1" x14ac:dyDescent="0.35">
      <c r="A2285" s="426" t="s">
        <v>2815</v>
      </c>
      <c r="B2285" s="419">
        <v>0.99590000000000001</v>
      </c>
    </row>
    <row r="2286" spans="1:2" hidden="1" x14ac:dyDescent="0.35">
      <c r="A2286" s="426" t="s">
        <v>2816</v>
      </c>
      <c r="B2286" s="419">
        <v>1</v>
      </c>
    </row>
    <row r="2287" spans="1:2" hidden="1" x14ac:dyDescent="0.35">
      <c r="A2287" s="426" t="s">
        <v>2817</v>
      </c>
      <c r="B2287" s="419">
        <v>0.99219999999999997</v>
      </c>
    </row>
    <row r="2288" spans="1:2" hidden="1" x14ac:dyDescent="0.35">
      <c r="A2288" s="426" t="s">
        <v>2818</v>
      </c>
      <c r="B2288" s="419">
        <v>0.99660000000000004</v>
      </c>
    </row>
    <row r="2289" spans="1:2" hidden="1" x14ac:dyDescent="0.35">
      <c r="A2289" s="426" t="s">
        <v>2819</v>
      </c>
      <c r="B2289" s="419">
        <v>0.99819999999999998</v>
      </c>
    </row>
    <row r="2290" spans="1:2" hidden="1" x14ac:dyDescent="0.35">
      <c r="A2290" s="426" t="s">
        <v>2820</v>
      </c>
      <c r="B2290" s="419">
        <v>1</v>
      </c>
    </row>
    <row r="2291" spans="1:2" hidden="1" x14ac:dyDescent="0.35">
      <c r="A2291" s="426" t="s">
        <v>2821</v>
      </c>
      <c r="B2291" s="419">
        <v>0.99980000000000002</v>
      </c>
    </row>
    <row r="2292" spans="1:2" hidden="1" x14ac:dyDescent="0.35">
      <c r="A2292" s="426" t="s">
        <v>2822</v>
      </c>
      <c r="B2292" s="419">
        <v>0.99529999999999996</v>
      </c>
    </row>
    <row r="2293" spans="1:2" hidden="1" x14ac:dyDescent="0.35">
      <c r="A2293" s="426" t="s">
        <v>2823</v>
      </c>
      <c r="B2293" s="419">
        <v>0.99060000000000004</v>
      </c>
    </row>
    <row r="2294" spans="1:2" hidden="1" x14ac:dyDescent="0.35">
      <c r="A2294" s="426" t="s">
        <v>2824</v>
      </c>
      <c r="B2294" s="419">
        <v>0.995</v>
      </c>
    </row>
    <row r="2295" spans="1:2" hidden="1" x14ac:dyDescent="0.35">
      <c r="A2295" s="426" t="s">
        <v>2825</v>
      </c>
      <c r="B2295" s="419">
        <v>0.99570000000000003</v>
      </c>
    </row>
    <row r="2296" spans="1:2" hidden="1" x14ac:dyDescent="0.35">
      <c r="A2296" s="426" t="s">
        <v>2826</v>
      </c>
      <c r="B2296" s="419">
        <v>0.99980000000000002</v>
      </c>
    </row>
    <row r="2297" spans="1:2" hidden="1" x14ac:dyDescent="0.35">
      <c r="A2297" s="426" t="s">
        <v>2827</v>
      </c>
      <c r="B2297" s="419">
        <v>1</v>
      </c>
    </row>
    <row r="2298" spans="1:2" hidden="1" x14ac:dyDescent="0.35">
      <c r="A2298" s="426" t="s">
        <v>2828</v>
      </c>
      <c r="B2298" s="419">
        <v>0.99629999999999996</v>
      </c>
    </row>
    <row r="2299" spans="1:2" hidden="1" x14ac:dyDescent="0.35">
      <c r="A2299" s="426" t="s">
        <v>2829</v>
      </c>
      <c r="B2299" s="419">
        <v>0.99480000000000002</v>
      </c>
    </row>
    <row r="2300" spans="1:2" hidden="1" x14ac:dyDescent="0.35">
      <c r="A2300" s="426" t="s">
        <v>2830</v>
      </c>
      <c r="B2300" s="419">
        <v>0.99819999999999998</v>
      </c>
    </row>
    <row r="2301" spans="1:2" hidden="1" x14ac:dyDescent="0.35">
      <c r="A2301" s="426" t="s">
        <v>2831</v>
      </c>
      <c r="B2301" s="419">
        <v>0.99580000000000002</v>
      </c>
    </row>
    <row r="2302" spans="1:2" hidden="1" x14ac:dyDescent="0.35">
      <c r="A2302" s="426" t="s">
        <v>2832</v>
      </c>
      <c r="B2302" s="419">
        <v>0.99639999999999995</v>
      </c>
    </row>
    <row r="2303" spans="1:2" hidden="1" x14ac:dyDescent="0.35">
      <c r="A2303" s="426" t="s">
        <v>2833</v>
      </c>
      <c r="B2303" s="419">
        <v>1</v>
      </c>
    </row>
    <row r="2304" spans="1:2" hidden="1" x14ac:dyDescent="0.35">
      <c r="A2304" s="426" t="s">
        <v>2834</v>
      </c>
      <c r="B2304" s="419">
        <v>0.99790000000000001</v>
      </c>
    </row>
    <row r="2305" spans="1:2" hidden="1" x14ac:dyDescent="0.35">
      <c r="A2305" s="426" t="s">
        <v>2835</v>
      </c>
      <c r="B2305" s="419">
        <v>0.99790000000000001</v>
      </c>
    </row>
    <row r="2306" spans="1:2" hidden="1" x14ac:dyDescent="0.35">
      <c r="A2306" s="426" t="s">
        <v>2836</v>
      </c>
      <c r="B2306" s="419">
        <v>0.99129999999999996</v>
      </c>
    </row>
    <row r="2307" spans="1:2" hidden="1" x14ac:dyDescent="0.35">
      <c r="A2307" s="426" t="s">
        <v>2837</v>
      </c>
      <c r="B2307" s="419">
        <v>0.99870000000000003</v>
      </c>
    </row>
    <row r="2308" spans="1:2" hidden="1" x14ac:dyDescent="0.35">
      <c r="A2308" s="426" t="s">
        <v>2838</v>
      </c>
      <c r="B2308" s="419">
        <v>0.99960000000000004</v>
      </c>
    </row>
    <row r="2309" spans="1:2" hidden="1" x14ac:dyDescent="0.35">
      <c r="A2309" s="426" t="s">
        <v>2839</v>
      </c>
      <c r="B2309" s="419">
        <v>0.99690000000000001</v>
      </c>
    </row>
    <row r="2310" spans="1:2" hidden="1" x14ac:dyDescent="0.35">
      <c r="A2310" s="426" t="s">
        <v>2840</v>
      </c>
      <c r="B2310" s="419">
        <v>0.999</v>
      </c>
    </row>
    <row r="2311" spans="1:2" hidden="1" x14ac:dyDescent="0.35">
      <c r="A2311" s="426" t="s">
        <v>2841</v>
      </c>
      <c r="B2311" s="419">
        <v>0.998</v>
      </c>
    </row>
    <row r="2312" spans="1:2" hidden="1" x14ac:dyDescent="0.35">
      <c r="A2312" s="426" t="s">
        <v>2842</v>
      </c>
      <c r="B2312" s="419">
        <v>1</v>
      </c>
    </row>
    <row r="2313" spans="1:2" hidden="1" x14ac:dyDescent="0.35">
      <c r="A2313" s="426" t="s">
        <v>2843</v>
      </c>
      <c r="B2313" s="419">
        <v>0.99639999999999995</v>
      </c>
    </row>
    <row r="2314" spans="1:2" hidden="1" x14ac:dyDescent="0.35">
      <c r="A2314" s="426" t="s">
        <v>2844</v>
      </c>
      <c r="B2314" s="419">
        <v>0.99490000000000001</v>
      </c>
    </row>
    <row r="2315" spans="1:2" hidden="1" x14ac:dyDescent="0.35">
      <c r="A2315" s="426" t="s">
        <v>2845</v>
      </c>
      <c r="B2315" s="419">
        <v>0.99760000000000004</v>
      </c>
    </row>
    <row r="2316" spans="1:2" hidden="1" x14ac:dyDescent="0.35">
      <c r="A2316" s="426" t="s">
        <v>2846</v>
      </c>
      <c r="B2316" s="419">
        <v>0.99960000000000004</v>
      </c>
    </row>
    <row r="2317" spans="1:2" hidden="1" x14ac:dyDescent="0.35">
      <c r="A2317" s="426" t="s">
        <v>2847</v>
      </c>
      <c r="B2317" s="419">
        <v>0.99390000000000001</v>
      </c>
    </row>
    <row r="2318" spans="1:2" hidden="1" x14ac:dyDescent="0.35">
      <c r="A2318" s="426" t="s">
        <v>2848</v>
      </c>
      <c r="B2318" s="419">
        <v>0.99850000000000005</v>
      </c>
    </row>
    <row r="2319" spans="1:2" hidden="1" x14ac:dyDescent="0.35">
      <c r="A2319" s="426" t="s">
        <v>2849</v>
      </c>
      <c r="B2319" s="419">
        <v>0.99929999999999997</v>
      </c>
    </row>
    <row r="2320" spans="1:2" hidden="1" x14ac:dyDescent="0.35">
      <c r="A2320" s="426" t="s">
        <v>2850</v>
      </c>
      <c r="B2320" s="419">
        <v>0.99429999999999996</v>
      </c>
    </row>
    <row r="2321" spans="1:2" hidden="1" x14ac:dyDescent="0.35">
      <c r="A2321" s="426" t="s">
        <v>2851</v>
      </c>
      <c r="B2321" s="419">
        <v>0.99860000000000004</v>
      </c>
    </row>
    <row r="2322" spans="1:2" hidden="1" x14ac:dyDescent="0.35">
      <c r="A2322" s="426" t="s">
        <v>2852</v>
      </c>
      <c r="B2322" s="419">
        <v>0.99819999999999998</v>
      </c>
    </row>
    <row r="2323" spans="1:2" hidden="1" x14ac:dyDescent="0.35">
      <c r="A2323" s="426" t="s">
        <v>2853</v>
      </c>
      <c r="B2323" s="419">
        <v>0.98640000000000005</v>
      </c>
    </row>
    <row r="2324" spans="1:2" hidden="1" x14ac:dyDescent="0.35">
      <c r="A2324" s="426" t="s">
        <v>2854</v>
      </c>
      <c r="B2324" s="419">
        <v>0.99970000000000003</v>
      </c>
    </row>
    <row r="2325" spans="1:2" hidden="1" x14ac:dyDescent="0.35">
      <c r="A2325" s="426" t="s">
        <v>2855</v>
      </c>
      <c r="B2325" s="419">
        <v>0.99880000000000002</v>
      </c>
    </row>
    <row r="2326" spans="1:2" hidden="1" x14ac:dyDescent="0.35">
      <c r="A2326" s="426" t="s">
        <v>2856</v>
      </c>
      <c r="B2326" s="419">
        <v>0.99709999999999999</v>
      </c>
    </row>
    <row r="2327" spans="1:2" hidden="1" x14ac:dyDescent="0.35">
      <c r="A2327" s="426" t="s">
        <v>2857</v>
      </c>
      <c r="B2327" s="419">
        <v>0.99560000000000004</v>
      </c>
    </row>
    <row r="2328" spans="1:2" hidden="1" x14ac:dyDescent="0.35">
      <c r="A2328" s="426" t="s">
        <v>2858</v>
      </c>
      <c r="B2328" s="419">
        <v>0.99990000000000001</v>
      </c>
    </row>
    <row r="2329" spans="1:2" hidden="1" x14ac:dyDescent="0.35">
      <c r="A2329" s="426" t="s">
        <v>2859</v>
      </c>
      <c r="B2329" s="419">
        <v>0.99390000000000001</v>
      </c>
    </row>
    <row r="2330" spans="1:2" hidden="1" x14ac:dyDescent="0.35">
      <c r="A2330" s="426" t="s">
        <v>2860</v>
      </c>
      <c r="B2330" s="419">
        <v>0.99219999999999997</v>
      </c>
    </row>
    <row r="2331" spans="1:2" hidden="1" x14ac:dyDescent="0.35">
      <c r="A2331" s="426" t="s">
        <v>2861</v>
      </c>
      <c r="B2331" s="419">
        <v>0.99909999999999999</v>
      </c>
    </row>
    <row r="2332" spans="1:2" hidden="1" x14ac:dyDescent="0.35">
      <c r="A2332" s="426" t="s">
        <v>2862</v>
      </c>
      <c r="B2332" s="419">
        <v>0.98929999999999996</v>
      </c>
    </row>
    <row r="2333" spans="1:2" hidden="1" x14ac:dyDescent="0.35">
      <c r="A2333" s="426" t="s">
        <v>2863</v>
      </c>
      <c r="B2333" s="419">
        <v>0.99199999999999999</v>
      </c>
    </row>
    <row r="2334" spans="1:2" hidden="1" x14ac:dyDescent="0.35">
      <c r="A2334" s="426" t="s">
        <v>2864</v>
      </c>
      <c r="B2334" s="419">
        <v>0.9929</v>
      </c>
    </row>
    <row r="2335" spans="1:2" hidden="1" x14ac:dyDescent="0.35">
      <c r="A2335" s="426" t="s">
        <v>2865</v>
      </c>
      <c r="B2335" s="419">
        <v>0.99099999999999999</v>
      </c>
    </row>
    <row r="2336" spans="1:2" hidden="1" x14ac:dyDescent="0.35">
      <c r="A2336" s="426" t="s">
        <v>2866</v>
      </c>
      <c r="B2336" s="419">
        <v>1</v>
      </c>
    </row>
    <row r="2337" spans="1:2" hidden="1" x14ac:dyDescent="0.35">
      <c r="A2337" s="426" t="s">
        <v>2867</v>
      </c>
      <c r="B2337" s="419">
        <v>0.99870000000000003</v>
      </c>
    </row>
    <row r="2338" spans="1:2" hidden="1" x14ac:dyDescent="0.35">
      <c r="A2338" s="426" t="s">
        <v>2868</v>
      </c>
      <c r="B2338" s="419">
        <v>0.99960000000000004</v>
      </c>
    </row>
    <row r="2339" spans="1:2" hidden="1" x14ac:dyDescent="0.35">
      <c r="A2339" s="426" t="s">
        <v>2869</v>
      </c>
      <c r="B2339" s="419">
        <v>0.97689999999999999</v>
      </c>
    </row>
    <row r="2340" spans="1:2" hidden="1" x14ac:dyDescent="0.35">
      <c r="A2340" s="426" t="s">
        <v>2870</v>
      </c>
      <c r="B2340" s="419">
        <v>0.98099999999999998</v>
      </c>
    </row>
    <row r="2341" spans="1:2" hidden="1" x14ac:dyDescent="0.35">
      <c r="A2341" s="426" t="s">
        <v>2871</v>
      </c>
      <c r="B2341" s="419">
        <v>0.97</v>
      </c>
    </row>
    <row r="2342" spans="1:2" hidden="1" x14ac:dyDescent="0.35">
      <c r="A2342" s="426" t="s">
        <v>2872</v>
      </c>
      <c r="B2342" s="419">
        <v>1</v>
      </c>
    </row>
    <row r="2343" spans="1:2" hidden="1" x14ac:dyDescent="0.35">
      <c r="A2343" s="426" t="s">
        <v>2873</v>
      </c>
      <c r="B2343" s="419">
        <v>1</v>
      </c>
    </row>
    <row r="2344" spans="1:2" hidden="1" x14ac:dyDescent="0.35">
      <c r="A2344" s="426" t="s">
        <v>2874</v>
      </c>
      <c r="B2344" s="419">
        <v>1</v>
      </c>
    </row>
    <row r="2345" spans="1:2" hidden="1" x14ac:dyDescent="0.35">
      <c r="A2345" s="426" t="s">
        <v>2875</v>
      </c>
      <c r="B2345" s="419">
        <v>1</v>
      </c>
    </row>
    <row r="2346" spans="1:2" hidden="1" x14ac:dyDescent="0.35">
      <c r="A2346" s="426" t="s">
        <v>2876</v>
      </c>
      <c r="B2346" s="419">
        <v>1</v>
      </c>
    </row>
    <row r="2347" spans="1:2" hidden="1" x14ac:dyDescent="0.35">
      <c r="A2347" s="426" t="s">
        <v>2877</v>
      </c>
      <c r="B2347" s="419">
        <v>0.99580000000000002</v>
      </c>
    </row>
    <row r="2348" spans="1:2" hidden="1" x14ac:dyDescent="0.35">
      <c r="A2348" s="426" t="s">
        <v>2878</v>
      </c>
      <c r="B2348" s="419">
        <v>0.99650000000000005</v>
      </c>
    </row>
    <row r="2349" spans="1:2" hidden="1" x14ac:dyDescent="0.35">
      <c r="A2349" s="426" t="s">
        <v>2879</v>
      </c>
      <c r="B2349" s="419">
        <v>0.99939999999999996</v>
      </c>
    </row>
    <row r="2350" spans="1:2" hidden="1" x14ac:dyDescent="0.35">
      <c r="A2350" s="426" t="s">
        <v>2880</v>
      </c>
      <c r="B2350" s="419">
        <v>0.98229999999999995</v>
      </c>
    </row>
    <row r="2351" spans="1:2" hidden="1" x14ac:dyDescent="0.35">
      <c r="A2351" s="426" t="s">
        <v>2881</v>
      </c>
      <c r="B2351" s="419">
        <v>0.99399999999999999</v>
      </c>
    </row>
    <row r="2352" spans="1:2" hidden="1" x14ac:dyDescent="0.35">
      <c r="A2352" s="426" t="s">
        <v>2882</v>
      </c>
      <c r="B2352" s="419">
        <v>0.99870000000000003</v>
      </c>
    </row>
    <row r="2353" spans="1:2" hidden="1" x14ac:dyDescent="0.35">
      <c r="A2353" s="426" t="s">
        <v>2883</v>
      </c>
      <c r="B2353" s="419">
        <v>1</v>
      </c>
    </row>
    <row r="2354" spans="1:2" hidden="1" x14ac:dyDescent="0.35">
      <c r="A2354" s="426" t="s">
        <v>2884</v>
      </c>
      <c r="B2354" s="419">
        <v>1</v>
      </c>
    </row>
    <row r="2355" spans="1:2" hidden="1" x14ac:dyDescent="0.35">
      <c r="A2355" s="426" t="s">
        <v>2885</v>
      </c>
      <c r="B2355" s="419">
        <v>0.99909999999999999</v>
      </c>
    </row>
    <row r="2356" spans="1:2" hidden="1" x14ac:dyDescent="0.35">
      <c r="A2356" s="426" t="s">
        <v>2886</v>
      </c>
      <c r="B2356" s="419">
        <v>0.99639999999999995</v>
      </c>
    </row>
    <row r="2357" spans="1:2" hidden="1" x14ac:dyDescent="0.35">
      <c r="A2357" s="426" t="s">
        <v>2887</v>
      </c>
      <c r="B2357" s="419">
        <v>0.999</v>
      </c>
    </row>
    <row r="2358" spans="1:2" hidden="1" x14ac:dyDescent="0.35">
      <c r="A2358" s="426" t="s">
        <v>2888</v>
      </c>
      <c r="B2358" s="419">
        <v>0.99339999999999995</v>
      </c>
    </row>
    <row r="2359" spans="1:2" hidden="1" x14ac:dyDescent="0.35">
      <c r="A2359" s="426" t="s">
        <v>2889</v>
      </c>
      <c r="B2359" s="419">
        <v>0.99619999999999997</v>
      </c>
    </row>
    <row r="2360" spans="1:2" hidden="1" x14ac:dyDescent="0.35">
      <c r="A2360" s="426" t="s">
        <v>2890</v>
      </c>
      <c r="B2360" s="419">
        <v>0.99260000000000004</v>
      </c>
    </row>
    <row r="2361" spans="1:2" hidden="1" x14ac:dyDescent="0.35">
      <c r="A2361" s="426" t="s">
        <v>2891</v>
      </c>
      <c r="B2361" s="419">
        <v>0.99629999999999996</v>
      </c>
    </row>
    <row r="2362" spans="1:2" hidden="1" x14ac:dyDescent="0.35">
      <c r="A2362" s="426" t="s">
        <v>2892</v>
      </c>
      <c r="B2362" s="419">
        <v>0.99990000000000001</v>
      </c>
    </row>
    <row r="2363" spans="1:2" hidden="1" x14ac:dyDescent="0.35">
      <c r="A2363" s="426" t="s">
        <v>2893</v>
      </c>
      <c r="B2363" s="419">
        <v>0.99760000000000004</v>
      </c>
    </row>
    <row r="2364" spans="1:2" hidden="1" x14ac:dyDescent="0.35">
      <c r="A2364" s="426" t="s">
        <v>2894</v>
      </c>
      <c r="B2364" s="419">
        <v>0.998</v>
      </c>
    </row>
    <row r="2365" spans="1:2" hidden="1" x14ac:dyDescent="0.35">
      <c r="A2365" s="426" t="s">
        <v>2895</v>
      </c>
      <c r="B2365" s="419">
        <v>1</v>
      </c>
    </row>
    <row r="2366" spans="1:2" hidden="1" x14ac:dyDescent="0.35">
      <c r="A2366" s="426" t="s">
        <v>2896</v>
      </c>
      <c r="B2366" s="419">
        <v>0.99560000000000004</v>
      </c>
    </row>
    <row r="2367" spans="1:2" hidden="1" x14ac:dyDescent="0.35">
      <c r="A2367" s="426" t="s">
        <v>2897</v>
      </c>
      <c r="B2367" s="419">
        <v>0.98939999999999995</v>
      </c>
    </row>
    <row r="2368" spans="1:2" hidden="1" x14ac:dyDescent="0.35">
      <c r="A2368" s="426" t="s">
        <v>2898</v>
      </c>
      <c r="B2368" s="419">
        <v>0.99919999999999998</v>
      </c>
    </row>
    <row r="2369" spans="1:2" hidden="1" x14ac:dyDescent="0.35">
      <c r="A2369" s="426" t="s">
        <v>2899</v>
      </c>
      <c r="B2369" s="419">
        <v>1</v>
      </c>
    </row>
    <row r="2370" spans="1:2" hidden="1" x14ac:dyDescent="0.35">
      <c r="A2370" s="426" t="s">
        <v>2900</v>
      </c>
      <c r="B2370" s="419">
        <v>0.99990000000000001</v>
      </c>
    </row>
    <row r="2371" spans="1:2" hidden="1" x14ac:dyDescent="0.35">
      <c r="A2371" s="426" t="s">
        <v>2901</v>
      </c>
      <c r="B2371" s="419">
        <v>0.99850000000000005</v>
      </c>
    </row>
    <row r="2372" spans="1:2" hidden="1" x14ac:dyDescent="0.35">
      <c r="A2372" s="426" t="s">
        <v>2902</v>
      </c>
      <c r="B2372" s="419">
        <v>0.997</v>
      </c>
    </row>
    <row r="2373" spans="1:2" hidden="1" x14ac:dyDescent="0.35">
      <c r="A2373" s="426" t="s">
        <v>2903</v>
      </c>
      <c r="B2373" s="419">
        <v>0.99570000000000003</v>
      </c>
    </row>
    <row r="2374" spans="1:2" hidden="1" x14ac:dyDescent="0.35">
      <c r="A2374" s="426" t="s">
        <v>2904</v>
      </c>
      <c r="B2374" s="419">
        <v>0.99890000000000001</v>
      </c>
    </row>
    <row r="2375" spans="1:2" hidden="1" x14ac:dyDescent="0.35">
      <c r="A2375" s="426" t="s">
        <v>2905</v>
      </c>
      <c r="B2375" s="419">
        <v>0.99490000000000001</v>
      </c>
    </row>
    <row r="2376" spans="1:2" hidden="1" x14ac:dyDescent="0.35">
      <c r="A2376" s="426" t="s">
        <v>2906</v>
      </c>
      <c r="B2376" s="419">
        <v>0.99390000000000001</v>
      </c>
    </row>
    <row r="2377" spans="1:2" hidden="1" x14ac:dyDescent="0.35">
      <c r="A2377" s="426" t="s">
        <v>2907</v>
      </c>
      <c r="B2377" s="419">
        <v>0.99639999999999995</v>
      </c>
    </row>
    <row r="2378" spans="1:2" hidden="1" x14ac:dyDescent="0.35">
      <c r="A2378" s="426" t="s">
        <v>2908</v>
      </c>
      <c r="B2378" s="419">
        <v>0.99990000000000001</v>
      </c>
    </row>
    <row r="2379" spans="1:2" hidden="1" x14ac:dyDescent="0.35">
      <c r="A2379" s="426" t="s">
        <v>2909</v>
      </c>
      <c r="B2379" s="419">
        <v>0.99950000000000006</v>
      </c>
    </row>
    <row r="2380" spans="1:2" hidden="1" x14ac:dyDescent="0.35">
      <c r="A2380" s="426" t="s">
        <v>2910</v>
      </c>
      <c r="B2380" s="419">
        <v>1</v>
      </c>
    </row>
    <row r="2381" spans="1:2" hidden="1" x14ac:dyDescent="0.35">
      <c r="A2381" s="426" t="s">
        <v>2911</v>
      </c>
      <c r="B2381" s="419">
        <v>0.99960000000000004</v>
      </c>
    </row>
    <row r="2382" spans="1:2" hidden="1" x14ac:dyDescent="0.35">
      <c r="A2382" s="426" t="s">
        <v>2912</v>
      </c>
      <c r="B2382" s="419">
        <v>1</v>
      </c>
    </row>
    <row r="2383" spans="1:2" hidden="1" x14ac:dyDescent="0.35">
      <c r="A2383" s="426" t="s">
        <v>2913</v>
      </c>
      <c r="B2383" s="419">
        <v>0.99960000000000004</v>
      </c>
    </row>
    <row r="2384" spans="1:2" hidden="1" x14ac:dyDescent="0.35">
      <c r="A2384" s="426" t="s">
        <v>2914</v>
      </c>
      <c r="B2384" s="419">
        <v>0.99770000000000003</v>
      </c>
    </row>
    <row r="2385" spans="1:2" hidden="1" x14ac:dyDescent="0.35">
      <c r="A2385" s="426" t="s">
        <v>2915</v>
      </c>
      <c r="B2385" s="419">
        <v>1</v>
      </c>
    </row>
    <row r="2386" spans="1:2" hidden="1" x14ac:dyDescent="0.35">
      <c r="A2386" s="426" t="s">
        <v>2916</v>
      </c>
      <c r="B2386" s="419">
        <v>1</v>
      </c>
    </row>
    <row r="2387" spans="1:2" hidden="1" x14ac:dyDescent="0.35">
      <c r="A2387" s="426" t="s">
        <v>2917</v>
      </c>
      <c r="B2387" s="419">
        <v>0.99970000000000003</v>
      </c>
    </row>
    <row r="2388" spans="1:2" hidden="1" x14ac:dyDescent="0.35">
      <c r="A2388" s="426" t="s">
        <v>2918</v>
      </c>
      <c r="B2388" s="419">
        <v>1</v>
      </c>
    </row>
    <row r="2389" spans="1:2" hidden="1" x14ac:dyDescent="0.35">
      <c r="A2389" s="426" t="s">
        <v>2919</v>
      </c>
      <c r="B2389" s="419">
        <v>1</v>
      </c>
    </row>
    <row r="2390" spans="1:2" hidden="1" x14ac:dyDescent="0.35">
      <c r="A2390" s="426" t="s">
        <v>2920</v>
      </c>
      <c r="B2390" s="419">
        <v>0.99890000000000001</v>
      </c>
    </row>
    <row r="2391" spans="1:2" hidden="1" x14ac:dyDescent="0.35">
      <c r="A2391" s="426" t="s">
        <v>2921</v>
      </c>
      <c r="B2391" s="419">
        <v>0.99919999999999998</v>
      </c>
    </row>
    <row r="2392" spans="1:2" hidden="1" x14ac:dyDescent="0.35">
      <c r="A2392" s="426" t="s">
        <v>2922</v>
      </c>
      <c r="B2392" s="419">
        <v>0.99439999999999995</v>
      </c>
    </row>
    <row r="2393" spans="1:2" hidden="1" x14ac:dyDescent="0.35">
      <c r="A2393" s="426" t="s">
        <v>2923</v>
      </c>
      <c r="B2393" s="419">
        <v>0.99950000000000006</v>
      </c>
    </row>
    <row r="2394" spans="1:2" hidden="1" x14ac:dyDescent="0.35">
      <c r="A2394" s="426" t="s">
        <v>2924</v>
      </c>
      <c r="B2394" s="419">
        <v>1</v>
      </c>
    </row>
    <row r="2395" spans="1:2" hidden="1" x14ac:dyDescent="0.35">
      <c r="A2395" s="426" t="s">
        <v>2925</v>
      </c>
      <c r="B2395" s="419">
        <v>0.99150000000000005</v>
      </c>
    </row>
    <row r="2396" spans="1:2" hidden="1" x14ac:dyDescent="0.35">
      <c r="A2396" s="426" t="s">
        <v>2926</v>
      </c>
      <c r="B2396" s="419">
        <v>0.99199999999999999</v>
      </c>
    </row>
    <row r="2397" spans="1:2" hidden="1" x14ac:dyDescent="0.35">
      <c r="A2397" s="426" t="s">
        <v>2927</v>
      </c>
      <c r="B2397" s="419">
        <v>0.99239999999999995</v>
      </c>
    </row>
    <row r="2398" spans="1:2" hidden="1" x14ac:dyDescent="0.35">
      <c r="A2398" s="426" t="s">
        <v>2928</v>
      </c>
      <c r="B2398" s="419">
        <v>0.9919</v>
      </c>
    </row>
    <row r="2399" spans="1:2" hidden="1" x14ac:dyDescent="0.35">
      <c r="A2399" s="426" t="s">
        <v>2929</v>
      </c>
      <c r="B2399" s="419">
        <v>0.99560000000000004</v>
      </c>
    </row>
    <row r="2400" spans="1:2" hidden="1" x14ac:dyDescent="0.35">
      <c r="A2400" s="426" t="s">
        <v>2930</v>
      </c>
      <c r="B2400" s="419">
        <v>0.99419999999999997</v>
      </c>
    </row>
    <row r="2401" spans="1:2" hidden="1" x14ac:dyDescent="0.35">
      <c r="A2401" s="426" t="s">
        <v>2931</v>
      </c>
      <c r="B2401" s="419">
        <v>1</v>
      </c>
    </row>
    <row r="2402" spans="1:2" hidden="1" x14ac:dyDescent="0.35">
      <c r="A2402" s="426" t="s">
        <v>2932</v>
      </c>
      <c r="B2402" s="419">
        <v>0.99970000000000003</v>
      </c>
    </row>
    <row r="2403" spans="1:2" hidden="1" x14ac:dyDescent="0.35">
      <c r="A2403" s="426" t="s">
        <v>2933</v>
      </c>
      <c r="B2403" s="419">
        <v>0.98980000000000001</v>
      </c>
    </row>
    <row r="2404" spans="1:2" hidden="1" x14ac:dyDescent="0.35">
      <c r="A2404" s="426" t="s">
        <v>2934</v>
      </c>
      <c r="B2404" s="419">
        <v>0.99690000000000001</v>
      </c>
    </row>
    <row r="2405" spans="1:2" hidden="1" x14ac:dyDescent="0.35">
      <c r="A2405" s="426" t="s">
        <v>2935</v>
      </c>
      <c r="B2405" s="419">
        <v>0.98019999999999996</v>
      </c>
    </row>
    <row r="2406" spans="1:2" hidden="1" x14ac:dyDescent="0.35">
      <c r="A2406" s="426" t="s">
        <v>2936</v>
      </c>
      <c r="B2406" s="419">
        <v>0.99850000000000005</v>
      </c>
    </row>
    <row r="2407" spans="1:2" hidden="1" x14ac:dyDescent="0.35">
      <c r="A2407" s="426" t="s">
        <v>2937</v>
      </c>
      <c r="B2407" s="419">
        <v>1</v>
      </c>
    </row>
    <row r="2408" spans="1:2" hidden="1" x14ac:dyDescent="0.35">
      <c r="A2408" s="426" t="s">
        <v>2938</v>
      </c>
      <c r="B2408" s="419">
        <v>0.997</v>
      </c>
    </row>
    <row r="2409" spans="1:2" hidden="1" x14ac:dyDescent="0.35">
      <c r="A2409" s="426" t="s">
        <v>2939</v>
      </c>
      <c r="B2409" s="419">
        <v>1</v>
      </c>
    </row>
    <row r="2410" spans="1:2" hidden="1" x14ac:dyDescent="0.35">
      <c r="A2410" s="426" t="s">
        <v>2940</v>
      </c>
      <c r="B2410" s="419">
        <v>0.99690000000000001</v>
      </c>
    </row>
    <row r="2411" spans="1:2" hidden="1" x14ac:dyDescent="0.35">
      <c r="A2411" s="426" t="s">
        <v>2941</v>
      </c>
      <c r="B2411" s="419">
        <v>0.99939999999999996</v>
      </c>
    </row>
    <row r="2412" spans="1:2" hidden="1" x14ac:dyDescent="0.35">
      <c r="A2412" s="426" t="s">
        <v>2942</v>
      </c>
      <c r="B2412" s="419">
        <v>1</v>
      </c>
    </row>
    <row r="2413" spans="1:2" hidden="1" x14ac:dyDescent="0.35">
      <c r="A2413" s="426" t="s">
        <v>2943</v>
      </c>
      <c r="B2413" s="419">
        <v>1</v>
      </c>
    </row>
    <row r="2414" spans="1:2" hidden="1" x14ac:dyDescent="0.35">
      <c r="A2414" s="426" t="s">
        <v>2944</v>
      </c>
      <c r="B2414" s="419">
        <v>0.99819999999999998</v>
      </c>
    </row>
    <row r="2415" spans="1:2" hidden="1" x14ac:dyDescent="0.35">
      <c r="A2415" s="426" t="s">
        <v>2945</v>
      </c>
      <c r="B2415" s="419">
        <v>0.99560000000000004</v>
      </c>
    </row>
    <row r="2416" spans="1:2" hidden="1" x14ac:dyDescent="0.35">
      <c r="A2416" s="426" t="s">
        <v>2946</v>
      </c>
      <c r="B2416" s="419">
        <v>0.99829999999999997</v>
      </c>
    </row>
    <row r="2417" spans="1:2" hidden="1" x14ac:dyDescent="0.35">
      <c r="A2417" s="426" t="s">
        <v>2947</v>
      </c>
      <c r="B2417" s="419">
        <v>0.99970000000000003</v>
      </c>
    </row>
    <row r="2418" spans="1:2" hidden="1" x14ac:dyDescent="0.35">
      <c r="A2418" s="426" t="s">
        <v>2948</v>
      </c>
      <c r="B2418" s="419">
        <v>1</v>
      </c>
    </row>
    <row r="2419" spans="1:2" hidden="1" x14ac:dyDescent="0.35">
      <c r="A2419" s="426" t="s">
        <v>2949</v>
      </c>
      <c r="B2419" s="419">
        <v>0.99980000000000002</v>
      </c>
    </row>
    <row r="2420" spans="1:2" hidden="1" x14ac:dyDescent="0.35">
      <c r="A2420" s="426" t="s">
        <v>2950</v>
      </c>
      <c r="B2420" s="419">
        <v>1</v>
      </c>
    </row>
    <row r="2421" spans="1:2" hidden="1" x14ac:dyDescent="0.35">
      <c r="A2421" s="426" t="s">
        <v>2951</v>
      </c>
      <c r="B2421" s="419">
        <v>0.99480000000000002</v>
      </c>
    </row>
    <row r="2422" spans="1:2" hidden="1" x14ac:dyDescent="0.35">
      <c r="A2422" s="426" t="s">
        <v>2952</v>
      </c>
      <c r="B2422" s="419">
        <v>0.99839999999999995</v>
      </c>
    </row>
    <row r="2423" spans="1:2" hidden="1" x14ac:dyDescent="0.35">
      <c r="A2423" s="426" t="s">
        <v>2953</v>
      </c>
      <c r="B2423" s="419">
        <v>0.99990000000000001</v>
      </c>
    </row>
    <row r="2424" spans="1:2" hidden="1" x14ac:dyDescent="0.35">
      <c r="A2424" s="426" t="s">
        <v>2954</v>
      </c>
      <c r="B2424" s="419">
        <v>0.99829999999999997</v>
      </c>
    </row>
    <row r="2425" spans="1:2" hidden="1" x14ac:dyDescent="0.35">
      <c r="A2425" s="426" t="s">
        <v>2955</v>
      </c>
      <c r="B2425" s="419">
        <v>0.99990000000000001</v>
      </c>
    </row>
    <row r="2426" spans="1:2" hidden="1" x14ac:dyDescent="0.35">
      <c r="A2426" s="426" t="s">
        <v>2956</v>
      </c>
      <c r="B2426" s="419">
        <v>1</v>
      </c>
    </row>
    <row r="2427" spans="1:2" hidden="1" x14ac:dyDescent="0.35">
      <c r="A2427" s="426" t="s">
        <v>2957</v>
      </c>
      <c r="B2427" s="419">
        <v>1</v>
      </c>
    </row>
    <row r="2428" spans="1:2" hidden="1" x14ac:dyDescent="0.35">
      <c r="A2428" s="426" t="s">
        <v>2958</v>
      </c>
      <c r="B2428" s="419">
        <v>0.99199999999999999</v>
      </c>
    </row>
    <row r="2429" spans="1:2" hidden="1" x14ac:dyDescent="0.35">
      <c r="A2429" s="426" t="s">
        <v>2959</v>
      </c>
      <c r="B2429" s="419">
        <v>1</v>
      </c>
    </row>
    <row r="2430" spans="1:2" hidden="1" x14ac:dyDescent="0.35">
      <c r="A2430" s="426" t="s">
        <v>2960</v>
      </c>
      <c r="B2430" s="419">
        <v>1</v>
      </c>
    </row>
    <row r="2431" spans="1:2" hidden="1" x14ac:dyDescent="0.35">
      <c r="A2431" s="426" t="s">
        <v>2961</v>
      </c>
      <c r="B2431" s="419">
        <v>1</v>
      </c>
    </row>
    <row r="2432" spans="1:2" hidden="1" x14ac:dyDescent="0.35">
      <c r="A2432" s="426" t="s">
        <v>2962</v>
      </c>
      <c r="B2432" s="419">
        <v>1</v>
      </c>
    </row>
    <row r="2433" spans="1:2" hidden="1" x14ac:dyDescent="0.35">
      <c r="A2433" s="426" t="s">
        <v>2963</v>
      </c>
      <c r="B2433" s="419">
        <v>1</v>
      </c>
    </row>
    <row r="2434" spans="1:2" hidden="1" x14ac:dyDescent="0.35">
      <c r="A2434" s="426" t="s">
        <v>2964</v>
      </c>
      <c r="B2434" s="419">
        <v>0.99650000000000005</v>
      </c>
    </row>
    <row r="2435" spans="1:2" hidden="1" x14ac:dyDescent="0.35">
      <c r="A2435" s="426" t="s">
        <v>2965</v>
      </c>
      <c r="B2435" s="419">
        <v>0.99270000000000003</v>
      </c>
    </row>
    <row r="2436" spans="1:2" hidden="1" x14ac:dyDescent="0.35">
      <c r="A2436" s="426" t="s">
        <v>2966</v>
      </c>
      <c r="B2436" s="419">
        <v>0.99550000000000005</v>
      </c>
    </row>
    <row r="2437" spans="1:2" hidden="1" x14ac:dyDescent="0.35">
      <c r="A2437" s="426" t="s">
        <v>2967</v>
      </c>
      <c r="B2437" s="419">
        <v>0.99750000000000005</v>
      </c>
    </row>
    <row r="2438" spans="1:2" hidden="1" x14ac:dyDescent="0.35">
      <c r="A2438" s="426" t="s">
        <v>2968</v>
      </c>
      <c r="B2438" s="419">
        <v>1</v>
      </c>
    </row>
    <row r="2439" spans="1:2" hidden="1" x14ac:dyDescent="0.35">
      <c r="A2439" s="426" t="s">
        <v>2969</v>
      </c>
      <c r="B2439" s="419">
        <v>1</v>
      </c>
    </row>
    <row r="2440" spans="1:2" hidden="1" x14ac:dyDescent="0.35">
      <c r="A2440" s="426" t="s">
        <v>2970</v>
      </c>
      <c r="B2440" s="419">
        <v>0.998</v>
      </c>
    </row>
    <row r="2441" spans="1:2" hidden="1" x14ac:dyDescent="0.35">
      <c r="A2441" s="426" t="s">
        <v>2971</v>
      </c>
      <c r="B2441" s="419">
        <v>0.998</v>
      </c>
    </row>
    <row r="2442" spans="1:2" hidden="1" x14ac:dyDescent="0.35">
      <c r="A2442" s="426" t="s">
        <v>2972</v>
      </c>
      <c r="B2442" s="419">
        <v>0.99609999999999999</v>
      </c>
    </row>
    <row r="2443" spans="1:2" hidden="1" x14ac:dyDescent="0.35">
      <c r="A2443" s="426" t="s">
        <v>2973</v>
      </c>
      <c r="B2443" s="419">
        <v>0.99019999999999997</v>
      </c>
    </row>
    <row r="2444" spans="1:2" hidden="1" x14ac:dyDescent="0.35">
      <c r="A2444" s="426" t="s">
        <v>2974</v>
      </c>
      <c r="B2444" s="419">
        <v>0.99690000000000001</v>
      </c>
    </row>
    <row r="2445" spans="1:2" hidden="1" x14ac:dyDescent="0.35">
      <c r="A2445" s="426" t="s">
        <v>2975</v>
      </c>
      <c r="B2445" s="419">
        <v>0.99960000000000004</v>
      </c>
    </row>
    <row r="2446" spans="1:2" hidden="1" x14ac:dyDescent="0.35">
      <c r="A2446" s="426" t="s">
        <v>2976</v>
      </c>
      <c r="B2446" s="419">
        <v>0.997</v>
      </c>
    </row>
    <row r="2447" spans="1:2" hidden="1" x14ac:dyDescent="0.35">
      <c r="A2447" s="426" t="s">
        <v>2977</v>
      </c>
      <c r="B2447" s="419">
        <v>0.99229999999999996</v>
      </c>
    </row>
    <row r="2448" spans="1:2" hidden="1" x14ac:dyDescent="0.35">
      <c r="A2448" s="426" t="s">
        <v>2978</v>
      </c>
      <c r="B2448" s="419">
        <v>1</v>
      </c>
    </row>
    <row r="2449" spans="1:2" hidden="1" x14ac:dyDescent="0.35">
      <c r="A2449" s="426" t="s">
        <v>2979</v>
      </c>
      <c r="B2449" s="419">
        <v>1</v>
      </c>
    </row>
    <row r="2450" spans="1:2" hidden="1" x14ac:dyDescent="0.35">
      <c r="A2450" s="426" t="s">
        <v>2980</v>
      </c>
      <c r="B2450" s="419">
        <v>0.99680000000000002</v>
      </c>
    </row>
    <row r="2451" spans="1:2" hidden="1" x14ac:dyDescent="0.35">
      <c r="A2451" s="426" t="s">
        <v>2981</v>
      </c>
      <c r="B2451" s="419">
        <v>1</v>
      </c>
    </row>
    <row r="2452" spans="1:2" hidden="1" x14ac:dyDescent="0.35">
      <c r="A2452" s="426" t="s">
        <v>2982</v>
      </c>
      <c r="B2452" s="419">
        <v>1</v>
      </c>
    </row>
    <row r="2453" spans="1:2" hidden="1" x14ac:dyDescent="0.35">
      <c r="A2453" s="426" t="s">
        <v>2983</v>
      </c>
      <c r="B2453" s="419">
        <v>0.99809999999999999</v>
      </c>
    </row>
    <row r="2454" spans="1:2" hidden="1" x14ac:dyDescent="0.35">
      <c r="A2454" s="426" t="s">
        <v>2984</v>
      </c>
      <c r="B2454" s="419">
        <v>0.99080000000000001</v>
      </c>
    </row>
    <row r="2455" spans="1:2" hidden="1" x14ac:dyDescent="0.35">
      <c r="A2455" s="426" t="s">
        <v>2985</v>
      </c>
      <c r="B2455" s="419">
        <v>0.99550000000000005</v>
      </c>
    </row>
    <row r="2456" spans="1:2" hidden="1" x14ac:dyDescent="0.35">
      <c r="A2456" s="426" t="s">
        <v>2986</v>
      </c>
      <c r="B2456" s="419">
        <v>0.99709999999999999</v>
      </c>
    </row>
    <row r="2457" spans="1:2" hidden="1" x14ac:dyDescent="0.35">
      <c r="A2457" s="426" t="s">
        <v>2987</v>
      </c>
      <c r="B2457" s="419">
        <v>1</v>
      </c>
    </row>
    <row r="2458" spans="1:2" hidden="1" x14ac:dyDescent="0.35">
      <c r="A2458" s="426" t="s">
        <v>2988</v>
      </c>
      <c r="B2458" s="419">
        <v>0.99929999999999997</v>
      </c>
    </row>
    <row r="2459" spans="1:2" hidden="1" x14ac:dyDescent="0.35">
      <c r="A2459" s="426" t="s">
        <v>2989</v>
      </c>
      <c r="B2459" s="419">
        <v>0.99209999999999998</v>
      </c>
    </row>
    <row r="2460" spans="1:2" hidden="1" x14ac:dyDescent="0.35">
      <c r="A2460" s="426" t="s">
        <v>2990</v>
      </c>
      <c r="B2460" s="419">
        <v>0.99690000000000001</v>
      </c>
    </row>
    <row r="2461" spans="1:2" hidden="1" x14ac:dyDescent="0.35">
      <c r="A2461" s="426" t="s">
        <v>2991</v>
      </c>
      <c r="B2461" s="419">
        <v>0.998</v>
      </c>
    </row>
    <row r="2462" spans="1:2" hidden="1" x14ac:dyDescent="0.35">
      <c r="A2462" s="426" t="s">
        <v>2992</v>
      </c>
      <c r="B2462" s="419">
        <v>0.99839999999999995</v>
      </c>
    </row>
    <row r="2463" spans="1:2" hidden="1" x14ac:dyDescent="0.35">
      <c r="A2463" s="426" t="s">
        <v>2993</v>
      </c>
      <c r="B2463" s="419">
        <v>0.999</v>
      </c>
    </row>
    <row r="2464" spans="1:2" hidden="1" x14ac:dyDescent="0.35">
      <c r="A2464" s="426" t="s">
        <v>2994</v>
      </c>
      <c r="B2464" s="419">
        <v>1</v>
      </c>
    </row>
    <row r="2465" spans="1:2" hidden="1" x14ac:dyDescent="0.35">
      <c r="A2465" s="426" t="s">
        <v>2995</v>
      </c>
      <c r="B2465" s="419">
        <v>0.99339999999999995</v>
      </c>
    </row>
    <row r="2466" spans="1:2" hidden="1" x14ac:dyDescent="0.35">
      <c r="A2466" s="426" t="s">
        <v>2996</v>
      </c>
      <c r="B2466" s="419">
        <v>0.99209999999999998</v>
      </c>
    </row>
    <row r="2467" spans="1:2" hidden="1" x14ac:dyDescent="0.35">
      <c r="A2467" s="426" t="s">
        <v>2997</v>
      </c>
      <c r="B2467" s="419">
        <v>1</v>
      </c>
    </row>
    <row r="2468" spans="1:2" hidden="1" x14ac:dyDescent="0.35">
      <c r="A2468" s="426" t="s">
        <v>2998</v>
      </c>
      <c r="B2468" s="419">
        <v>1</v>
      </c>
    </row>
    <row r="2469" spans="1:2" hidden="1" x14ac:dyDescent="0.35">
      <c r="A2469" s="426" t="s">
        <v>2999</v>
      </c>
      <c r="B2469" s="419">
        <v>0.99350000000000005</v>
      </c>
    </row>
    <row r="2470" spans="1:2" hidden="1" x14ac:dyDescent="0.35">
      <c r="A2470" s="426" t="s">
        <v>3000</v>
      </c>
      <c r="B2470" s="419">
        <v>0.99170000000000003</v>
      </c>
    </row>
    <row r="2471" spans="1:2" hidden="1" x14ac:dyDescent="0.35">
      <c r="A2471" s="426" t="s">
        <v>3001</v>
      </c>
      <c r="B2471" s="419">
        <v>0.99660000000000004</v>
      </c>
    </row>
    <row r="2472" spans="1:2" hidden="1" x14ac:dyDescent="0.35">
      <c r="A2472" s="426" t="s">
        <v>3002</v>
      </c>
      <c r="B2472" s="419">
        <v>0.99480000000000002</v>
      </c>
    </row>
    <row r="2473" spans="1:2" hidden="1" x14ac:dyDescent="0.35">
      <c r="A2473" s="426" t="s">
        <v>3003</v>
      </c>
      <c r="B2473" s="419">
        <v>0.99829999999999997</v>
      </c>
    </row>
    <row r="2474" spans="1:2" hidden="1" x14ac:dyDescent="0.35">
      <c r="A2474" s="426" t="s">
        <v>3004</v>
      </c>
      <c r="B2474" s="419">
        <v>1</v>
      </c>
    </row>
    <row r="2475" spans="1:2" hidden="1" x14ac:dyDescent="0.35">
      <c r="A2475" s="426" t="s">
        <v>3005</v>
      </c>
      <c r="B2475" s="419">
        <v>0.99990000000000001</v>
      </c>
    </row>
    <row r="2476" spans="1:2" hidden="1" x14ac:dyDescent="0.35">
      <c r="A2476" s="426" t="s">
        <v>3006</v>
      </c>
      <c r="B2476" s="419">
        <v>0.99850000000000005</v>
      </c>
    </row>
    <row r="2477" spans="1:2" hidden="1" x14ac:dyDescent="0.35">
      <c r="A2477" s="426" t="s">
        <v>3007</v>
      </c>
      <c r="B2477" s="419">
        <v>1</v>
      </c>
    </row>
    <row r="2478" spans="1:2" hidden="1" x14ac:dyDescent="0.35">
      <c r="A2478" s="426" t="s">
        <v>3008</v>
      </c>
      <c r="B2478" s="419">
        <v>1</v>
      </c>
    </row>
    <row r="2479" spans="1:2" hidden="1" x14ac:dyDescent="0.35">
      <c r="A2479" s="426" t="s">
        <v>3009</v>
      </c>
      <c r="B2479" s="419">
        <v>0.99050000000000005</v>
      </c>
    </row>
    <row r="2480" spans="1:2" hidden="1" x14ac:dyDescent="0.35">
      <c r="A2480" s="426" t="s">
        <v>3010</v>
      </c>
      <c r="B2480" s="419">
        <v>1</v>
      </c>
    </row>
    <row r="2481" spans="1:2" hidden="1" x14ac:dyDescent="0.35">
      <c r="A2481" s="426" t="s">
        <v>3011</v>
      </c>
      <c r="B2481" s="419">
        <v>0.99890000000000001</v>
      </c>
    </row>
    <row r="2482" spans="1:2" hidden="1" x14ac:dyDescent="0.35">
      <c r="A2482" s="426" t="s">
        <v>3012</v>
      </c>
      <c r="B2482" s="419">
        <v>1</v>
      </c>
    </row>
    <row r="2483" spans="1:2" hidden="1" x14ac:dyDescent="0.35">
      <c r="A2483" s="426" t="s">
        <v>3013</v>
      </c>
      <c r="B2483" s="419">
        <v>0.996</v>
      </c>
    </row>
    <row r="2484" spans="1:2" hidden="1" x14ac:dyDescent="0.35">
      <c r="A2484" s="426" t="s">
        <v>3014</v>
      </c>
      <c r="B2484" s="419">
        <v>0.99509999999999998</v>
      </c>
    </row>
    <row r="2485" spans="1:2" hidden="1" x14ac:dyDescent="0.35">
      <c r="A2485" s="426" t="s">
        <v>3015</v>
      </c>
      <c r="B2485" s="419">
        <v>0.99929999999999997</v>
      </c>
    </row>
    <row r="2486" spans="1:2" hidden="1" x14ac:dyDescent="0.35">
      <c r="A2486" s="426" t="s">
        <v>3016</v>
      </c>
      <c r="B2486" s="419">
        <v>0.99539999999999995</v>
      </c>
    </row>
    <row r="2487" spans="1:2" hidden="1" x14ac:dyDescent="0.35">
      <c r="A2487" s="426" t="s">
        <v>3017</v>
      </c>
      <c r="B2487" s="419">
        <v>0.99929999999999997</v>
      </c>
    </row>
    <row r="2488" spans="1:2" hidden="1" x14ac:dyDescent="0.35">
      <c r="A2488" s="426" t="s">
        <v>3018</v>
      </c>
      <c r="B2488" s="419">
        <v>1</v>
      </c>
    </row>
    <row r="2489" spans="1:2" hidden="1" x14ac:dyDescent="0.35">
      <c r="A2489" s="426" t="s">
        <v>3019</v>
      </c>
      <c r="B2489" s="419">
        <v>1</v>
      </c>
    </row>
    <row r="2490" spans="1:2" hidden="1" x14ac:dyDescent="0.35">
      <c r="A2490" s="426" t="s">
        <v>3020</v>
      </c>
      <c r="B2490" s="419">
        <v>1</v>
      </c>
    </row>
    <row r="2491" spans="1:2" hidden="1" x14ac:dyDescent="0.35">
      <c r="A2491" s="426" t="s">
        <v>3021</v>
      </c>
      <c r="B2491" s="419">
        <v>0.99470000000000003</v>
      </c>
    </row>
    <row r="2492" spans="1:2" hidden="1" x14ac:dyDescent="0.35">
      <c r="A2492" s="426" t="s">
        <v>3022</v>
      </c>
      <c r="B2492" s="419">
        <v>1</v>
      </c>
    </row>
    <row r="2493" spans="1:2" hidden="1" x14ac:dyDescent="0.35">
      <c r="A2493" s="426" t="s">
        <v>3023</v>
      </c>
      <c r="B2493" s="419">
        <v>0.99880000000000002</v>
      </c>
    </row>
    <row r="2494" spans="1:2" hidden="1" x14ac:dyDescent="0.35">
      <c r="A2494" s="426" t="s">
        <v>3024</v>
      </c>
      <c r="B2494" s="419">
        <v>1</v>
      </c>
    </row>
    <row r="2495" spans="1:2" hidden="1" x14ac:dyDescent="0.35">
      <c r="A2495" s="426" t="s">
        <v>3025</v>
      </c>
      <c r="B2495" s="419">
        <v>0.9919</v>
      </c>
    </row>
    <row r="2496" spans="1:2" hidden="1" x14ac:dyDescent="0.35">
      <c r="A2496" s="426" t="s">
        <v>3026</v>
      </c>
      <c r="B2496" s="419">
        <v>0.99950000000000006</v>
      </c>
    </row>
    <row r="2497" spans="1:2" hidden="1" x14ac:dyDescent="0.35">
      <c r="A2497" s="426" t="s">
        <v>3027</v>
      </c>
      <c r="B2497" s="419">
        <v>0.99719999999999998</v>
      </c>
    </row>
    <row r="2498" spans="1:2" hidden="1" x14ac:dyDescent="0.35">
      <c r="A2498" s="426" t="s">
        <v>3028</v>
      </c>
      <c r="B2498" s="419">
        <v>0.999</v>
      </c>
    </row>
    <row r="2499" spans="1:2" hidden="1" x14ac:dyDescent="0.35">
      <c r="A2499" s="426" t="s">
        <v>3029</v>
      </c>
      <c r="B2499" s="419">
        <v>0.99919999999999998</v>
      </c>
    </row>
    <row r="2500" spans="1:2" hidden="1" x14ac:dyDescent="0.35">
      <c r="A2500" s="426" t="s">
        <v>3030</v>
      </c>
      <c r="B2500" s="419">
        <v>0.99039999999999995</v>
      </c>
    </row>
    <row r="2501" spans="1:2" hidden="1" x14ac:dyDescent="0.35">
      <c r="A2501" s="426" t="s">
        <v>3031</v>
      </c>
      <c r="B2501" s="419">
        <v>0.99890000000000001</v>
      </c>
    </row>
    <row r="2502" spans="1:2" hidden="1" x14ac:dyDescent="0.35">
      <c r="A2502" s="426" t="s">
        <v>3032</v>
      </c>
      <c r="B2502" s="419">
        <v>0.99239999999999995</v>
      </c>
    </row>
    <row r="2503" spans="1:2" hidden="1" x14ac:dyDescent="0.35">
      <c r="A2503" s="426" t="s">
        <v>3033</v>
      </c>
      <c r="B2503" s="419">
        <v>1</v>
      </c>
    </row>
    <row r="2504" spans="1:2" hidden="1" x14ac:dyDescent="0.35">
      <c r="A2504" s="426" t="s">
        <v>3034</v>
      </c>
      <c r="B2504" s="419">
        <v>0.99850000000000005</v>
      </c>
    </row>
    <row r="2505" spans="1:2" hidden="1" x14ac:dyDescent="0.35">
      <c r="A2505" s="426" t="s">
        <v>3035</v>
      </c>
      <c r="B2505" s="419">
        <v>0.98560000000000003</v>
      </c>
    </row>
    <row r="2506" spans="1:2" hidden="1" x14ac:dyDescent="0.35">
      <c r="A2506" s="426" t="s">
        <v>3036</v>
      </c>
      <c r="B2506" s="419">
        <v>0.99360000000000004</v>
      </c>
    </row>
    <row r="2507" spans="1:2" hidden="1" x14ac:dyDescent="0.35">
      <c r="A2507" s="426" t="s">
        <v>3037</v>
      </c>
      <c r="B2507" s="419">
        <v>0.99870000000000003</v>
      </c>
    </row>
    <row r="2508" spans="1:2" hidden="1" x14ac:dyDescent="0.35">
      <c r="A2508" s="426" t="s">
        <v>3038</v>
      </c>
      <c r="B2508" s="419">
        <v>1</v>
      </c>
    </row>
    <row r="2509" spans="1:2" hidden="1" x14ac:dyDescent="0.35">
      <c r="A2509" s="426" t="s">
        <v>3039</v>
      </c>
      <c r="B2509" s="419">
        <v>0.997</v>
      </c>
    </row>
    <row r="2510" spans="1:2" hidden="1" x14ac:dyDescent="0.35">
      <c r="A2510" s="426" t="s">
        <v>3040</v>
      </c>
      <c r="B2510" s="419">
        <v>0.99729999999999996</v>
      </c>
    </row>
    <row r="2511" spans="1:2" hidden="1" x14ac:dyDescent="0.35">
      <c r="A2511" s="426" t="s">
        <v>3041</v>
      </c>
      <c r="B2511" s="419">
        <v>0.99990000000000001</v>
      </c>
    </row>
    <row r="2512" spans="1:2" hidden="1" x14ac:dyDescent="0.35">
      <c r="A2512" s="426" t="s">
        <v>3042</v>
      </c>
      <c r="B2512" s="419">
        <v>0.99760000000000004</v>
      </c>
    </row>
    <row r="2513" spans="1:2" hidden="1" x14ac:dyDescent="0.35">
      <c r="A2513" s="426" t="s">
        <v>3043</v>
      </c>
      <c r="B2513" s="419">
        <v>1</v>
      </c>
    </row>
    <row r="2514" spans="1:2" hidden="1" x14ac:dyDescent="0.35">
      <c r="A2514" s="426" t="s">
        <v>3044</v>
      </c>
      <c r="B2514" s="419">
        <v>0.99829999999999997</v>
      </c>
    </row>
    <row r="2515" spans="1:2" hidden="1" x14ac:dyDescent="0.35">
      <c r="A2515" s="426" t="s">
        <v>3045</v>
      </c>
      <c r="B2515" s="419">
        <v>0.98719999999999997</v>
      </c>
    </row>
    <row r="2516" spans="1:2" hidden="1" x14ac:dyDescent="0.35">
      <c r="A2516" s="426" t="s">
        <v>3046</v>
      </c>
      <c r="B2516" s="419">
        <v>0.99990000000000001</v>
      </c>
    </row>
    <row r="2517" spans="1:2" hidden="1" x14ac:dyDescent="0.35">
      <c r="A2517" s="426" t="s">
        <v>3047</v>
      </c>
      <c r="B2517" s="419">
        <v>0.98560000000000003</v>
      </c>
    </row>
    <row r="2518" spans="1:2" hidden="1" x14ac:dyDescent="0.35">
      <c r="A2518" s="426" t="s">
        <v>3048</v>
      </c>
      <c r="B2518" s="419">
        <v>0.99960000000000004</v>
      </c>
    </row>
    <row r="2519" spans="1:2" hidden="1" x14ac:dyDescent="0.35">
      <c r="A2519" s="426" t="s">
        <v>3049</v>
      </c>
      <c r="B2519" s="419">
        <v>1</v>
      </c>
    </row>
    <row r="2520" spans="1:2" hidden="1" x14ac:dyDescent="0.35">
      <c r="A2520" s="426" t="s">
        <v>3050</v>
      </c>
      <c r="B2520" s="419">
        <v>0.99909999999999999</v>
      </c>
    </row>
    <row r="2521" spans="1:2" hidden="1" x14ac:dyDescent="0.35">
      <c r="A2521" s="426" t="s">
        <v>3051</v>
      </c>
      <c r="B2521" s="419">
        <v>0.99580000000000002</v>
      </c>
    </row>
    <row r="2522" spans="1:2" hidden="1" x14ac:dyDescent="0.35">
      <c r="A2522" s="426" t="s">
        <v>3052</v>
      </c>
      <c r="B2522" s="419">
        <v>0.996</v>
      </c>
    </row>
    <row r="2523" spans="1:2" hidden="1" x14ac:dyDescent="0.35">
      <c r="A2523" s="426" t="s">
        <v>3053</v>
      </c>
      <c r="B2523" s="419">
        <v>0.9829</v>
      </c>
    </row>
    <row r="2524" spans="1:2" hidden="1" x14ac:dyDescent="0.35">
      <c r="A2524" s="426" t="s">
        <v>3054</v>
      </c>
      <c r="B2524" s="419">
        <v>0.99939999999999996</v>
      </c>
    </row>
    <row r="2525" spans="1:2" hidden="1" x14ac:dyDescent="0.35">
      <c r="A2525" s="426" t="s">
        <v>3055</v>
      </c>
      <c r="B2525" s="419">
        <v>0.99770000000000003</v>
      </c>
    </row>
    <row r="2526" spans="1:2" hidden="1" x14ac:dyDescent="0.35">
      <c r="A2526" s="426" t="s">
        <v>3056</v>
      </c>
      <c r="B2526" s="419">
        <v>0.99870000000000003</v>
      </c>
    </row>
    <row r="2527" spans="1:2" hidden="1" x14ac:dyDescent="0.35">
      <c r="A2527" s="426" t="s">
        <v>3057</v>
      </c>
      <c r="B2527" s="419">
        <v>1</v>
      </c>
    </row>
    <row r="2528" spans="1:2" hidden="1" x14ac:dyDescent="0.35">
      <c r="A2528" s="426" t="s">
        <v>3058</v>
      </c>
      <c r="B2528" s="419">
        <v>0.99809999999999999</v>
      </c>
    </row>
    <row r="2529" spans="1:2" hidden="1" x14ac:dyDescent="0.35">
      <c r="A2529" s="426" t="s">
        <v>3059</v>
      </c>
      <c r="B2529" s="419">
        <v>0.99909999999999999</v>
      </c>
    </row>
    <row r="2530" spans="1:2" hidden="1" x14ac:dyDescent="0.35">
      <c r="A2530" s="426" t="s">
        <v>3060</v>
      </c>
      <c r="B2530" s="419">
        <v>0.99919999999999998</v>
      </c>
    </row>
    <row r="2531" spans="1:2" hidden="1" x14ac:dyDescent="0.35">
      <c r="A2531" s="426" t="s">
        <v>3061</v>
      </c>
      <c r="B2531" s="419">
        <v>0.99590000000000001</v>
      </c>
    </row>
    <row r="2532" spans="1:2" hidden="1" x14ac:dyDescent="0.35">
      <c r="A2532" s="426" t="s">
        <v>3062</v>
      </c>
      <c r="B2532" s="419">
        <v>0.99939999999999996</v>
      </c>
    </row>
    <row r="2533" spans="1:2" hidden="1" x14ac:dyDescent="0.35">
      <c r="A2533" s="426" t="s">
        <v>3063</v>
      </c>
      <c r="B2533" s="419">
        <v>0.99780000000000002</v>
      </c>
    </row>
    <row r="2534" spans="1:2" hidden="1" x14ac:dyDescent="0.35">
      <c r="A2534" s="426" t="s">
        <v>3064</v>
      </c>
      <c r="B2534" s="419">
        <v>0.99980000000000002</v>
      </c>
    </row>
    <row r="2535" spans="1:2" hidden="1" x14ac:dyDescent="0.35">
      <c r="A2535" s="426" t="s">
        <v>3065</v>
      </c>
      <c r="B2535" s="419">
        <v>0.999</v>
      </c>
    </row>
    <row r="2536" spans="1:2" hidden="1" x14ac:dyDescent="0.35">
      <c r="A2536" s="426" t="s">
        <v>3066</v>
      </c>
      <c r="B2536" s="419">
        <v>0.99670000000000003</v>
      </c>
    </row>
    <row r="2537" spans="1:2" hidden="1" x14ac:dyDescent="0.35">
      <c r="A2537" s="426" t="s">
        <v>3067</v>
      </c>
      <c r="B2537" s="419">
        <v>0.99829999999999997</v>
      </c>
    </row>
    <row r="2538" spans="1:2" hidden="1" x14ac:dyDescent="0.35">
      <c r="A2538" s="426" t="s">
        <v>3068</v>
      </c>
      <c r="B2538" s="419">
        <v>0.99890000000000001</v>
      </c>
    </row>
    <row r="2539" spans="1:2" hidden="1" x14ac:dyDescent="0.35">
      <c r="A2539" s="426" t="s">
        <v>3069</v>
      </c>
      <c r="B2539" s="419">
        <v>1</v>
      </c>
    </row>
    <row r="2540" spans="1:2" hidden="1" x14ac:dyDescent="0.35">
      <c r="A2540" s="426" t="s">
        <v>3070</v>
      </c>
      <c r="B2540" s="419">
        <v>0.99660000000000004</v>
      </c>
    </row>
    <row r="2541" spans="1:2" hidden="1" x14ac:dyDescent="0.35">
      <c r="A2541" s="426" t="s">
        <v>3071</v>
      </c>
      <c r="B2541" s="419">
        <v>0.99729999999999996</v>
      </c>
    </row>
    <row r="2542" spans="1:2" hidden="1" x14ac:dyDescent="0.35">
      <c r="A2542" s="426" t="s">
        <v>3072</v>
      </c>
      <c r="B2542" s="419">
        <v>0.99590000000000001</v>
      </c>
    </row>
    <row r="2543" spans="1:2" hidden="1" x14ac:dyDescent="0.35">
      <c r="A2543" s="426" t="s">
        <v>3073</v>
      </c>
      <c r="B2543" s="419">
        <v>0.99990000000000001</v>
      </c>
    </row>
    <row r="2544" spans="1:2" hidden="1" x14ac:dyDescent="0.35">
      <c r="A2544" s="426" t="s">
        <v>3074</v>
      </c>
      <c r="B2544" s="419">
        <v>0.99850000000000005</v>
      </c>
    </row>
    <row r="2545" spans="1:2" hidden="1" x14ac:dyDescent="0.35">
      <c r="A2545" s="426" t="s">
        <v>3075</v>
      </c>
      <c r="B2545" s="419">
        <v>0.99919999999999998</v>
      </c>
    </row>
    <row r="2546" spans="1:2" hidden="1" x14ac:dyDescent="0.35">
      <c r="A2546" s="426" t="s">
        <v>3076</v>
      </c>
      <c r="B2546" s="419">
        <v>0.99219999999999997</v>
      </c>
    </row>
    <row r="2547" spans="1:2" hidden="1" x14ac:dyDescent="0.35">
      <c r="A2547" s="426" t="s">
        <v>3077</v>
      </c>
      <c r="B2547" s="419">
        <v>0.99960000000000004</v>
      </c>
    </row>
    <row r="2548" spans="1:2" hidden="1" x14ac:dyDescent="0.35">
      <c r="A2548" s="426" t="s">
        <v>3078</v>
      </c>
      <c r="B2548" s="419">
        <v>1</v>
      </c>
    </row>
    <row r="2549" spans="1:2" hidden="1" x14ac:dyDescent="0.35">
      <c r="A2549" s="426" t="s">
        <v>3079</v>
      </c>
      <c r="B2549" s="419">
        <v>0.998</v>
      </c>
    </row>
    <row r="2550" spans="1:2" hidden="1" x14ac:dyDescent="0.35">
      <c r="A2550" s="426" t="s">
        <v>3080</v>
      </c>
      <c r="B2550" s="419">
        <v>0.99829999999999997</v>
      </c>
    </row>
    <row r="2551" spans="1:2" hidden="1" x14ac:dyDescent="0.35">
      <c r="A2551" s="426" t="s">
        <v>3081</v>
      </c>
      <c r="B2551" s="419">
        <v>0.99760000000000004</v>
      </c>
    </row>
    <row r="2552" spans="1:2" hidden="1" x14ac:dyDescent="0.35">
      <c r="A2552" s="426" t="s">
        <v>3082</v>
      </c>
      <c r="B2552" s="419">
        <v>0.99939999999999996</v>
      </c>
    </row>
    <row r="2553" spans="1:2" hidden="1" x14ac:dyDescent="0.35">
      <c r="A2553" s="426" t="s">
        <v>3083</v>
      </c>
      <c r="B2553" s="419">
        <v>0.99870000000000003</v>
      </c>
    </row>
    <row r="2554" spans="1:2" hidden="1" x14ac:dyDescent="0.35">
      <c r="A2554" s="426" t="s">
        <v>3084</v>
      </c>
      <c r="B2554" s="419">
        <v>0.99880000000000002</v>
      </c>
    </row>
    <row r="2555" spans="1:2" hidden="1" x14ac:dyDescent="0.35">
      <c r="A2555" s="426" t="s">
        <v>3085</v>
      </c>
      <c r="B2555" s="419">
        <v>1</v>
      </c>
    </row>
    <row r="2556" spans="1:2" hidden="1" x14ac:dyDescent="0.35">
      <c r="A2556" s="426" t="s">
        <v>3086</v>
      </c>
      <c r="B2556" s="419">
        <v>0.99739999999999995</v>
      </c>
    </row>
    <row r="2557" spans="1:2" hidden="1" x14ac:dyDescent="0.35">
      <c r="A2557" s="426" t="s">
        <v>3087</v>
      </c>
      <c r="B2557" s="419">
        <v>0.99980000000000002</v>
      </c>
    </row>
    <row r="2558" spans="1:2" hidden="1" x14ac:dyDescent="0.35">
      <c r="A2558" s="426" t="s">
        <v>3088</v>
      </c>
      <c r="B2558" s="419">
        <v>0.99870000000000003</v>
      </c>
    </row>
    <row r="2559" spans="1:2" hidden="1" x14ac:dyDescent="0.35">
      <c r="A2559" s="426" t="s">
        <v>3089</v>
      </c>
      <c r="B2559" s="419">
        <v>0.98780000000000001</v>
      </c>
    </row>
    <row r="2560" spans="1:2" hidden="1" x14ac:dyDescent="0.35">
      <c r="A2560" s="426" t="s">
        <v>3090</v>
      </c>
      <c r="B2560" s="419">
        <v>1</v>
      </c>
    </row>
    <row r="2561" spans="1:2" hidden="1" x14ac:dyDescent="0.35">
      <c r="A2561" s="426" t="s">
        <v>3091</v>
      </c>
      <c r="B2561" s="419">
        <v>0.99750000000000005</v>
      </c>
    </row>
    <row r="2562" spans="1:2" hidden="1" x14ac:dyDescent="0.35">
      <c r="A2562" s="426" t="s">
        <v>3092</v>
      </c>
      <c r="B2562" s="419">
        <v>0.99470000000000003</v>
      </c>
    </row>
    <row r="2563" spans="1:2" hidden="1" x14ac:dyDescent="0.35">
      <c r="A2563" s="426" t="s">
        <v>3093</v>
      </c>
      <c r="B2563" s="419">
        <v>1</v>
      </c>
    </row>
    <row r="2564" spans="1:2" hidden="1" x14ac:dyDescent="0.35">
      <c r="A2564" s="426" t="s">
        <v>3094</v>
      </c>
      <c r="B2564" s="419">
        <v>1</v>
      </c>
    </row>
    <row r="2565" spans="1:2" hidden="1" x14ac:dyDescent="0.35">
      <c r="A2565" s="426" t="s">
        <v>3095</v>
      </c>
      <c r="B2565" s="419">
        <v>0.99839999999999995</v>
      </c>
    </row>
    <row r="2566" spans="1:2" hidden="1" x14ac:dyDescent="0.35">
      <c r="A2566" s="426" t="s">
        <v>3096</v>
      </c>
      <c r="B2566" s="419">
        <v>0.99790000000000001</v>
      </c>
    </row>
    <row r="2567" spans="1:2" hidden="1" x14ac:dyDescent="0.35">
      <c r="A2567" s="426" t="s">
        <v>3097</v>
      </c>
      <c r="B2567" s="419">
        <v>0.99750000000000005</v>
      </c>
    </row>
    <row r="2568" spans="1:2" hidden="1" x14ac:dyDescent="0.35">
      <c r="A2568" s="426" t="s">
        <v>3098</v>
      </c>
      <c r="B2568" s="419">
        <v>1</v>
      </c>
    </row>
    <row r="2569" spans="1:2" hidden="1" x14ac:dyDescent="0.35">
      <c r="A2569" s="426" t="s">
        <v>3099</v>
      </c>
      <c r="B2569" s="419">
        <v>1</v>
      </c>
    </row>
    <row r="2570" spans="1:2" hidden="1" x14ac:dyDescent="0.35">
      <c r="A2570" s="426" t="s">
        <v>3100</v>
      </c>
      <c r="B2570" s="419">
        <v>1</v>
      </c>
    </row>
    <row r="2571" spans="1:2" hidden="1" x14ac:dyDescent="0.35">
      <c r="A2571" s="426" t="s">
        <v>3101</v>
      </c>
      <c r="B2571" s="419">
        <v>0.99790000000000001</v>
      </c>
    </row>
    <row r="2572" spans="1:2" hidden="1" x14ac:dyDescent="0.35">
      <c r="A2572" s="426" t="s">
        <v>3102</v>
      </c>
      <c r="B2572" s="419">
        <v>1</v>
      </c>
    </row>
    <row r="2573" spans="1:2" hidden="1" x14ac:dyDescent="0.35">
      <c r="A2573" s="426" t="s">
        <v>3103</v>
      </c>
      <c r="B2573" s="419">
        <v>0.99950000000000006</v>
      </c>
    </row>
    <row r="2574" spans="1:2" hidden="1" x14ac:dyDescent="0.35">
      <c r="A2574" s="426" t="s">
        <v>3104</v>
      </c>
      <c r="B2574" s="419">
        <v>0.99750000000000005</v>
      </c>
    </row>
    <row r="2575" spans="1:2" hidden="1" x14ac:dyDescent="0.35">
      <c r="A2575" s="426" t="s">
        <v>3105</v>
      </c>
      <c r="B2575" s="419">
        <v>0.99680000000000002</v>
      </c>
    </row>
    <row r="2576" spans="1:2" hidden="1" x14ac:dyDescent="0.35">
      <c r="A2576" s="426" t="s">
        <v>3106</v>
      </c>
      <c r="B2576" s="419">
        <v>0.99980000000000002</v>
      </c>
    </row>
    <row r="2577" spans="1:2" hidden="1" x14ac:dyDescent="0.35">
      <c r="A2577" s="426" t="s">
        <v>3107</v>
      </c>
      <c r="B2577" s="419">
        <v>1</v>
      </c>
    </row>
    <row r="2578" spans="1:2" hidden="1" x14ac:dyDescent="0.35">
      <c r="A2578" s="426" t="s">
        <v>3108</v>
      </c>
      <c r="B2578" s="419">
        <v>0.99870000000000003</v>
      </c>
    </row>
    <row r="2579" spans="1:2" hidden="1" x14ac:dyDescent="0.35">
      <c r="A2579" s="426" t="s">
        <v>3109</v>
      </c>
      <c r="B2579" s="419">
        <v>0.99770000000000003</v>
      </c>
    </row>
    <row r="2580" spans="1:2" hidden="1" x14ac:dyDescent="0.35">
      <c r="A2580" s="426" t="s">
        <v>3110</v>
      </c>
      <c r="B2580" s="419">
        <v>0.98709999999999998</v>
      </c>
    </row>
    <row r="2581" spans="1:2" hidden="1" x14ac:dyDescent="0.35">
      <c r="A2581" s="426" t="s">
        <v>3111</v>
      </c>
      <c r="B2581" s="419">
        <v>0.99980000000000002</v>
      </c>
    </row>
    <row r="2582" spans="1:2" hidden="1" x14ac:dyDescent="0.35">
      <c r="A2582" s="426" t="s">
        <v>3112</v>
      </c>
      <c r="B2582" s="419">
        <v>0.99399999999999999</v>
      </c>
    </row>
    <row r="2583" spans="1:2" hidden="1" x14ac:dyDescent="0.35">
      <c r="A2583" s="426" t="s">
        <v>3113</v>
      </c>
      <c r="B2583" s="419">
        <v>0.98229999999999995</v>
      </c>
    </row>
    <row r="2584" spans="1:2" hidden="1" x14ac:dyDescent="0.35">
      <c r="A2584" s="426" t="s">
        <v>3114</v>
      </c>
      <c r="B2584" s="419">
        <v>0.999</v>
      </c>
    </row>
    <row r="2585" spans="1:2" hidden="1" x14ac:dyDescent="0.35">
      <c r="A2585" s="426" t="s">
        <v>3115</v>
      </c>
      <c r="B2585" s="419">
        <v>0.99580000000000002</v>
      </c>
    </row>
    <row r="2586" spans="1:2" hidden="1" x14ac:dyDescent="0.35">
      <c r="A2586" s="426" t="s">
        <v>3116</v>
      </c>
      <c r="B2586" s="419">
        <v>0.98860000000000003</v>
      </c>
    </row>
    <row r="2587" spans="1:2" hidden="1" x14ac:dyDescent="0.35">
      <c r="A2587" s="426" t="s">
        <v>3117</v>
      </c>
      <c r="B2587" s="419">
        <v>0.99439999999999995</v>
      </c>
    </row>
    <row r="2588" spans="1:2" hidden="1" x14ac:dyDescent="0.35">
      <c r="A2588" s="426" t="s">
        <v>3118</v>
      </c>
      <c r="B2588" s="419">
        <v>1</v>
      </c>
    </row>
    <row r="2589" spans="1:2" hidden="1" x14ac:dyDescent="0.35">
      <c r="A2589" s="426" t="s">
        <v>3119</v>
      </c>
      <c r="B2589" s="419">
        <v>0.99680000000000002</v>
      </c>
    </row>
    <row r="2590" spans="1:2" hidden="1" x14ac:dyDescent="0.35">
      <c r="A2590" s="426" t="s">
        <v>3120</v>
      </c>
      <c r="B2590" s="419">
        <v>0.999</v>
      </c>
    </row>
    <row r="2591" spans="1:2" hidden="1" x14ac:dyDescent="0.35">
      <c r="A2591" s="426" t="s">
        <v>3121</v>
      </c>
      <c r="B2591" s="419">
        <v>1</v>
      </c>
    </row>
    <row r="2592" spans="1:2" hidden="1" x14ac:dyDescent="0.35">
      <c r="A2592" s="426" t="s">
        <v>3122</v>
      </c>
      <c r="B2592" s="419">
        <v>1</v>
      </c>
    </row>
    <row r="2593" spans="1:2" hidden="1" x14ac:dyDescent="0.35">
      <c r="A2593" s="426" t="s">
        <v>3123</v>
      </c>
      <c r="B2593" s="419">
        <v>0.99690000000000001</v>
      </c>
    </row>
    <row r="2594" spans="1:2" hidden="1" x14ac:dyDescent="0.35">
      <c r="A2594" s="426" t="s">
        <v>3124</v>
      </c>
      <c r="B2594" s="419">
        <v>0.99219999999999997</v>
      </c>
    </row>
    <row r="2595" spans="1:2" hidden="1" x14ac:dyDescent="0.35">
      <c r="A2595" s="426" t="s">
        <v>3125</v>
      </c>
      <c r="B2595" s="419">
        <v>1</v>
      </c>
    </row>
    <row r="2596" spans="1:2" hidden="1" x14ac:dyDescent="0.35">
      <c r="A2596" s="426" t="s">
        <v>3126</v>
      </c>
      <c r="B2596" s="419">
        <v>0.99509999999999998</v>
      </c>
    </row>
    <row r="2597" spans="1:2" hidden="1" x14ac:dyDescent="0.35">
      <c r="A2597" s="426" t="s">
        <v>3127</v>
      </c>
      <c r="B2597" s="419">
        <v>0.99719999999999998</v>
      </c>
    </row>
    <row r="2598" spans="1:2" hidden="1" x14ac:dyDescent="0.35">
      <c r="A2598" s="426" t="s">
        <v>3128</v>
      </c>
      <c r="B2598" s="419">
        <v>0.999</v>
      </c>
    </row>
    <row r="2599" spans="1:2" hidden="1" x14ac:dyDescent="0.35">
      <c r="A2599" s="426" t="s">
        <v>3129</v>
      </c>
      <c r="B2599" s="419">
        <v>0.99</v>
      </c>
    </row>
    <row r="2600" spans="1:2" hidden="1" x14ac:dyDescent="0.35">
      <c r="A2600" s="426" t="s">
        <v>3130</v>
      </c>
      <c r="B2600" s="419">
        <v>0.99509999999999998</v>
      </c>
    </row>
    <row r="2601" spans="1:2" hidden="1" x14ac:dyDescent="0.35">
      <c r="A2601" s="426" t="s">
        <v>3131</v>
      </c>
      <c r="B2601" s="419">
        <v>1</v>
      </c>
    </row>
    <row r="2602" spans="1:2" hidden="1" x14ac:dyDescent="0.35">
      <c r="A2602" s="426" t="s">
        <v>3132</v>
      </c>
      <c r="B2602" s="419">
        <v>0.99780000000000002</v>
      </c>
    </row>
    <row r="2603" spans="1:2" hidden="1" x14ac:dyDescent="0.35">
      <c r="A2603" s="426" t="s">
        <v>3133</v>
      </c>
      <c r="B2603" s="419">
        <v>0.98780000000000001</v>
      </c>
    </row>
    <row r="2604" spans="1:2" hidden="1" x14ac:dyDescent="0.35">
      <c r="A2604" s="426" t="s">
        <v>3134</v>
      </c>
      <c r="B2604" s="419">
        <v>0.99690000000000001</v>
      </c>
    </row>
    <row r="2605" spans="1:2" hidden="1" x14ac:dyDescent="0.35">
      <c r="A2605" s="426" t="s">
        <v>3135</v>
      </c>
      <c r="B2605" s="419">
        <v>0.97</v>
      </c>
    </row>
    <row r="2606" spans="1:2" hidden="1" x14ac:dyDescent="0.35">
      <c r="A2606" s="426" t="s">
        <v>3136</v>
      </c>
      <c r="B2606" s="419">
        <v>1</v>
      </c>
    </row>
    <row r="2607" spans="1:2" hidden="1" x14ac:dyDescent="0.35">
      <c r="A2607" s="426" t="s">
        <v>3137</v>
      </c>
      <c r="B2607" s="419">
        <v>0.99829999999999997</v>
      </c>
    </row>
    <row r="2608" spans="1:2" hidden="1" x14ac:dyDescent="0.35">
      <c r="A2608" s="426" t="s">
        <v>3138</v>
      </c>
      <c r="B2608" s="419">
        <v>1</v>
      </c>
    </row>
    <row r="2609" spans="1:2" hidden="1" x14ac:dyDescent="0.35">
      <c r="A2609" s="426" t="s">
        <v>3139</v>
      </c>
      <c r="B2609" s="419">
        <v>0.999</v>
      </c>
    </row>
    <row r="2610" spans="1:2" hidden="1" x14ac:dyDescent="0.35">
      <c r="A2610" s="426" t="s">
        <v>3140</v>
      </c>
      <c r="B2610" s="419">
        <v>0.99719999999999998</v>
      </c>
    </row>
    <row r="2611" spans="1:2" hidden="1" x14ac:dyDescent="0.35">
      <c r="A2611" s="426" t="s">
        <v>3141</v>
      </c>
      <c r="B2611" s="419">
        <v>1</v>
      </c>
    </row>
    <row r="2612" spans="1:2" hidden="1" x14ac:dyDescent="0.35">
      <c r="A2612" s="426" t="s">
        <v>3142</v>
      </c>
      <c r="B2612" s="419">
        <v>1</v>
      </c>
    </row>
    <row r="2613" spans="1:2" hidden="1" x14ac:dyDescent="0.35">
      <c r="A2613" s="426" t="s">
        <v>3143</v>
      </c>
      <c r="B2613" s="419">
        <v>0.99809999999999999</v>
      </c>
    </row>
    <row r="2614" spans="1:2" hidden="1" x14ac:dyDescent="0.35">
      <c r="A2614" s="426" t="s">
        <v>3144</v>
      </c>
      <c r="B2614" s="419">
        <v>0.98560000000000003</v>
      </c>
    </row>
    <row r="2615" spans="1:2" hidden="1" x14ac:dyDescent="0.35">
      <c r="A2615" s="426" t="s">
        <v>3145</v>
      </c>
      <c r="B2615" s="419">
        <v>0.99790000000000001</v>
      </c>
    </row>
    <row r="2616" spans="1:2" hidden="1" x14ac:dyDescent="0.35">
      <c r="A2616" s="426" t="s">
        <v>3146</v>
      </c>
      <c r="B2616" s="419">
        <v>0.99990000000000001</v>
      </c>
    </row>
    <row r="2617" spans="1:2" hidden="1" x14ac:dyDescent="0.35">
      <c r="A2617" s="426" t="s">
        <v>3147</v>
      </c>
      <c r="B2617" s="419">
        <v>0.97</v>
      </c>
    </row>
    <row r="2618" spans="1:2" hidden="1" x14ac:dyDescent="0.35">
      <c r="A2618" s="426" t="s">
        <v>3148</v>
      </c>
      <c r="B2618" s="419">
        <v>0.99950000000000006</v>
      </c>
    </row>
    <row r="2619" spans="1:2" hidden="1" x14ac:dyDescent="0.35">
      <c r="A2619" s="426" t="s">
        <v>3149</v>
      </c>
      <c r="B2619" s="419">
        <v>0.99470000000000003</v>
      </c>
    </row>
    <row r="2620" spans="1:2" hidden="1" x14ac:dyDescent="0.35">
      <c r="A2620" s="426" t="s">
        <v>3150</v>
      </c>
      <c r="B2620" s="419">
        <v>1</v>
      </c>
    </row>
    <row r="2621" spans="1:2" hidden="1" x14ac:dyDescent="0.35">
      <c r="A2621" s="426" t="s">
        <v>3151</v>
      </c>
      <c r="B2621" s="419">
        <v>1</v>
      </c>
    </row>
    <row r="2622" spans="1:2" hidden="1" x14ac:dyDescent="0.35">
      <c r="A2622" s="426" t="s">
        <v>3152</v>
      </c>
      <c r="B2622" s="419">
        <v>1</v>
      </c>
    </row>
    <row r="2623" spans="1:2" hidden="1" x14ac:dyDescent="0.35">
      <c r="A2623" s="426" t="s">
        <v>3153</v>
      </c>
      <c r="B2623" s="419">
        <v>0.99939999999999996</v>
      </c>
    </row>
    <row r="2624" spans="1:2" hidden="1" x14ac:dyDescent="0.35">
      <c r="A2624" s="426" t="s">
        <v>3154</v>
      </c>
      <c r="B2624" s="419">
        <v>0.99729999999999996</v>
      </c>
    </row>
    <row r="2625" spans="1:2" hidden="1" x14ac:dyDescent="0.35">
      <c r="A2625" s="426" t="s">
        <v>3155</v>
      </c>
      <c r="B2625" s="419">
        <v>0.99580000000000002</v>
      </c>
    </row>
    <row r="2626" spans="1:2" hidden="1" x14ac:dyDescent="0.35">
      <c r="A2626" s="426" t="s">
        <v>3156</v>
      </c>
      <c r="B2626" s="419">
        <v>0.99550000000000005</v>
      </c>
    </row>
    <row r="2627" spans="1:2" hidden="1" x14ac:dyDescent="0.35">
      <c r="A2627" s="426" t="s">
        <v>3157</v>
      </c>
      <c r="B2627" s="419">
        <v>0.999</v>
      </c>
    </row>
    <row r="2628" spans="1:2" hidden="1" x14ac:dyDescent="0.35">
      <c r="A2628" s="426" t="s">
        <v>3158</v>
      </c>
      <c r="B2628" s="419">
        <v>1</v>
      </c>
    </row>
    <row r="2629" spans="1:2" hidden="1" x14ac:dyDescent="0.35">
      <c r="A2629" s="426" t="s">
        <v>3159</v>
      </c>
      <c r="B2629" s="419">
        <v>1</v>
      </c>
    </row>
    <row r="2630" spans="1:2" hidden="1" x14ac:dyDescent="0.35">
      <c r="A2630" s="426" t="s">
        <v>3160</v>
      </c>
      <c r="B2630" s="419">
        <v>0.99809999999999999</v>
      </c>
    </row>
    <row r="2631" spans="1:2" hidden="1" x14ac:dyDescent="0.35">
      <c r="A2631" s="426" t="s">
        <v>3161</v>
      </c>
      <c r="B2631" s="419">
        <v>0.99529999999999996</v>
      </c>
    </row>
    <row r="2632" spans="1:2" hidden="1" x14ac:dyDescent="0.35">
      <c r="A2632" s="426" t="s">
        <v>3162</v>
      </c>
      <c r="B2632" s="419">
        <v>0.99739999999999995</v>
      </c>
    </row>
    <row r="2633" spans="1:2" hidden="1" x14ac:dyDescent="0.35">
      <c r="A2633" s="426" t="s">
        <v>3163</v>
      </c>
      <c r="B2633" s="419">
        <v>0.99809999999999999</v>
      </c>
    </row>
    <row r="2634" spans="1:2" hidden="1" x14ac:dyDescent="0.35">
      <c r="A2634" s="426" t="s">
        <v>3164</v>
      </c>
      <c r="B2634" s="419">
        <v>0.99909999999999999</v>
      </c>
    </row>
    <row r="2635" spans="1:2" hidden="1" x14ac:dyDescent="0.35">
      <c r="A2635" s="426" t="s">
        <v>3165</v>
      </c>
      <c r="B2635" s="419">
        <v>0.99680000000000002</v>
      </c>
    </row>
    <row r="2636" spans="1:2" hidden="1" x14ac:dyDescent="0.35">
      <c r="A2636" s="426" t="s">
        <v>3166</v>
      </c>
      <c r="B2636" s="419">
        <v>0.99199999999999999</v>
      </c>
    </row>
    <row r="2637" spans="1:2" hidden="1" x14ac:dyDescent="0.35">
      <c r="A2637" s="426" t="s">
        <v>3167</v>
      </c>
      <c r="B2637" s="419">
        <v>1</v>
      </c>
    </row>
    <row r="2638" spans="1:2" hidden="1" x14ac:dyDescent="0.35">
      <c r="A2638" s="426" t="s">
        <v>3168</v>
      </c>
      <c r="B2638" s="419">
        <v>1</v>
      </c>
    </row>
    <row r="2639" spans="1:2" hidden="1" x14ac:dyDescent="0.35">
      <c r="A2639" s="426" t="s">
        <v>3169</v>
      </c>
      <c r="B2639" s="419">
        <v>0.996</v>
      </c>
    </row>
    <row r="2640" spans="1:2" hidden="1" x14ac:dyDescent="0.35">
      <c r="A2640" s="426" t="s">
        <v>3170</v>
      </c>
      <c r="B2640" s="419">
        <v>1</v>
      </c>
    </row>
    <row r="2641" spans="1:2" hidden="1" x14ac:dyDescent="0.35">
      <c r="A2641" s="426" t="s">
        <v>3171</v>
      </c>
      <c r="B2641" s="419">
        <v>0.98809999999999998</v>
      </c>
    </row>
    <row r="2642" spans="1:2" hidden="1" x14ac:dyDescent="0.35">
      <c r="A2642" s="426" t="s">
        <v>3172</v>
      </c>
      <c r="B2642" s="419">
        <v>0.99680000000000002</v>
      </c>
    </row>
    <row r="2643" spans="1:2" hidden="1" x14ac:dyDescent="0.35">
      <c r="A2643" s="426" t="s">
        <v>3173</v>
      </c>
      <c r="B2643" s="419">
        <v>1</v>
      </c>
    </row>
    <row r="2644" spans="1:2" hidden="1" x14ac:dyDescent="0.35">
      <c r="A2644" s="426" t="s">
        <v>3174</v>
      </c>
      <c r="B2644" s="419">
        <v>1</v>
      </c>
    </row>
    <row r="2645" spans="1:2" hidden="1" x14ac:dyDescent="0.35">
      <c r="A2645" s="426" t="s">
        <v>3175</v>
      </c>
      <c r="B2645" s="419">
        <v>0.99719999999999998</v>
      </c>
    </row>
    <row r="2646" spans="1:2" hidden="1" x14ac:dyDescent="0.35">
      <c r="A2646" s="426" t="s">
        <v>3176</v>
      </c>
      <c r="B2646" s="419">
        <v>0.98540000000000005</v>
      </c>
    </row>
    <row r="2647" spans="1:2" hidden="1" x14ac:dyDescent="0.35">
      <c r="A2647" s="426" t="s">
        <v>3177</v>
      </c>
      <c r="B2647" s="419">
        <v>0.99729999999999996</v>
      </c>
    </row>
    <row r="2648" spans="1:2" hidden="1" x14ac:dyDescent="0.35">
      <c r="A2648" s="426" t="s">
        <v>3178</v>
      </c>
      <c r="B2648" s="419">
        <v>0.99760000000000004</v>
      </c>
    </row>
    <row r="2649" spans="1:2" hidden="1" x14ac:dyDescent="0.35">
      <c r="A2649" s="426" t="s">
        <v>3179</v>
      </c>
      <c r="B2649" s="419">
        <v>0.99909999999999999</v>
      </c>
    </row>
    <row r="2650" spans="1:2" hidden="1" x14ac:dyDescent="0.35">
      <c r="A2650" s="426" t="s">
        <v>3180</v>
      </c>
      <c r="B2650" s="419">
        <v>0.99950000000000006</v>
      </c>
    </row>
    <row r="2651" spans="1:2" hidden="1" x14ac:dyDescent="0.35">
      <c r="A2651" s="426" t="s">
        <v>3181</v>
      </c>
      <c r="B2651" s="419">
        <v>0.99870000000000003</v>
      </c>
    </row>
    <row r="2652" spans="1:2" hidden="1" x14ac:dyDescent="0.35">
      <c r="A2652" s="426" t="s">
        <v>3182</v>
      </c>
      <c r="B2652" s="419">
        <v>0.99670000000000003</v>
      </c>
    </row>
    <row r="2653" spans="1:2" hidden="1" x14ac:dyDescent="0.35">
      <c r="A2653" s="426" t="s">
        <v>3183</v>
      </c>
      <c r="B2653" s="419">
        <v>0.99729999999999996</v>
      </c>
    </row>
    <row r="2654" spans="1:2" hidden="1" x14ac:dyDescent="0.35">
      <c r="A2654" s="426" t="s">
        <v>3184</v>
      </c>
      <c r="B2654" s="419">
        <v>0.99550000000000005</v>
      </c>
    </row>
    <row r="2655" spans="1:2" hidden="1" x14ac:dyDescent="0.35">
      <c r="A2655" s="426" t="s">
        <v>3185</v>
      </c>
      <c r="B2655" s="419">
        <v>0.998</v>
      </c>
    </row>
    <row r="2656" spans="1:2" hidden="1" x14ac:dyDescent="0.35">
      <c r="A2656" s="426" t="s">
        <v>3186</v>
      </c>
      <c r="B2656" s="419">
        <v>1</v>
      </c>
    </row>
    <row r="2657" spans="1:2" hidden="1" x14ac:dyDescent="0.35">
      <c r="A2657" s="426" t="s">
        <v>3187</v>
      </c>
      <c r="B2657" s="419">
        <v>0.99870000000000003</v>
      </c>
    </row>
    <row r="2658" spans="1:2" hidden="1" x14ac:dyDescent="0.35">
      <c r="A2658" s="426" t="s">
        <v>3188</v>
      </c>
      <c r="B2658" s="419">
        <v>0.99919999999999998</v>
      </c>
    </row>
    <row r="2659" spans="1:2" hidden="1" x14ac:dyDescent="0.35">
      <c r="A2659" s="426" t="s">
        <v>3189</v>
      </c>
      <c r="B2659" s="419">
        <v>1</v>
      </c>
    </row>
    <row r="2660" spans="1:2" hidden="1" x14ac:dyDescent="0.35">
      <c r="A2660" s="426" t="s">
        <v>3190</v>
      </c>
      <c r="B2660" s="419">
        <v>0.99539999999999995</v>
      </c>
    </row>
    <row r="2661" spans="1:2" hidden="1" x14ac:dyDescent="0.35">
      <c r="A2661" s="426" t="s">
        <v>3191</v>
      </c>
      <c r="B2661" s="419">
        <v>0.99570000000000003</v>
      </c>
    </row>
    <row r="2662" spans="1:2" hidden="1" x14ac:dyDescent="0.35">
      <c r="A2662" s="426" t="s">
        <v>3192</v>
      </c>
      <c r="B2662" s="419">
        <v>0.9919</v>
      </c>
    </row>
    <row r="2663" spans="1:2" hidden="1" x14ac:dyDescent="0.35">
      <c r="A2663" s="426" t="s">
        <v>3193</v>
      </c>
      <c r="B2663" s="419">
        <v>0.99590000000000001</v>
      </c>
    </row>
    <row r="2664" spans="1:2" hidden="1" x14ac:dyDescent="0.35">
      <c r="A2664" s="426" t="s">
        <v>3194</v>
      </c>
      <c r="B2664" s="419">
        <v>0.99239999999999995</v>
      </c>
    </row>
    <row r="2665" spans="1:2" hidden="1" x14ac:dyDescent="0.35">
      <c r="A2665" s="426" t="s">
        <v>3195</v>
      </c>
      <c r="B2665" s="419">
        <v>0.99870000000000003</v>
      </c>
    </row>
    <row r="2666" spans="1:2" hidden="1" x14ac:dyDescent="0.35">
      <c r="A2666" s="426" t="s">
        <v>3196</v>
      </c>
      <c r="B2666" s="419">
        <v>0.99829999999999997</v>
      </c>
    </row>
    <row r="2667" spans="1:2" hidden="1" x14ac:dyDescent="0.35">
      <c r="A2667" s="426" t="s">
        <v>3197</v>
      </c>
      <c r="B2667" s="419">
        <v>0.99719999999999998</v>
      </c>
    </row>
    <row r="2668" spans="1:2" hidden="1" x14ac:dyDescent="0.35">
      <c r="A2668" s="426" t="s">
        <v>3198</v>
      </c>
      <c r="B2668" s="419">
        <v>0.99550000000000005</v>
      </c>
    </row>
    <row r="2669" spans="1:2" hidden="1" x14ac:dyDescent="0.35">
      <c r="A2669" s="426" t="s">
        <v>3199</v>
      </c>
      <c r="B2669" s="419">
        <v>0.99539999999999995</v>
      </c>
    </row>
    <row r="2670" spans="1:2" hidden="1" x14ac:dyDescent="0.35">
      <c r="A2670" s="426" t="s">
        <v>3200</v>
      </c>
      <c r="B2670" s="419">
        <v>0.99409999999999998</v>
      </c>
    </row>
    <row r="2671" spans="1:2" hidden="1" x14ac:dyDescent="0.35">
      <c r="A2671" s="426" t="s">
        <v>3201</v>
      </c>
      <c r="B2671" s="419">
        <v>0.99829999999999997</v>
      </c>
    </row>
    <row r="2672" spans="1:2" hidden="1" x14ac:dyDescent="0.35">
      <c r="A2672" s="426" t="s">
        <v>3202</v>
      </c>
      <c r="B2672" s="419">
        <v>1</v>
      </c>
    </row>
    <row r="2673" spans="1:2" hidden="1" x14ac:dyDescent="0.35">
      <c r="A2673" s="426" t="s">
        <v>3203</v>
      </c>
      <c r="B2673" s="419">
        <v>0.99529999999999996</v>
      </c>
    </row>
    <row r="2674" spans="1:2" hidden="1" x14ac:dyDescent="0.35">
      <c r="A2674" s="426" t="s">
        <v>3204</v>
      </c>
      <c r="B2674" s="419">
        <v>0.99719999999999998</v>
      </c>
    </row>
    <row r="2675" spans="1:2" hidden="1" x14ac:dyDescent="0.35">
      <c r="A2675" s="426" t="s">
        <v>3205</v>
      </c>
      <c r="B2675" s="419">
        <v>1</v>
      </c>
    </row>
    <row r="2676" spans="1:2" hidden="1" x14ac:dyDescent="0.35">
      <c r="A2676" s="426" t="s">
        <v>3206</v>
      </c>
      <c r="B2676" s="419">
        <v>0.98570000000000002</v>
      </c>
    </row>
    <row r="2677" spans="1:2" hidden="1" x14ac:dyDescent="0.35">
      <c r="A2677" s="426" t="s">
        <v>3207</v>
      </c>
      <c r="B2677" s="419">
        <v>0.99590000000000001</v>
      </c>
    </row>
    <row r="2678" spans="1:2" hidden="1" x14ac:dyDescent="0.35">
      <c r="A2678" s="426" t="s">
        <v>3208</v>
      </c>
      <c r="B2678" s="419">
        <v>0.99650000000000005</v>
      </c>
    </row>
    <row r="2679" spans="1:2" hidden="1" x14ac:dyDescent="0.35">
      <c r="A2679" s="426" t="s">
        <v>3209</v>
      </c>
      <c r="B2679" s="419">
        <v>0.99750000000000005</v>
      </c>
    </row>
    <row r="2680" spans="1:2" hidden="1" x14ac:dyDescent="0.35">
      <c r="A2680" s="426" t="s">
        <v>3210</v>
      </c>
      <c r="B2680" s="419">
        <v>0.99990000000000001</v>
      </c>
    </row>
    <row r="2681" spans="1:2" hidden="1" x14ac:dyDescent="0.35">
      <c r="A2681" s="426" t="s">
        <v>3211</v>
      </c>
      <c r="B2681" s="419">
        <v>0.99309999999999998</v>
      </c>
    </row>
    <row r="2682" spans="1:2" hidden="1" x14ac:dyDescent="0.35">
      <c r="A2682" s="426" t="s">
        <v>3212</v>
      </c>
      <c r="B2682" s="419">
        <v>0.99880000000000002</v>
      </c>
    </row>
    <row r="2683" spans="1:2" hidden="1" x14ac:dyDescent="0.35">
      <c r="A2683" s="426" t="s">
        <v>3213</v>
      </c>
      <c r="B2683" s="419">
        <v>0.999</v>
      </c>
    </row>
    <row r="2684" spans="1:2" hidden="1" x14ac:dyDescent="0.35">
      <c r="A2684" s="426" t="s">
        <v>3214</v>
      </c>
      <c r="B2684" s="419">
        <v>0.99529999999999996</v>
      </c>
    </row>
    <row r="2685" spans="1:2" hidden="1" x14ac:dyDescent="0.35">
      <c r="A2685" s="426" t="s">
        <v>3215</v>
      </c>
      <c r="B2685" s="419">
        <v>0.99460000000000004</v>
      </c>
    </row>
    <row r="2686" spans="1:2" hidden="1" x14ac:dyDescent="0.35">
      <c r="A2686" s="426" t="s">
        <v>3216</v>
      </c>
      <c r="B2686" s="419">
        <v>1</v>
      </c>
    </row>
    <row r="2687" spans="1:2" hidden="1" x14ac:dyDescent="0.35">
      <c r="A2687" s="426" t="s">
        <v>3217</v>
      </c>
      <c r="B2687" s="419">
        <v>0.99550000000000005</v>
      </c>
    </row>
    <row r="2688" spans="1:2" hidden="1" x14ac:dyDescent="0.35">
      <c r="A2688" s="426" t="s">
        <v>3218</v>
      </c>
      <c r="B2688" s="419">
        <v>1</v>
      </c>
    </row>
    <row r="2689" spans="1:2" hidden="1" x14ac:dyDescent="0.35">
      <c r="A2689" s="426" t="s">
        <v>3219</v>
      </c>
      <c r="B2689" s="419">
        <v>0.99099999999999999</v>
      </c>
    </row>
    <row r="2690" spans="1:2" hidden="1" x14ac:dyDescent="0.35">
      <c r="A2690" s="426" t="s">
        <v>3220</v>
      </c>
      <c r="B2690" s="419">
        <v>0.99299999999999999</v>
      </c>
    </row>
    <row r="2691" spans="1:2" hidden="1" x14ac:dyDescent="0.35">
      <c r="A2691" s="426" t="s">
        <v>3221</v>
      </c>
      <c r="B2691" s="419">
        <v>0.99709999999999999</v>
      </c>
    </row>
    <row r="2692" spans="1:2" hidden="1" x14ac:dyDescent="0.35">
      <c r="A2692" s="426" t="s">
        <v>3222</v>
      </c>
      <c r="B2692" s="419">
        <v>0.99850000000000005</v>
      </c>
    </row>
    <row r="2693" spans="1:2" hidden="1" x14ac:dyDescent="0.35">
      <c r="A2693" s="426" t="s">
        <v>3223</v>
      </c>
      <c r="B2693" s="419">
        <v>1</v>
      </c>
    </row>
    <row r="2694" spans="1:2" hidden="1" x14ac:dyDescent="0.35">
      <c r="A2694" s="426" t="s">
        <v>3224</v>
      </c>
      <c r="B2694" s="419">
        <v>0.99219999999999997</v>
      </c>
    </row>
    <row r="2695" spans="1:2" hidden="1" x14ac:dyDescent="0.35">
      <c r="A2695" s="426" t="s">
        <v>3225</v>
      </c>
      <c r="B2695" s="419">
        <v>1</v>
      </c>
    </row>
    <row r="2696" spans="1:2" hidden="1" x14ac:dyDescent="0.35">
      <c r="A2696" s="426" t="s">
        <v>3226</v>
      </c>
      <c r="B2696" s="419">
        <v>0.99880000000000002</v>
      </c>
    </row>
    <row r="2697" spans="1:2" hidden="1" x14ac:dyDescent="0.35">
      <c r="A2697" s="426" t="s">
        <v>3227</v>
      </c>
      <c r="B2697" s="419">
        <v>0.99860000000000004</v>
      </c>
    </row>
    <row r="2698" spans="1:2" hidden="1" x14ac:dyDescent="0.35">
      <c r="A2698" s="426" t="s">
        <v>3228</v>
      </c>
      <c r="B2698" s="419">
        <v>0.99850000000000005</v>
      </c>
    </row>
    <row r="2699" spans="1:2" hidden="1" x14ac:dyDescent="0.35">
      <c r="A2699" s="426" t="s">
        <v>3229</v>
      </c>
      <c r="B2699" s="419">
        <v>1</v>
      </c>
    </row>
    <row r="2700" spans="1:2" hidden="1" x14ac:dyDescent="0.35">
      <c r="A2700" s="426" t="s">
        <v>3230</v>
      </c>
      <c r="B2700" s="419">
        <v>0.99829999999999997</v>
      </c>
    </row>
    <row r="2701" spans="1:2" hidden="1" x14ac:dyDescent="0.35">
      <c r="A2701" s="426" t="s">
        <v>3231</v>
      </c>
      <c r="B2701" s="419">
        <v>0.99980000000000002</v>
      </c>
    </row>
    <row r="2702" spans="1:2" hidden="1" x14ac:dyDescent="0.35">
      <c r="A2702" s="426" t="s">
        <v>3232</v>
      </c>
      <c r="B2702" s="419">
        <v>1</v>
      </c>
    </row>
    <row r="2703" spans="1:2" hidden="1" x14ac:dyDescent="0.35">
      <c r="A2703" s="426" t="s">
        <v>3233</v>
      </c>
      <c r="B2703" s="419">
        <v>1</v>
      </c>
    </row>
    <row r="2704" spans="1:2" hidden="1" x14ac:dyDescent="0.35">
      <c r="A2704" s="426" t="s">
        <v>3234</v>
      </c>
      <c r="B2704" s="419">
        <v>1</v>
      </c>
    </row>
    <row r="2705" spans="1:2" hidden="1" x14ac:dyDescent="0.35">
      <c r="A2705" s="426" t="s">
        <v>3235</v>
      </c>
      <c r="B2705" s="419">
        <v>0.99539999999999995</v>
      </c>
    </row>
    <row r="2706" spans="1:2" hidden="1" x14ac:dyDescent="0.35">
      <c r="A2706" s="426" t="s">
        <v>3236</v>
      </c>
      <c r="B2706" s="419">
        <v>0.99399999999999999</v>
      </c>
    </row>
    <row r="2707" spans="1:2" hidden="1" x14ac:dyDescent="0.35">
      <c r="A2707" s="426" t="s">
        <v>3237</v>
      </c>
      <c r="B2707" s="419">
        <v>0.99670000000000003</v>
      </c>
    </row>
    <row r="2708" spans="1:2" hidden="1" x14ac:dyDescent="0.35">
      <c r="A2708" s="426" t="s">
        <v>3238</v>
      </c>
      <c r="B2708" s="419">
        <v>0.99790000000000001</v>
      </c>
    </row>
    <row r="2709" spans="1:2" hidden="1" x14ac:dyDescent="0.35">
      <c r="A2709" s="426" t="s">
        <v>3239</v>
      </c>
      <c r="B2709" s="419">
        <v>0.99690000000000001</v>
      </c>
    </row>
    <row r="2710" spans="1:2" hidden="1" x14ac:dyDescent="0.35">
      <c r="A2710" s="426" t="s">
        <v>3240</v>
      </c>
      <c r="B2710" s="419">
        <v>0.98509999999999998</v>
      </c>
    </row>
    <row r="2711" spans="1:2" hidden="1" x14ac:dyDescent="0.35">
      <c r="A2711" s="426" t="s">
        <v>3241</v>
      </c>
      <c r="B2711" s="419">
        <v>0.99929999999999997</v>
      </c>
    </row>
    <row r="2712" spans="1:2" hidden="1" x14ac:dyDescent="0.35">
      <c r="A2712" s="426" t="s">
        <v>3242</v>
      </c>
      <c r="B2712" s="419">
        <v>1</v>
      </c>
    </row>
    <row r="2713" spans="1:2" hidden="1" x14ac:dyDescent="0.35">
      <c r="A2713" s="426" t="s">
        <v>3243</v>
      </c>
      <c r="B2713" s="419">
        <v>0.98980000000000001</v>
      </c>
    </row>
    <row r="2714" spans="1:2" hidden="1" x14ac:dyDescent="0.35">
      <c r="A2714" s="426" t="s">
        <v>3244</v>
      </c>
      <c r="B2714" s="419">
        <v>0.99339999999999995</v>
      </c>
    </row>
    <row r="2715" spans="1:2" hidden="1" x14ac:dyDescent="0.35">
      <c r="A2715" s="426" t="s">
        <v>3245</v>
      </c>
      <c r="B2715" s="419">
        <v>1</v>
      </c>
    </row>
    <row r="2716" spans="1:2" hidden="1" x14ac:dyDescent="0.35">
      <c r="A2716" s="426" t="s">
        <v>3246</v>
      </c>
      <c r="B2716" s="419">
        <v>1</v>
      </c>
    </row>
    <row r="2717" spans="1:2" hidden="1" x14ac:dyDescent="0.35">
      <c r="A2717" s="426" t="s">
        <v>3247</v>
      </c>
      <c r="B2717" s="419">
        <v>0.99760000000000004</v>
      </c>
    </row>
    <row r="2718" spans="1:2" hidden="1" x14ac:dyDescent="0.35">
      <c r="A2718" s="426" t="s">
        <v>3248</v>
      </c>
      <c r="B2718" s="419">
        <v>0.99750000000000005</v>
      </c>
    </row>
    <row r="2719" spans="1:2" hidden="1" x14ac:dyDescent="0.35">
      <c r="A2719" s="426" t="s">
        <v>3249</v>
      </c>
      <c r="B2719" s="419">
        <v>1</v>
      </c>
    </row>
    <row r="2720" spans="1:2" hidden="1" x14ac:dyDescent="0.35">
      <c r="A2720" s="426" t="s">
        <v>3250</v>
      </c>
      <c r="B2720" s="419">
        <v>1</v>
      </c>
    </row>
    <row r="2721" spans="1:2" hidden="1" x14ac:dyDescent="0.35">
      <c r="A2721" s="426" t="s">
        <v>3251</v>
      </c>
      <c r="B2721" s="419">
        <v>0.99670000000000003</v>
      </c>
    </row>
    <row r="2722" spans="1:2" hidden="1" x14ac:dyDescent="0.35">
      <c r="A2722" s="426" t="s">
        <v>3252</v>
      </c>
      <c r="B2722" s="419">
        <v>1</v>
      </c>
    </row>
    <row r="2723" spans="1:2" hidden="1" x14ac:dyDescent="0.35">
      <c r="A2723" s="426" t="s">
        <v>3253</v>
      </c>
      <c r="B2723" s="419">
        <v>0.97</v>
      </c>
    </row>
    <row r="2724" spans="1:2" hidden="1" x14ac:dyDescent="0.35">
      <c r="A2724" s="426" t="s">
        <v>3254</v>
      </c>
      <c r="B2724" s="419">
        <v>0.98299999999999998</v>
      </c>
    </row>
    <row r="2725" spans="1:2" hidden="1" x14ac:dyDescent="0.35">
      <c r="A2725" s="426" t="s">
        <v>3255</v>
      </c>
      <c r="B2725" s="419">
        <v>0.97</v>
      </c>
    </row>
    <row r="2726" spans="1:2" hidden="1" x14ac:dyDescent="0.35">
      <c r="A2726" s="426" t="s">
        <v>3256</v>
      </c>
      <c r="B2726" s="419">
        <v>0.99790000000000001</v>
      </c>
    </row>
    <row r="2727" spans="1:2" hidden="1" x14ac:dyDescent="0.35">
      <c r="A2727" s="426" t="s">
        <v>3257</v>
      </c>
      <c r="B2727" s="419">
        <v>0.99909999999999999</v>
      </c>
    </row>
    <row r="2728" spans="1:2" hidden="1" x14ac:dyDescent="0.35">
      <c r="A2728" s="426" t="s">
        <v>3258</v>
      </c>
      <c r="B2728" s="419">
        <v>1</v>
      </c>
    </row>
    <row r="2729" spans="1:2" hidden="1" x14ac:dyDescent="0.35">
      <c r="A2729" s="426" t="s">
        <v>3259</v>
      </c>
      <c r="B2729" s="419">
        <v>1</v>
      </c>
    </row>
    <row r="2730" spans="1:2" hidden="1" x14ac:dyDescent="0.35">
      <c r="A2730" s="426" t="s">
        <v>3260</v>
      </c>
      <c r="B2730" s="419">
        <v>0.99990000000000001</v>
      </c>
    </row>
    <row r="2731" spans="1:2" hidden="1" x14ac:dyDescent="0.35">
      <c r="A2731" s="426" t="s">
        <v>3261</v>
      </c>
      <c r="B2731" s="419">
        <v>1</v>
      </c>
    </row>
    <row r="2732" spans="1:2" hidden="1" x14ac:dyDescent="0.35">
      <c r="A2732" s="426" t="s">
        <v>3262</v>
      </c>
      <c r="B2732" s="419">
        <v>0.99419999999999997</v>
      </c>
    </row>
    <row r="2733" spans="1:2" hidden="1" x14ac:dyDescent="0.35">
      <c r="A2733" s="426" t="s">
        <v>3263</v>
      </c>
      <c r="B2733" s="419">
        <v>1</v>
      </c>
    </row>
    <row r="2734" spans="1:2" hidden="1" x14ac:dyDescent="0.35">
      <c r="A2734" s="426" t="s">
        <v>3264</v>
      </c>
      <c r="B2734" s="419">
        <v>1</v>
      </c>
    </row>
    <row r="2735" spans="1:2" hidden="1" x14ac:dyDescent="0.35">
      <c r="A2735" s="426" t="s">
        <v>3265</v>
      </c>
      <c r="B2735" s="419">
        <v>1</v>
      </c>
    </row>
    <row r="2736" spans="1:2" hidden="1" x14ac:dyDescent="0.35">
      <c r="A2736" s="426" t="s">
        <v>3266</v>
      </c>
      <c r="B2736" s="419">
        <v>0.99970000000000003</v>
      </c>
    </row>
    <row r="2737" spans="1:2" hidden="1" x14ac:dyDescent="0.35">
      <c r="A2737" s="426" t="s">
        <v>3267</v>
      </c>
      <c r="B2737" s="419">
        <v>0.99960000000000004</v>
      </c>
    </row>
    <row r="2738" spans="1:2" hidden="1" x14ac:dyDescent="0.35">
      <c r="A2738" s="426" t="s">
        <v>3268</v>
      </c>
      <c r="B2738" s="419">
        <v>1</v>
      </c>
    </row>
    <row r="2739" spans="1:2" hidden="1" x14ac:dyDescent="0.35">
      <c r="A2739" s="426" t="s">
        <v>3269</v>
      </c>
      <c r="B2739" s="419">
        <v>1</v>
      </c>
    </row>
    <row r="2740" spans="1:2" hidden="1" x14ac:dyDescent="0.35">
      <c r="A2740" s="426" t="s">
        <v>3270</v>
      </c>
      <c r="B2740" s="419">
        <v>0.999</v>
      </c>
    </row>
    <row r="2741" spans="1:2" hidden="1" x14ac:dyDescent="0.35">
      <c r="A2741" s="426" t="s">
        <v>3271</v>
      </c>
      <c r="B2741" s="419">
        <v>1</v>
      </c>
    </row>
    <row r="2742" spans="1:2" hidden="1" x14ac:dyDescent="0.35">
      <c r="A2742" s="426" t="s">
        <v>3272</v>
      </c>
      <c r="B2742" s="419">
        <v>0.98829999999999996</v>
      </c>
    </row>
    <row r="2743" spans="1:2" hidden="1" x14ac:dyDescent="0.35">
      <c r="A2743" s="426" t="s">
        <v>3273</v>
      </c>
      <c r="B2743" s="419">
        <v>0.99160000000000004</v>
      </c>
    </row>
    <row r="2744" spans="1:2" hidden="1" x14ac:dyDescent="0.35">
      <c r="A2744" s="426" t="s">
        <v>3274</v>
      </c>
      <c r="B2744" s="419">
        <v>1</v>
      </c>
    </row>
    <row r="2745" spans="1:2" hidden="1" x14ac:dyDescent="0.35">
      <c r="A2745" s="426" t="s">
        <v>3275</v>
      </c>
      <c r="B2745" s="419">
        <v>1</v>
      </c>
    </row>
    <row r="2746" spans="1:2" hidden="1" x14ac:dyDescent="0.35">
      <c r="A2746" s="426" t="s">
        <v>3276</v>
      </c>
      <c r="B2746" s="419">
        <v>0.99870000000000003</v>
      </c>
    </row>
    <row r="2747" spans="1:2" hidden="1" x14ac:dyDescent="0.35">
      <c r="A2747" s="426" t="s">
        <v>3277</v>
      </c>
      <c r="B2747" s="419">
        <v>1</v>
      </c>
    </row>
    <row r="2748" spans="1:2" hidden="1" x14ac:dyDescent="0.35">
      <c r="A2748" s="426" t="s">
        <v>3278</v>
      </c>
      <c r="B2748" s="419">
        <v>0.99770000000000003</v>
      </c>
    </row>
    <row r="2749" spans="1:2" hidden="1" x14ac:dyDescent="0.35">
      <c r="A2749" s="426" t="s">
        <v>3279</v>
      </c>
      <c r="B2749" s="419">
        <v>1</v>
      </c>
    </row>
    <row r="2750" spans="1:2" hidden="1" x14ac:dyDescent="0.35">
      <c r="A2750" s="426" t="s">
        <v>3280</v>
      </c>
      <c r="B2750" s="419">
        <v>1</v>
      </c>
    </row>
    <row r="2751" spans="1:2" hidden="1" x14ac:dyDescent="0.35">
      <c r="A2751" s="426" t="s">
        <v>3281</v>
      </c>
      <c r="B2751" s="419">
        <v>1</v>
      </c>
    </row>
    <row r="2752" spans="1:2" hidden="1" x14ac:dyDescent="0.35">
      <c r="A2752" s="426" t="s">
        <v>3282</v>
      </c>
      <c r="B2752" s="419">
        <v>1</v>
      </c>
    </row>
    <row r="2753" spans="1:2" hidden="1" x14ac:dyDescent="0.35">
      <c r="A2753" s="426" t="s">
        <v>3283</v>
      </c>
      <c r="B2753" s="419">
        <v>1</v>
      </c>
    </row>
    <row r="2754" spans="1:2" hidden="1" x14ac:dyDescent="0.35">
      <c r="A2754" s="426" t="s">
        <v>3284</v>
      </c>
      <c r="B2754" s="419">
        <v>0.99160000000000004</v>
      </c>
    </row>
    <row r="2755" spans="1:2" hidden="1" x14ac:dyDescent="0.35">
      <c r="A2755" s="426" t="s">
        <v>3285</v>
      </c>
      <c r="B2755" s="419">
        <v>0.99360000000000004</v>
      </c>
    </row>
    <row r="2756" spans="1:2" hidden="1" x14ac:dyDescent="0.35">
      <c r="A2756" s="426" t="s">
        <v>3286</v>
      </c>
      <c r="B2756" s="419">
        <v>1</v>
      </c>
    </row>
    <row r="2757" spans="1:2" hidden="1" x14ac:dyDescent="0.35">
      <c r="A2757" s="426" t="s">
        <v>3287</v>
      </c>
      <c r="B2757" s="419">
        <v>0.99550000000000005</v>
      </c>
    </row>
    <row r="2758" spans="1:2" hidden="1" x14ac:dyDescent="0.35">
      <c r="A2758" s="426" t="s">
        <v>3288</v>
      </c>
      <c r="B2758" s="419">
        <v>0.98950000000000005</v>
      </c>
    </row>
    <row r="2759" spans="1:2" hidden="1" x14ac:dyDescent="0.35">
      <c r="A2759" s="426" t="s">
        <v>3289</v>
      </c>
      <c r="B2759" s="419">
        <v>0.98850000000000005</v>
      </c>
    </row>
    <row r="2760" spans="1:2" hidden="1" x14ac:dyDescent="0.35">
      <c r="A2760" s="426" t="s">
        <v>3290</v>
      </c>
      <c r="B2760" s="419">
        <v>1</v>
      </c>
    </row>
    <row r="2761" spans="1:2" hidden="1" x14ac:dyDescent="0.35">
      <c r="A2761" s="426" t="s">
        <v>3291</v>
      </c>
      <c r="B2761" s="419">
        <v>0.99960000000000004</v>
      </c>
    </row>
    <row r="2762" spans="1:2" hidden="1" x14ac:dyDescent="0.35">
      <c r="A2762" s="426" t="s">
        <v>3292</v>
      </c>
      <c r="B2762" s="419">
        <v>0.9929</v>
      </c>
    </row>
    <row r="2763" spans="1:2" hidden="1" x14ac:dyDescent="0.35">
      <c r="A2763" s="426" t="s">
        <v>3293</v>
      </c>
      <c r="B2763" s="419">
        <v>1</v>
      </c>
    </row>
    <row r="2764" spans="1:2" hidden="1" x14ac:dyDescent="0.35">
      <c r="A2764" s="426" t="s">
        <v>3294</v>
      </c>
      <c r="B2764" s="419">
        <v>0.9869</v>
      </c>
    </row>
    <row r="2765" spans="1:2" hidden="1" x14ac:dyDescent="0.35">
      <c r="A2765" s="426" t="s">
        <v>3295</v>
      </c>
      <c r="B2765" s="419">
        <v>1</v>
      </c>
    </row>
    <row r="2766" spans="1:2" hidden="1" x14ac:dyDescent="0.35">
      <c r="A2766" s="426" t="s">
        <v>3296</v>
      </c>
      <c r="B2766" s="419">
        <v>0.99539999999999995</v>
      </c>
    </row>
    <row r="2767" spans="1:2" hidden="1" x14ac:dyDescent="0.35">
      <c r="A2767" s="426" t="s">
        <v>3297</v>
      </c>
      <c r="B2767" s="419">
        <v>0.9929</v>
      </c>
    </row>
    <row r="2768" spans="1:2" hidden="1" x14ac:dyDescent="0.35">
      <c r="A2768" s="426" t="s">
        <v>3298</v>
      </c>
      <c r="B2768" s="419">
        <v>0.99329999999999996</v>
      </c>
    </row>
    <row r="2769" spans="1:2" hidden="1" x14ac:dyDescent="0.35">
      <c r="A2769" s="426" t="s">
        <v>3299</v>
      </c>
      <c r="B2769" s="419">
        <v>0.99570000000000003</v>
      </c>
    </row>
    <row r="2770" spans="1:2" hidden="1" x14ac:dyDescent="0.35">
      <c r="A2770" s="426" t="s">
        <v>3300</v>
      </c>
      <c r="B2770" s="419">
        <v>0.99390000000000001</v>
      </c>
    </row>
    <row r="2771" spans="1:2" hidden="1" x14ac:dyDescent="0.35">
      <c r="A2771" s="426" t="s">
        <v>3301</v>
      </c>
      <c r="B2771" s="419">
        <v>0.99739999999999995</v>
      </c>
    </row>
    <row r="2772" spans="1:2" hidden="1" x14ac:dyDescent="0.35">
      <c r="A2772" s="426" t="s">
        <v>3302</v>
      </c>
      <c r="B2772" s="419">
        <v>0.99939999999999996</v>
      </c>
    </row>
    <row r="2773" spans="1:2" hidden="1" x14ac:dyDescent="0.35">
      <c r="A2773" s="426" t="s">
        <v>3303</v>
      </c>
      <c r="B2773" s="419">
        <v>0.99929999999999997</v>
      </c>
    </row>
    <row r="2774" spans="1:2" hidden="1" x14ac:dyDescent="0.35">
      <c r="A2774" s="426" t="s">
        <v>3304</v>
      </c>
      <c r="B2774" s="419">
        <v>0.99909999999999999</v>
      </c>
    </row>
    <row r="2775" spans="1:2" hidden="1" x14ac:dyDescent="0.35">
      <c r="A2775" s="426" t="s">
        <v>3305</v>
      </c>
      <c r="B2775" s="419">
        <v>0.99939999999999996</v>
      </c>
    </row>
    <row r="2776" spans="1:2" hidden="1" x14ac:dyDescent="0.35">
      <c r="A2776" s="426" t="s">
        <v>3306</v>
      </c>
      <c r="B2776" s="419">
        <v>1</v>
      </c>
    </row>
    <row r="2777" spans="1:2" hidden="1" x14ac:dyDescent="0.35">
      <c r="A2777" s="426" t="s">
        <v>3307</v>
      </c>
      <c r="B2777" s="419">
        <v>1</v>
      </c>
    </row>
    <row r="2778" spans="1:2" hidden="1" x14ac:dyDescent="0.35">
      <c r="A2778" s="426" t="s">
        <v>3308</v>
      </c>
      <c r="B2778" s="419">
        <v>0.98529999999999995</v>
      </c>
    </row>
    <row r="2779" spans="1:2" hidden="1" x14ac:dyDescent="0.35">
      <c r="A2779" s="426" t="s">
        <v>3309</v>
      </c>
      <c r="B2779" s="419">
        <v>0.99990000000000001</v>
      </c>
    </row>
    <row r="2780" spans="1:2" hidden="1" x14ac:dyDescent="0.35">
      <c r="A2780" s="426" t="s">
        <v>3310</v>
      </c>
      <c r="B2780" s="419">
        <v>0.99939999999999996</v>
      </c>
    </row>
    <row r="2781" spans="1:2" hidden="1" x14ac:dyDescent="0.35">
      <c r="A2781" s="426" t="s">
        <v>3311</v>
      </c>
      <c r="B2781" s="419">
        <v>0.98550000000000004</v>
      </c>
    </row>
    <row r="2782" spans="1:2" hidden="1" x14ac:dyDescent="0.35">
      <c r="A2782" s="426" t="s">
        <v>3312</v>
      </c>
      <c r="B2782" s="419">
        <v>0.97150000000000003</v>
      </c>
    </row>
    <row r="2783" spans="1:2" hidden="1" x14ac:dyDescent="0.35">
      <c r="A2783" s="426" t="s">
        <v>3313</v>
      </c>
      <c r="B2783" s="419">
        <v>0.99960000000000004</v>
      </c>
    </row>
    <row r="2784" spans="1:2" hidden="1" x14ac:dyDescent="0.35">
      <c r="A2784" s="426" t="s">
        <v>3314</v>
      </c>
      <c r="B2784" s="419">
        <v>0.99929999999999997</v>
      </c>
    </row>
    <row r="2785" spans="1:2" hidden="1" x14ac:dyDescent="0.35">
      <c r="A2785" s="426" t="s">
        <v>3315</v>
      </c>
      <c r="B2785" s="419">
        <v>0.99809999999999999</v>
      </c>
    </row>
    <row r="2786" spans="1:2" hidden="1" x14ac:dyDescent="0.35">
      <c r="A2786" s="426" t="s">
        <v>3316</v>
      </c>
      <c r="B2786" s="419">
        <v>0.99960000000000004</v>
      </c>
    </row>
    <row r="2787" spans="1:2" hidden="1" x14ac:dyDescent="0.35">
      <c r="A2787" s="426" t="s">
        <v>3317</v>
      </c>
      <c r="B2787" s="419">
        <v>0.99350000000000005</v>
      </c>
    </row>
    <row r="2788" spans="1:2" hidden="1" x14ac:dyDescent="0.35">
      <c r="A2788" s="426" t="s">
        <v>3318</v>
      </c>
      <c r="B2788" s="419">
        <v>1</v>
      </c>
    </row>
    <row r="2789" spans="1:2" hidden="1" x14ac:dyDescent="0.35">
      <c r="A2789" s="426" t="s">
        <v>3319</v>
      </c>
      <c r="B2789" s="419">
        <v>0.99539999999999995</v>
      </c>
    </row>
    <row r="2790" spans="1:2" hidden="1" x14ac:dyDescent="0.35">
      <c r="A2790" s="426" t="s">
        <v>3320</v>
      </c>
      <c r="B2790" s="419">
        <v>1</v>
      </c>
    </row>
    <row r="2791" spans="1:2" hidden="1" x14ac:dyDescent="0.35">
      <c r="A2791" s="426" t="s">
        <v>3321</v>
      </c>
      <c r="B2791" s="419">
        <v>0.99719999999999998</v>
      </c>
    </row>
    <row r="2792" spans="1:2" hidden="1" x14ac:dyDescent="0.35">
      <c r="A2792" s="426" t="s">
        <v>3322</v>
      </c>
      <c r="B2792" s="419">
        <v>0.99590000000000001</v>
      </c>
    </row>
    <row r="2793" spans="1:2" hidden="1" x14ac:dyDescent="0.35">
      <c r="A2793" s="426" t="s">
        <v>3323</v>
      </c>
      <c r="B2793" s="419">
        <v>0.99760000000000004</v>
      </c>
    </row>
    <row r="2794" spans="1:2" hidden="1" x14ac:dyDescent="0.35">
      <c r="A2794" s="426" t="s">
        <v>3324</v>
      </c>
      <c r="B2794" s="419">
        <v>0.99919999999999998</v>
      </c>
    </row>
    <row r="2795" spans="1:2" hidden="1" x14ac:dyDescent="0.35">
      <c r="A2795" s="426" t="s">
        <v>3325</v>
      </c>
      <c r="B2795" s="419">
        <v>0.99109999999999998</v>
      </c>
    </row>
    <row r="2796" spans="1:2" hidden="1" x14ac:dyDescent="0.35">
      <c r="A2796" s="426" t="s">
        <v>3326</v>
      </c>
      <c r="B2796" s="419">
        <v>0.99950000000000006</v>
      </c>
    </row>
    <row r="2797" spans="1:2" hidden="1" x14ac:dyDescent="0.35">
      <c r="A2797" s="426" t="s">
        <v>3327</v>
      </c>
      <c r="B2797" s="419">
        <v>0.99719999999999998</v>
      </c>
    </row>
    <row r="2798" spans="1:2" hidden="1" x14ac:dyDescent="0.35">
      <c r="A2798" s="426" t="s">
        <v>3328</v>
      </c>
      <c r="B2798" s="419">
        <v>0.99450000000000005</v>
      </c>
    </row>
    <row r="2799" spans="1:2" hidden="1" x14ac:dyDescent="0.35">
      <c r="A2799" s="426" t="s">
        <v>3329</v>
      </c>
      <c r="B2799" s="419">
        <v>0.99839999999999995</v>
      </c>
    </row>
    <row r="2800" spans="1:2" hidden="1" x14ac:dyDescent="0.35">
      <c r="A2800" s="426" t="s">
        <v>3330</v>
      </c>
      <c r="B2800" s="419">
        <v>0.99790000000000001</v>
      </c>
    </row>
    <row r="2801" spans="1:2" hidden="1" x14ac:dyDescent="0.35">
      <c r="A2801" s="426" t="s">
        <v>3331</v>
      </c>
      <c r="B2801" s="419">
        <v>0.99429999999999996</v>
      </c>
    </row>
    <row r="2802" spans="1:2" hidden="1" x14ac:dyDescent="0.35">
      <c r="A2802" s="426" t="s">
        <v>3332</v>
      </c>
      <c r="B2802" s="419">
        <v>1</v>
      </c>
    </row>
    <row r="2803" spans="1:2" hidden="1" x14ac:dyDescent="0.35">
      <c r="A2803" s="426" t="s">
        <v>3333</v>
      </c>
      <c r="B2803" s="419">
        <v>0.99890000000000001</v>
      </c>
    </row>
    <row r="2804" spans="1:2" hidden="1" x14ac:dyDescent="0.35">
      <c r="A2804" s="426" t="s">
        <v>3334</v>
      </c>
      <c r="B2804" s="419">
        <v>0.9919</v>
      </c>
    </row>
    <row r="2805" spans="1:2" hidden="1" x14ac:dyDescent="0.35">
      <c r="A2805" s="426" t="s">
        <v>3335</v>
      </c>
      <c r="B2805" s="419">
        <v>0.99709999999999999</v>
      </c>
    </row>
    <row r="2806" spans="1:2" hidden="1" x14ac:dyDescent="0.35">
      <c r="A2806" s="426" t="s">
        <v>3336</v>
      </c>
      <c r="B2806" s="419">
        <v>0.99270000000000003</v>
      </c>
    </row>
    <row r="2807" spans="1:2" hidden="1" x14ac:dyDescent="0.35">
      <c r="A2807" s="426" t="s">
        <v>3337</v>
      </c>
      <c r="B2807" s="419">
        <v>0.99260000000000004</v>
      </c>
    </row>
    <row r="2808" spans="1:2" hidden="1" x14ac:dyDescent="0.35">
      <c r="A2808" s="426" t="s">
        <v>3338</v>
      </c>
      <c r="B2808" s="419">
        <v>1</v>
      </c>
    </row>
    <row r="2809" spans="1:2" hidden="1" x14ac:dyDescent="0.35">
      <c r="A2809" s="426" t="s">
        <v>3339</v>
      </c>
      <c r="B2809" s="419">
        <v>0.99680000000000002</v>
      </c>
    </row>
    <row r="2810" spans="1:2" hidden="1" x14ac:dyDescent="0.35">
      <c r="A2810" s="426" t="s">
        <v>3340</v>
      </c>
      <c r="B2810" s="419">
        <v>1</v>
      </c>
    </row>
    <row r="2811" spans="1:2" hidden="1" x14ac:dyDescent="0.35">
      <c r="A2811" s="426" t="s">
        <v>3341</v>
      </c>
      <c r="B2811" s="419">
        <v>0.99880000000000002</v>
      </c>
    </row>
    <row r="2812" spans="1:2" hidden="1" x14ac:dyDescent="0.35">
      <c r="A2812" s="426" t="s">
        <v>3342</v>
      </c>
      <c r="B2812" s="419">
        <v>0.99809999999999999</v>
      </c>
    </row>
    <row r="2813" spans="1:2" hidden="1" x14ac:dyDescent="0.35">
      <c r="A2813" s="426" t="s">
        <v>3343</v>
      </c>
      <c r="B2813" s="419">
        <v>0.99619999999999997</v>
      </c>
    </row>
    <row r="2814" spans="1:2" hidden="1" x14ac:dyDescent="0.35">
      <c r="A2814" s="426" t="s">
        <v>3344</v>
      </c>
      <c r="B2814" s="419">
        <v>1</v>
      </c>
    </row>
    <row r="2815" spans="1:2" hidden="1" x14ac:dyDescent="0.35">
      <c r="A2815" s="426" t="s">
        <v>3345</v>
      </c>
      <c r="B2815" s="419">
        <v>1</v>
      </c>
    </row>
    <row r="2816" spans="1:2" hidden="1" x14ac:dyDescent="0.35">
      <c r="A2816" s="426" t="s">
        <v>3346</v>
      </c>
      <c r="B2816" s="419">
        <v>0.99850000000000005</v>
      </c>
    </row>
    <row r="2817" spans="1:2" hidden="1" x14ac:dyDescent="0.35">
      <c r="A2817" s="426" t="s">
        <v>3347</v>
      </c>
      <c r="B2817" s="419">
        <v>1</v>
      </c>
    </row>
    <row r="2818" spans="1:2" hidden="1" x14ac:dyDescent="0.35">
      <c r="A2818" s="426" t="s">
        <v>3348</v>
      </c>
      <c r="B2818" s="419">
        <v>0.99270000000000003</v>
      </c>
    </row>
    <row r="2819" spans="1:2" hidden="1" x14ac:dyDescent="0.35">
      <c r="A2819" s="426" t="s">
        <v>3349</v>
      </c>
      <c r="B2819" s="419">
        <v>0.9889</v>
      </c>
    </row>
    <row r="2820" spans="1:2" hidden="1" x14ac:dyDescent="0.35">
      <c r="A2820" s="426" t="s">
        <v>3350</v>
      </c>
      <c r="B2820" s="419">
        <v>0.99760000000000004</v>
      </c>
    </row>
    <row r="2821" spans="1:2" hidden="1" x14ac:dyDescent="0.35">
      <c r="A2821" s="426" t="s">
        <v>3351</v>
      </c>
      <c r="B2821" s="419">
        <v>0.99529999999999996</v>
      </c>
    </row>
    <row r="2822" spans="1:2" hidden="1" x14ac:dyDescent="0.35">
      <c r="A2822" s="426" t="s">
        <v>3352</v>
      </c>
      <c r="B2822" s="419">
        <v>0.99639999999999995</v>
      </c>
    </row>
    <row r="2823" spans="1:2" hidden="1" x14ac:dyDescent="0.35">
      <c r="A2823" s="426" t="s">
        <v>3353</v>
      </c>
      <c r="B2823" s="419">
        <v>0.99909999999999999</v>
      </c>
    </row>
    <row r="2824" spans="1:2" hidden="1" x14ac:dyDescent="0.35">
      <c r="A2824" s="426" t="s">
        <v>3354</v>
      </c>
      <c r="B2824" s="419">
        <v>0.99950000000000006</v>
      </c>
    </row>
    <row r="2825" spans="1:2" hidden="1" x14ac:dyDescent="0.35">
      <c r="A2825" s="426" t="s">
        <v>3355</v>
      </c>
      <c r="B2825" s="419">
        <v>0.99860000000000004</v>
      </c>
    </row>
    <row r="2826" spans="1:2" hidden="1" x14ac:dyDescent="0.35">
      <c r="A2826" s="426" t="s">
        <v>3356</v>
      </c>
      <c r="B2826" s="419">
        <v>0.99860000000000004</v>
      </c>
    </row>
    <row r="2827" spans="1:2" hidden="1" x14ac:dyDescent="0.35">
      <c r="A2827" s="426" t="s">
        <v>3357</v>
      </c>
      <c r="B2827" s="419">
        <v>0.99590000000000001</v>
      </c>
    </row>
    <row r="2828" spans="1:2" hidden="1" x14ac:dyDescent="0.35">
      <c r="A2828" s="426" t="s">
        <v>3358</v>
      </c>
      <c r="B2828" s="419">
        <v>0.99870000000000003</v>
      </c>
    </row>
    <row r="2829" spans="1:2" hidden="1" x14ac:dyDescent="0.35">
      <c r="A2829" s="426" t="s">
        <v>3359</v>
      </c>
      <c r="B2829" s="419">
        <v>0.99719999999999998</v>
      </c>
    </row>
    <row r="2830" spans="1:2" hidden="1" x14ac:dyDescent="0.35">
      <c r="A2830" s="426" t="s">
        <v>3360</v>
      </c>
      <c r="B2830" s="419">
        <v>0.99990000000000001</v>
      </c>
    </row>
    <row r="2831" spans="1:2" hidden="1" x14ac:dyDescent="0.35">
      <c r="A2831" s="426" t="s">
        <v>3361</v>
      </c>
      <c r="B2831" s="419">
        <v>0.99670000000000003</v>
      </c>
    </row>
    <row r="2832" spans="1:2" hidden="1" x14ac:dyDescent="0.35">
      <c r="A2832" s="426" t="s">
        <v>3362</v>
      </c>
      <c r="B2832" s="419">
        <v>0.98419999999999996</v>
      </c>
    </row>
    <row r="2833" spans="1:2" hidden="1" x14ac:dyDescent="0.35">
      <c r="A2833" s="426" t="s">
        <v>3363</v>
      </c>
      <c r="B2833" s="419">
        <v>0.99509999999999998</v>
      </c>
    </row>
    <row r="2834" spans="1:2" hidden="1" x14ac:dyDescent="0.35">
      <c r="A2834" s="426" t="s">
        <v>3364</v>
      </c>
      <c r="B2834" s="419">
        <v>0.99850000000000005</v>
      </c>
    </row>
    <row r="2835" spans="1:2" hidden="1" x14ac:dyDescent="0.35">
      <c r="A2835" s="426" t="s">
        <v>3365</v>
      </c>
      <c r="B2835" s="419">
        <v>0.99039999999999995</v>
      </c>
    </row>
    <row r="2836" spans="1:2" hidden="1" x14ac:dyDescent="0.35">
      <c r="A2836" s="426" t="s">
        <v>3366</v>
      </c>
      <c r="B2836" s="419">
        <v>0.9919</v>
      </c>
    </row>
    <row r="2837" spans="1:2" hidden="1" x14ac:dyDescent="0.35">
      <c r="A2837" s="426" t="s">
        <v>3367</v>
      </c>
      <c r="B2837" s="419">
        <v>0.99590000000000001</v>
      </c>
    </row>
    <row r="2838" spans="1:2" hidden="1" x14ac:dyDescent="0.35">
      <c r="A2838" s="426" t="s">
        <v>3368</v>
      </c>
      <c r="B2838" s="419">
        <v>0.99709999999999999</v>
      </c>
    </row>
    <row r="2839" spans="1:2" hidden="1" x14ac:dyDescent="0.35">
      <c r="A2839" s="426" t="s">
        <v>3369</v>
      </c>
      <c r="B2839" s="419">
        <v>0.99890000000000001</v>
      </c>
    </row>
    <row r="2840" spans="1:2" hidden="1" x14ac:dyDescent="0.35">
      <c r="A2840" s="426" t="s">
        <v>3370</v>
      </c>
      <c r="B2840" s="419">
        <v>0.99790000000000001</v>
      </c>
    </row>
    <row r="2841" spans="1:2" hidden="1" x14ac:dyDescent="0.35">
      <c r="A2841" s="426" t="s">
        <v>3371</v>
      </c>
      <c r="B2841" s="419">
        <v>0.99839999999999995</v>
      </c>
    </row>
    <row r="2842" spans="1:2" hidden="1" x14ac:dyDescent="0.35">
      <c r="A2842" s="426" t="s">
        <v>3372</v>
      </c>
      <c r="B2842" s="419">
        <v>0.99929999999999997</v>
      </c>
    </row>
    <row r="2843" spans="1:2" hidden="1" x14ac:dyDescent="0.35">
      <c r="A2843" s="426" t="s">
        <v>3373</v>
      </c>
      <c r="B2843" s="419">
        <v>0.99629999999999996</v>
      </c>
    </row>
    <row r="2844" spans="1:2" hidden="1" x14ac:dyDescent="0.35">
      <c r="A2844" s="426" t="s">
        <v>3374</v>
      </c>
      <c r="B2844" s="419">
        <v>0.99839999999999995</v>
      </c>
    </row>
    <row r="2845" spans="1:2" hidden="1" x14ac:dyDescent="0.35">
      <c r="A2845" s="426" t="s">
        <v>3375</v>
      </c>
      <c r="B2845" s="419">
        <v>1</v>
      </c>
    </row>
    <row r="2846" spans="1:2" hidden="1" x14ac:dyDescent="0.35">
      <c r="A2846" s="426" t="s">
        <v>3376</v>
      </c>
      <c r="B2846" s="419">
        <v>0.9929</v>
      </c>
    </row>
    <row r="2847" spans="1:2" hidden="1" x14ac:dyDescent="0.35">
      <c r="A2847" s="426" t="s">
        <v>3377</v>
      </c>
      <c r="B2847" s="419">
        <v>0.99870000000000003</v>
      </c>
    </row>
    <row r="2848" spans="1:2" hidden="1" x14ac:dyDescent="0.35">
      <c r="A2848" s="426" t="s">
        <v>3378</v>
      </c>
      <c r="B2848" s="419">
        <v>1</v>
      </c>
    </row>
    <row r="2849" spans="1:2" hidden="1" x14ac:dyDescent="0.35">
      <c r="A2849" s="426" t="s">
        <v>3379</v>
      </c>
      <c r="B2849" s="419">
        <v>0.99939999999999996</v>
      </c>
    </row>
    <row r="2850" spans="1:2" hidden="1" x14ac:dyDescent="0.35">
      <c r="A2850" s="426" t="s">
        <v>3380</v>
      </c>
      <c r="B2850" s="419">
        <v>0.99850000000000005</v>
      </c>
    </row>
    <row r="2851" spans="1:2" hidden="1" x14ac:dyDescent="0.35">
      <c r="A2851" s="426" t="s">
        <v>3381</v>
      </c>
      <c r="B2851" s="419">
        <v>0.99860000000000004</v>
      </c>
    </row>
    <row r="2852" spans="1:2" hidden="1" x14ac:dyDescent="0.35">
      <c r="A2852" s="426" t="s">
        <v>3382</v>
      </c>
      <c r="B2852" s="419">
        <v>0.99980000000000002</v>
      </c>
    </row>
    <row r="2853" spans="1:2" hidden="1" x14ac:dyDescent="0.35">
      <c r="A2853" s="426" t="s">
        <v>3383</v>
      </c>
      <c r="B2853" s="419">
        <v>1</v>
      </c>
    </row>
    <row r="2854" spans="1:2" hidden="1" x14ac:dyDescent="0.35">
      <c r="A2854" s="426" t="s">
        <v>3384</v>
      </c>
      <c r="B2854" s="419">
        <v>1</v>
      </c>
    </row>
    <row r="2855" spans="1:2" hidden="1" x14ac:dyDescent="0.35">
      <c r="A2855" s="426" t="s">
        <v>3385</v>
      </c>
      <c r="B2855" s="419">
        <v>1</v>
      </c>
    </row>
    <row r="2856" spans="1:2" hidden="1" x14ac:dyDescent="0.35">
      <c r="A2856" s="426" t="s">
        <v>3386</v>
      </c>
      <c r="B2856" s="419">
        <v>0.99890000000000001</v>
      </c>
    </row>
    <row r="2857" spans="1:2" hidden="1" x14ac:dyDescent="0.35">
      <c r="A2857" s="426" t="s">
        <v>3387</v>
      </c>
      <c r="B2857" s="419">
        <v>1</v>
      </c>
    </row>
    <row r="2858" spans="1:2" hidden="1" x14ac:dyDescent="0.35">
      <c r="A2858" s="426" t="s">
        <v>3388</v>
      </c>
      <c r="B2858" s="419">
        <v>0.99929999999999997</v>
      </c>
    </row>
    <row r="2859" spans="1:2" hidden="1" x14ac:dyDescent="0.35">
      <c r="A2859" s="426" t="s">
        <v>3389</v>
      </c>
      <c r="B2859" s="419">
        <v>1</v>
      </c>
    </row>
    <row r="2860" spans="1:2" hidden="1" x14ac:dyDescent="0.35">
      <c r="A2860" s="426" t="s">
        <v>3390</v>
      </c>
      <c r="B2860" s="419">
        <v>1</v>
      </c>
    </row>
    <row r="2861" spans="1:2" hidden="1" x14ac:dyDescent="0.35">
      <c r="A2861" s="426" t="s">
        <v>3391</v>
      </c>
      <c r="B2861" s="419">
        <v>0.99809999999999999</v>
      </c>
    </row>
    <row r="2862" spans="1:2" hidden="1" x14ac:dyDescent="0.35">
      <c r="A2862" s="426" t="s">
        <v>3392</v>
      </c>
      <c r="B2862" s="419">
        <v>0.999</v>
      </c>
    </row>
    <row r="2863" spans="1:2" hidden="1" x14ac:dyDescent="0.35">
      <c r="A2863" s="426" t="s">
        <v>3393</v>
      </c>
      <c r="B2863" s="419">
        <v>0.99790000000000001</v>
      </c>
    </row>
    <row r="2864" spans="1:2" hidden="1" x14ac:dyDescent="0.35">
      <c r="A2864" s="426" t="s">
        <v>3394</v>
      </c>
      <c r="B2864" s="419">
        <v>0.99309999999999998</v>
      </c>
    </row>
    <row r="2865" spans="1:2" hidden="1" x14ac:dyDescent="0.35">
      <c r="A2865" s="426" t="s">
        <v>3395</v>
      </c>
      <c r="B2865" s="419">
        <v>0.99809999999999999</v>
      </c>
    </row>
    <row r="2866" spans="1:2" hidden="1" x14ac:dyDescent="0.35">
      <c r="A2866" s="426" t="s">
        <v>3396</v>
      </c>
      <c r="B2866" s="419">
        <v>1</v>
      </c>
    </row>
    <row r="2867" spans="1:2" hidden="1" x14ac:dyDescent="0.35">
      <c r="A2867" s="426" t="s">
        <v>3397</v>
      </c>
      <c r="B2867" s="419">
        <v>0.99960000000000004</v>
      </c>
    </row>
    <row r="2868" spans="1:2" hidden="1" x14ac:dyDescent="0.35">
      <c r="A2868" s="426" t="s">
        <v>3398</v>
      </c>
      <c r="B2868" s="419">
        <v>1</v>
      </c>
    </row>
    <row r="2869" spans="1:2" hidden="1" x14ac:dyDescent="0.35">
      <c r="A2869" s="426" t="s">
        <v>3399</v>
      </c>
      <c r="B2869" s="419">
        <v>1</v>
      </c>
    </row>
    <row r="2870" spans="1:2" hidden="1" x14ac:dyDescent="0.35">
      <c r="A2870" s="426" t="s">
        <v>3400</v>
      </c>
      <c r="B2870" s="419">
        <v>1</v>
      </c>
    </row>
    <row r="2871" spans="1:2" hidden="1" x14ac:dyDescent="0.35">
      <c r="A2871" s="426" t="s">
        <v>3401</v>
      </c>
      <c r="B2871" s="419">
        <v>0.997</v>
      </c>
    </row>
    <row r="2872" spans="1:2" hidden="1" x14ac:dyDescent="0.35">
      <c r="A2872" s="426" t="s">
        <v>3402</v>
      </c>
      <c r="B2872" s="419">
        <v>0.9889</v>
      </c>
    </row>
    <row r="2873" spans="1:2" hidden="1" x14ac:dyDescent="0.35">
      <c r="A2873" s="426" t="s">
        <v>3403</v>
      </c>
      <c r="B2873" s="419">
        <v>0.99929999999999997</v>
      </c>
    </row>
    <row r="2874" spans="1:2" hidden="1" x14ac:dyDescent="0.35">
      <c r="A2874" s="426" t="s">
        <v>3404</v>
      </c>
      <c r="B2874" s="419">
        <v>1</v>
      </c>
    </row>
    <row r="2875" spans="1:2" hidden="1" x14ac:dyDescent="0.35">
      <c r="A2875" s="426" t="s">
        <v>3405</v>
      </c>
      <c r="B2875" s="419">
        <v>0.99990000000000001</v>
      </c>
    </row>
    <row r="2876" spans="1:2" hidden="1" x14ac:dyDescent="0.35">
      <c r="A2876" s="426" t="s">
        <v>3406</v>
      </c>
      <c r="B2876" s="419">
        <v>0.999</v>
      </c>
    </row>
    <row r="2877" spans="1:2" hidden="1" x14ac:dyDescent="0.35">
      <c r="A2877" s="426" t="s">
        <v>3407</v>
      </c>
      <c r="B2877" s="419">
        <v>1</v>
      </c>
    </row>
    <row r="2878" spans="1:2" hidden="1" x14ac:dyDescent="0.35">
      <c r="A2878" s="426" t="s">
        <v>3408</v>
      </c>
      <c r="B2878" s="419">
        <v>0.99560000000000004</v>
      </c>
    </row>
    <row r="2879" spans="1:2" hidden="1" x14ac:dyDescent="0.35">
      <c r="A2879" s="426" t="s">
        <v>3409</v>
      </c>
      <c r="B2879" s="419">
        <v>0.99070000000000003</v>
      </c>
    </row>
    <row r="2880" spans="1:2" hidden="1" x14ac:dyDescent="0.35">
      <c r="A2880" s="426" t="s">
        <v>3410</v>
      </c>
      <c r="B2880" s="419">
        <v>0.99919999999999998</v>
      </c>
    </row>
    <row r="2881" spans="1:2" hidden="1" x14ac:dyDescent="0.35">
      <c r="A2881" s="426" t="s">
        <v>3411</v>
      </c>
      <c r="B2881" s="419">
        <v>1</v>
      </c>
    </row>
    <row r="2882" spans="1:2" hidden="1" x14ac:dyDescent="0.35">
      <c r="A2882" s="426" t="s">
        <v>3412</v>
      </c>
      <c r="B2882" s="419">
        <v>1</v>
      </c>
    </row>
    <row r="2883" spans="1:2" hidden="1" x14ac:dyDescent="0.35">
      <c r="A2883" s="426" t="s">
        <v>3413</v>
      </c>
      <c r="B2883" s="419">
        <v>1</v>
      </c>
    </row>
    <row r="2884" spans="1:2" hidden="1" x14ac:dyDescent="0.35">
      <c r="A2884" s="426" t="s">
        <v>3414</v>
      </c>
      <c r="B2884" s="419">
        <v>0.99590000000000001</v>
      </c>
    </row>
    <row r="2885" spans="1:2" hidden="1" x14ac:dyDescent="0.35">
      <c r="A2885" s="426" t="s">
        <v>3415</v>
      </c>
      <c r="B2885" s="419">
        <v>1</v>
      </c>
    </row>
    <row r="2886" spans="1:2" hidden="1" x14ac:dyDescent="0.35">
      <c r="A2886" s="426" t="s">
        <v>3416</v>
      </c>
      <c r="B2886" s="419">
        <v>0.99770000000000003</v>
      </c>
    </row>
    <row r="2887" spans="1:2" hidden="1" x14ac:dyDescent="0.35">
      <c r="A2887" s="426" t="s">
        <v>3417</v>
      </c>
      <c r="B2887" s="419">
        <v>0.99890000000000001</v>
      </c>
    </row>
    <row r="2888" spans="1:2" hidden="1" x14ac:dyDescent="0.35">
      <c r="A2888" s="426" t="s">
        <v>3418</v>
      </c>
      <c r="B2888" s="419">
        <v>0.99650000000000005</v>
      </c>
    </row>
    <row r="2889" spans="1:2" hidden="1" x14ac:dyDescent="0.35">
      <c r="A2889" s="426" t="s">
        <v>3419</v>
      </c>
      <c r="B2889" s="419">
        <v>0.995</v>
      </c>
    </row>
    <row r="2890" spans="1:2" hidden="1" x14ac:dyDescent="0.35">
      <c r="A2890" s="426" t="s">
        <v>3420</v>
      </c>
      <c r="B2890" s="419">
        <v>1</v>
      </c>
    </row>
    <row r="2891" spans="1:2" hidden="1" x14ac:dyDescent="0.35">
      <c r="A2891" s="426" t="s">
        <v>3421</v>
      </c>
      <c r="B2891" s="419">
        <v>0.99770000000000003</v>
      </c>
    </row>
    <row r="2892" spans="1:2" hidden="1" x14ac:dyDescent="0.35">
      <c r="A2892" s="426" t="s">
        <v>3422</v>
      </c>
      <c r="B2892" s="419">
        <v>0.99739999999999995</v>
      </c>
    </row>
    <row r="2893" spans="1:2" hidden="1" x14ac:dyDescent="0.35">
      <c r="A2893" s="426" t="s">
        <v>3423</v>
      </c>
      <c r="B2893" s="419">
        <v>0.98929999999999996</v>
      </c>
    </row>
    <row r="2894" spans="1:2" hidden="1" x14ac:dyDescent="0.35">
      <c r="A2894" s="426" t="s">
        <v>3424</v>
      </c>
      <c r="B2894" s="419">
        <v>0.99839999999999995</v>
      </c>
    </row>
    <row r="2895" spans="1:2" hidden="1" x14ac:dyDescent="0.35">
      <c r="A2895" s="426" t="s">
        <v>3425</v>
      </c>
      <c r="B2895" s="419">
        <v>0.99760000000000004</v>
      </c>
    </row>
    <row r="2896" spans="1:2" hidden="1" x14ac:dyDescent="0.35">
      <c r="A2896" s="426" t="s">
        <v>3426</v>
      </c>
      <c r="B2896" s="419">
        <v>0.98729999999999996</v>
      </c>
    </row>
    <row r="2897" spans="1:2" hidden="1" x14ac:dyDescent="0.35">
      <c r="A2897" s="426" t="s">
        <v>3427</v>
      </c>
      <c r="B2897" s="419">
        <v>0.99939999999999996</v>
      </c>
    </row>
    <row r="2898" spans="1:2" hidden="1" x14ac:dyDescent="0.35">
      <c r="A2898" s="426" t="s">
        <v>3428</v>
      </c>
      <c r="B2898" s="419">
        <v>1</v>
      </c>
    </row>
    <row r="2899" spans="1:2" hidden="1" x14ac:dyDescent="0.35">
      <c r="A2899" s="426" t="s">
        <v>3429</v>
      </c>
      <c r="B2899" s="419">
        <v>0.99650000000000005</v>
      </c>
    </row>
    <row r="2900" spans="1:2" hidden="1" x14ac:dyDescent="0.35">
      <c r="A2900" s="426" t="s">
        <v>3430</v>
      </c>
      <c r="B2900" s="419">
        <v>0.97119999999999995</v>
      </c>
    </row>
    <row r="2901" spans="1:2" hidden="1" x14ac:dyDescent="0.35">
      <c r="A2901" s="426" t="s">
        <v>3431</v>
      </c>
      <c r="B2901" s="419">
        <v>0.99809999999999999</v>
      </c>
    </row>
    <row r="2902" spans="1:2" hidden="1" x14ac:dyDescent="0.35">
      <c r="A2902" s="426" t="s">
        <v>3432</v>
      </c>
      <c r="B2902" s="419">
        <v>0.9859</v>
      </c>
    </row>
    <row r="2903" spans="1:2" hidden="1" x14ac:dyDescent="0.35">
      <c r="A2903" s="426" t="s">
        <v>3433</v>
      </c>
      <c r="B2903" s="419">
        <v>0.99960000000000004</v>
      </c>
    </row>
    <row r="2904" spans="1:2" hidden="1" x14ac:dyDescent="0.35">
      <c r="A2904" s="426" t="s">
        <v>3434</v>
      </c>
      <c r="B2904" s="419">
        <v>0.99460000000000004</v>
      </c>
    </row>
    <row r="2905" spans="1:2" hidden="1" x14ac:dyDescent="0.35">
      <c r="A2905" s="426" t="s">
        <v>3435</v>
      </c>
      <c r="B2905" s="419">
        <v>0.99080000000000001</v>
      </c>
    </row>
    <row r="2906" spans="1:2" hidden="1" x14ac:dyDescent="0.35">
      <c r="A2906" s="426" t="s">
        <v>3436</v>
      </c>
      <c r="B2906" s="419">
        <v>0.99429999999999996</v>
      </c>
    </row>
    <row r="2907" spans="1:2" hidden="1" x14ac:dyDescent="0.35">
      <c r="A2907" s="426" t="s">
        <v>3437</v>
      </c>
      <c r="B2907" s="419">
        <v>0.99760000000000004</v>
      </c>
    </row>
    <row r="2908" spans="1:2" hidden="1" x14ac:dyDescent="0.35">
      <c r="A2908" s="426" t="s">
        <v>3438</v>
      </c>
      <c r="B2908" s="419">
        <v>1</v>
      </c>
    </row>
    <row r="2909" spans="1:2" hidden="1" x14ac:dyDescent="0.35">
      <c r="A2909" s="426" t="s">
        <v>3439</v>
      </c>
      <c r="B2909" s="419">
        <v>1</v>
      </c>
    </row>
    <row r="2910" spans="1:2" hidden="1" x14ac:dyDescent="0.35">
      <c r="A2910" s="426" t="s">
        <v>3440</v>
      </c>
      <c r="B2910" s="419">
        <v>0.99909999999999999</v>
      </c>
    </row>
    <row r="2911" spans="1:2" hidden="1" x14ac:dyDescent="0.35">
      <c r="A2911" s="426" t="s">
        <v>3441</v>
      </c>
      <c r="B2911" s="419">
        <v>0.99309999999999998</v>
      </c>
    </row>
    <row r="2912" spans="1:2" hidden="1" x14ac:dyDescent="0.35">
      <c r="A2912" s="426" t="s">
        <v>3442</v>
      </c>
      <c r="B2912" s="419">
        <v>0.99829999999999997</v>
      </c>
    </row>
    <row r="2913" spans="1:2" hidden="1" x14ac:dyDescent="0.35">
      <c r="A2913" s="426" t="s">
        <v>3443</v>
      </c>
      <c r="B2913" s="419">
        <v>1</v>
      </c>
    </row>
    <row r="2914" spans="1:2" hidden="1" x14ac:dyDescent="0.35">
      <c r="A2914" s="426" t="s">
        <v>3444</v>
      </c>
      <c r="B2914" s="419">
        <v>1</v>
      </c>
    </row>
    <row r="2915" spans="1:2" hidden="1" x14ac:dyDescent="0.35">
      <c r="A2915" s="426" t="s">
        <v>3445</v>
      </c>
      <c r="B2915" s="419">
        <v>0.99970000000000003</v>
      </c>
    </row>
    <row r="2916" spans="1:2" hidden="1" x14ac:dyDescent="0.35">
      <c r="A2916" s="426" t="s">
        <v>3446</v>
      </c>
      <c r="B2916" s="419">
        <v>1</v>
      </c>
    </row>
    <row r="2917" spans="1:2" hidden="1" x14ac:dyDescent="0.35">
      <c r="A2917" s="426" t="s">
        <v>3447</v>
      </c>
      <c r="B2917" s="419">
        <v>0.99950000000000006</v>
      </c>
    </row>
    <row r="2918" spans="1:2" hidden="1" x14ac:dyDescent="0.35">
      <c r="A2918" s="426" t="s">
        <v>3448</v>
      </c>
      <c r="B2918" s="419">
        <v>0.99180000000000001</v>
      </c>
    </row>
    <row r="2919" spans="1:2" hidden="1" x14ac:dyDescent="0.35">
      <c r="A2919" s="426" t="s">
        <v>3449</v>
      </c>
      <c r="B2919" s="419">
        <v>1</v>
      </c>
    </row>
    <row r="2920" spans="1:2" hidden="1" x14ac:dyDescent="0.35">
      <c r="A2920" s="426" t="s">
        <v>3450</v>
      </c>
      <c r="B2920" s="419">
        <v>0.99690000000000001</v>
      </c>
    </row>
    <row r="2921" spans="1:2" hidden="1" x14ac:dyDescent="0.35">
      <c r="A2921" s="426" t="s">
        <v>3451</v>
      </c>
      <c r="B2921" s="419">
        <v>0.99760000000000004</v>
      </c>
    </row>
    <row r="2922" spans="1:2" hidden="1" x14ac:dyDescent="0.35">
      <c r="A2922" s="426" t="s">
        <v>3452</v>
      </c>
      <c r="B2922" s="419">
        <v>0.97</v>
      </c>
    </row>
    <row r="2923" spans="1:2" hidden="1" x14ac:dyDescent="0.35">
      <c r="A2923" s="426" t="s">
        <v>3453</v>
      </c>
      <c r="B2923" s="419">
        <v>0.99980000000000002</v>
      </c>
    </row>
    <row r="2924" spans="1:2" hidden="1" x14ac:dyDescent="0.35">
      <c r="A2924" s="426" t="s">
        <v>3454</v>
      </c>
      <c r="B2924" s="419">
        <v>0.99350000000000005</v>
      </c>
    </row>
    <row r="2925" spans="1:2" hidden="1" x14ac:dyDescent="0.35">
      <c r="A2925" s="426" t="s">
        <v>3455</v>
      </c>
      <c r="B2925" s="419">
        <v>0.98970000000000002</v>
      </c>
    </row>
    <row r="2926" spans="1:2" hidden="1" x14ac:dyDescent="0.35">
      <c r="A2926" s="426" t="s">
        <v>3456</v>
      </c>
      <c r="B2926" s="419">
        <v>0.99839999999999995</v>
      </c>
    </row>
    <row r="2927" spans="1:2" hidden="1" x14ac:dyDescent="0.35">
      <c r="A2927" s="426" t="s">
        <v>3457</v>
      </c>
      <c r="B2927" s="419">
        <v>0.99780000000000002</v>
      </c>
    </row>
    <row r="2928" spans="1:2" hidden="1" x14ac:dyDescent="0.35">
      <c r="A2928" s="426" t="s">
        <v>3458</v>
      </c>
      <c r="B2928" s="419">
        <v>1</v>
      </c>
    </row>
    <row r="2929" spans="1:2" hidden="1" x14ac:dyDescent="0.35">
      <c r="A2929" s="426" t="s">
        <v>3459</v>
      </c>
      <c r="B2929" s="419">
        <v>0.99870000000000003</v>
      </c>
    </row>
    <row r="2930" spans="1:2" hidden="1" x14ac:dyDescent="0.35">
      <c r="A2930" s="426" t="s">
        <v>3460</v>
      </c>
      <c r="B2930" s="419">
        <v>1</v>
      </c>
    </row>
    <row r="2931" spans="1:2" hidden="1" x14ac:dyDescent="0.35">
      <c r="A2931" s="426" t="s">
        <v>3461</v>
      </c>
      <c r="B2931" s="419">
        <v>0.99250000000000005</v>
      </c>
    </row>
    <row r="2932" spans="1:2" hidden="1" x14ac:dyDescent="0.35">
      <c r="A2932" s="426" t="s">
        <v>3462</v>
      </c>
      <c r="B2932" s="419">
        <v>0.99870000000000003</v>
      </c>
    </row>
    <row r="2933" spans="1:2" hidden="1" x14ac:dyDescent="0.35">
      <c r="A2933" s="426" t="s">
        <v>3463</v>
      </c>
      <c r="B2933" s="419">
        <v>0.99970000000000003</v>
      </c>
    </row>
    <row r="2934" spans="1:2" hidden="1" x14ac:dyDescent="0.35">
      <c r="A2934" s="426" t="s">
        <v>3464</v>
      </c>
      <c r="B2934" s="419">
        <v>0.99760000000000004</v>
      </c>
    </row>
    <row r="2935" spans="1:2" hidden="1" x14ac:dyDescent="0.35">
      <c r="A2935" s="426" t="s">
        <v>3465</v>
      </c>
      <c r="B2935" s="419">
        <v>0.99970000000000003</v>
      </c>
    </row>
    <row r="2936" spans="1:2" hidden="1" x14ac:dyDescent="0.35">
      <c r="A2936" s="426" t="s">
        <v>3466</v>
      </c>
      <c r="B2936" s="419">
        <v>0.99650000000000005</v>
      </c>
    </row>
    <row r="2937" spans="1:2" hidden="1" x14ac:dyDescent="0.35">
      <c r="A2937" s="426" t="s">
        <v>3467</v>
      </c>
      <c r="B2937" s="419">
        <v>0.99990000000000001</v>
      </c>
    </row>
    <row r="2938" spans="1:2" hidden="1" x14ac:dyDescent="0.35">
      <c r="A2938" s="426" t="s">
        <v>3468</v>
      </c>
      <c r="B2938" s="419">
        <v>1</v>
      </c>
    </row>
    <row r="2939" spans="1:2" hidden="1" x14ac:dyDescent="0.35">
      <c r="A2939" s="426" t="s">
        <v>3469</v>
      </c>
      <c r="B2939" s="419">
        <v>0.99970000000000003</v>
      </c>
    </row>
    <row r="2940" spans="1:2" hidden="1" x14ac:dyDescent="0.35">
      <c r="A2940" s="426" t="s">
        <v>3470</v>
      </c>
      <c r="B2940" s="419">
        <v>0.99550000000000005</v>
      </c>
    </row>
    <row r="2941" spans="1:2" hidden="1" x14ac:dyDescent="0.35">
      <c r="A2941" s="426" t="s">
        <v>3471</v>
      </c>
      <c r="B2941" s="419">
        <v>0.99929999999999997</v>
      </c>
    </row>
    <row r="2942" spans="1:2" hidden="1" x14ac:dyDescent="0.35">
      <c r="A2942" s="426" t="s">
        <v>3472</v>
      </c>
      <c r="B2942" s="419">
        <v>1</v>
      </c>
    </row>
    <row r="2943" spans="1:2" hidden="1" x14ac:dyDescent="0.35">
      <c r="A2943" s="426" t="s">
        <v>3473</v>
      </c>
      <c r="B2943" s="419">
        <v>1</v>
      </c>
    </row>
    <row r="2944" spans="1:2" hidden="1" x14ac:dyDescent="0.35">
      <c r="A2944" s="426" t="s">
        <v>3474</v>
      </c>
      <c r="B2944" s="419">
        <v>1</v>
      </c>
    </row>
    <row r="2945" spans="1:2" hidden="1" x14ac:dyDescent="0.35">
      <c r="A2945" s="426" t="s">
        <v>3475</v>
      </c>
      <c r="B2945" s="419">
        <v>0.99929999999999997</v>
      </c>
    </row>
    <row r="2946" spans="1:2" hidden="1" x14ac:dyDescent="0.35">
      <c r="A2946" s="426" t="s">
        <v>3476</v>
      </c>
      <c r="B2946" s="419">
        <v>0.99770000000000003</v>
      </c>
    </row>
    <row r="2947" spans="1:2" hidden="1" x14ac:dyDescent="0.35">
      <c r="A2947" s="426" t="s">
        <v>3477</v>
      </c>
      <c r="B2947" s="419">
        <v>0.99990000000000001</v>
      </c>
    </row>
    <row r="2948" spans="1:2" hidden="1" x14ac:dyDescent="0.35">
      <c r="A2948" s="426" t="s">
        <v>3478</v>
      </c>
      <c r="B2948" s="419">
        <v>0.99619999999999997</v>
      </c>
    </row>
    <row r="2949" spans="1:2" hidden="1" x14ac:dyDescent="0.35">
      <c r="A2949" s="426" t="s">
        <v>3479</v>
      </c>
      <c r="B2949" s="419">
        <v>0.99839999999999995</v>
      </c>
    </row>
    <row r="2950" spans="1:2" hidden="1" x14ac:dyDescent="0.35">
      <c r="A2950" s="426" t="s">
        <v>3480</v>
      </c>
      <c r="B2950" s="419">
        <v>0.99839999999999995</v>
      </c>
    </row>
    <row r="2951" spans="1:2" hidden="1" x14ac:dyDescent="0.35">
      <c r="A2951" s="426" t="s">
        <v>3481</v>
      </c>
      <c r="B2951" s="419">
        <v>0.99980000000000002</v>
      </c>
    </row>
    <row r="2952" spans="1:2" hidden="1" x14ac:dyDescent="0.35">
      <c r="A2952" s="426" t="s">
        <v>3482</v>
      </c>
      <c r="B2952" s="419">
        <v>0.99950000000000006</v>
      </c>
    </row>
    <row r="2953" spans="1:2" hidden="1" x14ac:dyDescent="0.35">
      <c r="A2953" s="426" t="s">
        <v>3483</v>
      </c>
      <c r="B2953" s="419">
        <v>0.99750000000000005</v>
      </c>
    </row>
    <row r="2954" spans="1:2" hidden="1" x14ac:dyDescent="0.35">
      <c r="A2954" s="426" t="s">
        <v>3484</v>
      </c>
      <c r="B2954" s="419">
        <v>0.99470000000000003</v>
      </c>
    </row>
    <row r="2955" spans="1:2" hidden="1" x14ac:dyDescent="0.35">
      <c r="A2955" s="426" t="s">
        <v>3485</v>
      </c>
      <c r="B2955" s="419">
        <v>1</v>
      </c>
    </row>
    <row r="2956" spans="1:2" hidden="1" x14ac:dyDescent="0.35">
      <c r="A2956" s="426" t="s">
        <v>3486</v>
      </c>
      <c r="B2956" s="419">
        <v>0.99299999999999999</v>
      </c>
    </row>
    <row r="2957" spans="1:2" hidden="1" x14ac:dyDescent="0.35">
      <c r="A2957" s="426" t="s">
        <v>3487</v>
      </c>
      <c r="B2957" s="419">
        <v>1</v>
      </c>
    </row>
    <row r="2958" spans="1:2" hidden="1" x14ac:dyDescent="0.35">
      <c r="A2958" s="426" t="s">
        <v>3488</v>
      </c>
      <c r="B2958" s="419">
        <v>0.99009999999999998</v>
      </c>
    </row>
    <row r="2959" spans="1:2" hidden="1" x14ac:dyDescent="0.35">
      <c r="A2959" s="426" t="s">
        <v>3489</v>
      </c>
      <c r="B2959" s="419">
        <v>1</v>
      </c>
    </row>
    <row r="2960" spans="1:2" hidden="1" x14ac:dyDescent="0.35">
      <c r="A2960" s="426" t="s">
        <v>3490</v>
      </c>
      <c r="B2960" s="419">
        <v>0.99839999999999995</v>
      </c>
    </row>
    <row r="2961" spans="1:2" hidden="1" x14ac:dyDescent="0.35">
      <c r="A2961" s="426" t="s">
        <v>3491</v>
      </c>
      <c r="B2961" s="419">
        <v>1</v>
      </c>
    </row>
    <row r="2962" spans="1:2" hidden="1" x14ac:dyDescent="0.35">
      <c r="A2962" s="426" t="s">
        <v>3492</v>
      </c>
      <c r="B2962" s="419">
        <v>0.99909999999999999</v>
      </c>
    </row>
    <row r="2963" spans="1:2" hidden="1" x14ac:dyDescent="0.35">
      <c r="A2963" s="426" t="s">
        <v>3493</v>
      </c>
      <c r="B2963" s="419">
        <v>0.99870000000000003</v>
      </c>
    </row>
    <row r="2964" spans="1:2" hidden="1" x14ac:dyDescent="0.35">
      <c r="A2964" s="426" t="s">
        <v>3494</v>
      </c>
      <c r="B2964" s="419">
        <v>0.99629999999999996</v>
      </c>
    </row>
    <row r="2965" spans="1:2" hidden="1" x14ac:dyDescent="0.35">
      <c r="A2965" s="426" t="s">
        <v>3495</v>
      </c>
      <c r="B2965" s="419">
        <v>1</v>
      </c>
    </row>
    <row r="2966" spans="1:2" hidden="1" x14ac:dyDescent="0.35">
      <c r="A2966" s="426" t="s">
        <v>3496</v>
      </c>
      <c r="B2966" s="419">
        <v>1</v>
      </c>
    </row>
    <row r="2967" spans="1:2" hidden="1" x14ac:dyDescent="0.35">
      <c r="A2967" s="426" t="s">
        <v>3497</v>
      </c>
      <c r="B2967" s="419">
        <v>1</v>
      </c>
    </row>
    <row r="2968" spans="1:2" hidden="1" x14ac:dyDescent="0.35">
      <c r="A2968" s="426" t="s">
        <v>3498</v>
      </c>
      <c r="B2968" s="419">
        <v>0.99639999999999995</v>
      </c>
    </row>
    <row r="2969" spans="1:2" hidden="1" x14ac:dyDescent="0.35">
      <c r="A2969" s="426" t="s">
        <v>3499</v>
      </c>
      <c r="B2969" s="419">
        <v>0.97</v>
      </c>
    </row>
    <row r="2970" spans="1:2" hidden="1" x14ac:dyDescent="0.35">
      <c r="A2970" s="426" t="s">
        <v>3500</v>
      </c>
      <c r="B2970" s="419">
        <v>0.99909999999999999</v>
      </c>
    </row>
    <row r="2971" spans="1:2" hidden="1" x14ac:dyDescent="0.35">
      <c r="A2971" s="426" t="s">
        <v>3501</v>
      </c>
      <c r="B2971" s="419">
        <v>0.99960000000000004</v>
      </c>
    </row>
    <row r="2972" spans="1:2" hidden="1" x14ac:dyDescent="0.35">
      <c r="A2972" s="426" t="s">
        <v>3502</v>
      </c>
      <c r="B2972" s="419">
        <v>0.99839999999999995</v>
      </c>
    </row>
    <row r="2973" spans="1:2" hidden="1" x14ac:dyDescent="0.35">
      <c r="A2973" s="426" t="s">
        <v>3503</v>
      </c>
      <c r="B2973" s="419">
        <v>0.99450000000000005</v>
      </c>
    </row>
    <row r="2974" spans="1:2" hidden="1" x14ac:dyDescent="0.35">
      <c r="A2974" s="426" t="s">
        <v>3504</v>
      </c>
      <c r="B2974" s="419">
        <v>0.99850000000000005</v>
      </c>
    </row>
    <row r="2975" spans="1:2" hidden="1" x14ac:dyDescent="0.35">
      <c r="A2975" s="426" t="s">
        <v>3505</v>
      </c>
      <c r="B2975" s="419">
        <v>1</v>
      </c>
    </row>
    <row r="2976" spans="1:2" hidden="1" x14ac:dyDescent="0.35">
      <c r="A2976" s="426" t="s">
        <v>3506</v>
      </c>
      <c r="B2976" s="419">
        <v>0.99980000000000002</v>
      </c>
    </row>
    <row r="2977" spans="1:2" hidden="1" x14ac:dyDescent="0.35">
      <c r="A2977" s="426" t="s">
        <v>3507</v>
      </c>
      <c r="B2977" s="419">
        <v>1</v>
      </c>
    </row>
    <row r="2978" spans="1:2" hidden="1" x14ac:dyDescent="0.35">
      <c r="A2978" s="426" t="s">
        <v>3508</v>
      </c>
      <c r="B2978" s="419">
        <v>0.99339999999999995</v>
      </c>
    </row>
    <row r="2979" spans="1:2" hidden="1" x14ac:dyDescent="0.35">
      <c r="A2979" s="426" t="s">
        <v>3509</v>
      </c>
      <c r="B2979" s="419">
        <v>1</v>
      </c>
    </row>
    <row r="2980" spans="1:2" hidden="1" x14ac:dyDescent="0.35">
      <c r="A2980" s="426" t="s">
        <v>3510</v>
      </c>
      <c r="B2980" s="419">
        <v>1</v>
      </c>
    </row>
    <row r="2981" spans="1:2" hidden="1" x14ac:dyDescent="0.35">
      <c r="A2981" s="426" t="s">
        <v>3511</v>
      </c>
      <c r="B2981" s="419">
        <v>0.99350000000000005</v>
      </c>
    </row>
    <row r="2982" spans="1:2" hidden="1" x14ac:dyDescent="0.35">
      <c r="A2982" s="426" t="s">
        <v>3512</v>
      </c>
      <c r="B2982" s="419">
        <v>0.98640000000000005</v>
      </c>
    </row>
    <row r="2983" spans="1:2" hidden="1" x14ac:dyDescent="0.35">
      <c r="A2983" s="426" t="s">
        <v>3513</v>
      </c>
      <c r="B2983" s="419">
        <v>0.99980000000000002</v>
      </c>
    </row>
    <row r="2984" spans="1:2" hidden="1" x14ac:dyDescent="0.35">
      <c r="A2984" s="426" t="s">
        <v>3514</v>
      </c>
      <c r="B2984" s="419">
        <v>1</v>
      </c>
    </row>
    <row r="2985" spans="1:2" hidden="1" x14ac:dyDescent="0.35">
      <c r="A2985" s="426" t="s">
        <v>3515</v>
      </c>
      <c r="B2985" s="419">
        <v>1</v>
      </c>
    </row>
    <row r="2986" spans="1:2" hidden="1" x14ac:dyDescent="0.35">
      <c r="A2986" s="426" t="s">
        <v>3516</v>
      </c>
      <c r="B2986" s="419">
        <v>0.99850000000000005</v>
      </c>
    </row>
    <row r="2987" spans="1:2" hidden="1" x14ac:dyDescent="0.35">
      <c r="A2987" s="426" t="s">
        <v>3517</v>
      </c>
      <c r="B2987" s="419">
        <v>0.97</v>
      </c>
    </row>
    <row r="2988" spans="1:2" hidden="1" x14ac:dyDescent="0.35">
      <c r="A2988" s="426" t="s">
        <v>3518</v>
      </c>
      <c r="B2988" s="419">
        <v>1</v>
      </c>
    </row>
    <row r="2989" spans="1:2" hidden="1" x14ac:dyDescent="0.35">
      <c r="A2989" s="426" t="s">
        <v>3519</v>
      </c>
      <c r="B2989" s="419">
        <v>1</v>
      </c>
    </row>
    <row r="2990" spans="1:2" hidden="1" x14ac:dyDescent="0.35">
      <c r="A2990" s="426" t="s">
        <v>3520</v>
      </c>
      <c r="B2990" s="419">
        <v>0.99739999999999995</v>
      </c>
    </row>
    <row r="2991" spans="1:2" hidden="1" x14ac:dyDescent="0.35">
      <c r="A2991" s="426" t="s">
        <v>3521</v>
      </c>
      <c r="B2991" s="419">
        <v>0.99809999999999999</v>
      </c>
    </row>
    <row r="2992" spans="1:2" hidden="1" x14ac:dyDescent="0.35">
      <c r="A2992" s="426" t="s">
        <v>3522</v>
      </c>
      <c r="B2992" s="419">
        <v>0.99509999999999998</v>
      </c>
    </row>
    <row r="2993" spans="1:2" hidden="1" x14ac:dyDescent="0.35">
      <c r="A2993" s="426" t="s">
        <v>3523</v>
      </c>
      <c r="B2993" s="419">
        <v>0.99780000000000002</v>
      </c>
    </row>
    <row r="2994" spans="1:2" hidden="1" x14ac:dyDescent="0.35">
      <c r="A2994" s="426" t="s">
        <v>3524</v>
      </c>
      <c r="B2994" s="419">
        <v>0.99819999999999998</v>
      </c>
    </row>
    <row r="2995" spans="1:2" hidden="1" x14ac:dyDescent="0.35">
      <c r="A2995" s="426" t="s">
        <v>3525</v>
      </c>
      <c r="B2995" s="419">
        <v>0.99860000000000004</v>
      </c>
    </row>
    <row r="2996" spans="1:2" hidden="1" x14ac:dyDescent="0.35">
      <c r="A2996" s="426" t="s">
        <v>3526</v>
      </c>
      <c r="B2996" s="419">
        <v>0.99709999999999999</v>
      </c>
    </row>
    <row r="2997" spans="1:2" hidden="1" x14ac:dyDescent="0.35">
      <c r="A2997" s="426" t="s">
        <v>3527</v>
      </c>
      <c r="B2997" s="419">
        <v>0.99670000000000003</v>
      </c>
    </row>
    <row r="2998" spans="1:2" hidden="1" x14ac:dyDescent="0.35">
      <c r="A2998" s="426" t="s">
        <v>3528</v>
      </c>
      <c r="B2998" s="419">
        <v>1</v>
      </c>
    </row>
    <row r="2999" spans="1:2" hidden="1" x14ac:dyDescent="0.35">
      <c r="A2999" s="426" t="s">
        <v>3529</v>
      </c>
      <c r="B2999" s="419">
        <v>0.99419999999999997</v>
      </c>
    </row>
    <row r="3000" spans="1:2" hidden="1" x14ac:dyDescent="0.35">
      <c r="A3000" s="426" t="s">
        <v>3530</v>
      </c>
      <c r="B3000" s="419">
        <v>0.99909999999999999</v>
      </c>
    </row>
    <row r="3001" spans="1:2" hidden="1" x14ac:dyDescent="0.35">
      <c r="A3001" s="426" t="s">
        <v>3531</v>
      </c>
      <c r="B3001" s="419">
        <v>0.99980000000000002</v>
      </c>
    </row>
    <row r="3002" spans="1:2" hidden="1" x14ac:dyDescent="0.35">
      <c r="A3002" s="426" t="s">
        <v>3532</v>
      </c>
      <c r="B3002" s="419">
        <v>0.99839999999999995</v>
      </c>
    </row>
    <row r="3003" spans="1:2" hidden="1" x14ac:dyDescent="0.35">
      <c r="A3003" s="426" t="s">
        <v>3533</v>
      </c>
      <c r="B3003" s="419">
        <v>1</v>
      </c>
    </row>
    <row r="3004" spans="1:2" hidden="1" x14ac:dyDescent="0.35">
      <c r="A3004" s="426" t="s">
        <v>3534</v>
      </c>
      <c r="B3004" s="419">
        <v>0.996</v>
      </c>
    </row>
    <row r="3005" spans="1:2" hidden="1" x14ac:dyDescent="0.35">
      <c r="A3005" s="426" t="s">
        <v>3535</v>
      </c>
      <c r="B3005" s="419">
        <v>1</v>
      </c>
    </row>
    <row r="3006" spans="1:2" hidden="1" x14ac:dyDescent="0.35">
      <c r="A3006" s="426" t="s">
        <v>3536</v>
      </c>
      <c r="B3006" s="419">
        <v>1</v>
      </c>
    </row>
    <row r="3007" spans="1:2" hidden="1" x14ac:dyDescent="0.35">
      <c r="A3007" s="426" t="s">
        <v>3537</v>
      </c>
      <c r="B3007" s="419">
        <v>0.97450000000000003</v>
      </c>
    </row>
    <row r="3008" spans="1:2" hidden="1" x14ac:dyDescent="0.35">
      <c r="A3008" s="426" t="s">
        <v>3538</v>
      </c>
      <c r="B3008" s="419">
        <v>0.99680000000000002</v>
      </c>
    </row>
    <row r="3009" spans="1:2" hidden="1" x14ac:dyDescent="0.35">
      <c r="A3009" s="426" t="s">
        <v>3539</v>
      </c>
      <c r="B3009" s="419">
        <v>0.99770000000000003</v>
      </c>
    </row>
    <row r="3010" spans="1:2" hidden="1" x14ac:dyDescent="0.35">
      <c r="A3010" s="426" t="s">
        <v>3540</v>
      </c>
      <c r="B3010" s="419">
        <v>0.99760000000000004</v>
      </c>
    </row>
    <row r="3011" spans="1:2" hidden="1" x14ac:dyDescent="0.35">
      <c r="A3011" s="426" t="s">
        <v>3541</v>
      </c>
      <c r="B3011" s="419">
        <v>0.97</v>
      </c>
    </row>
    <row r="3012" spans="1:2" hidden="1" x14ac:dyDescent="0.35">
      <c r="A3012" s="426" t="s">
        <v>3542</v>
      </c>
      <c r="B3012" s="419">
        <v>0.99670000000000003</v>
      </c>
    </row>
    <row r="3013" spans="1:2" hidden="1" x14ac:dyDescent="0.35">
      <c r="A3013" s="426" t="s">
        <v>3543</v>
      </c>
      <c r="B3013" s="419">
        <v>0.97419999999999995</v>
      </c>
    </row>
    <row r="3014" spans="1:2" hidden="1" x14ac:dyDescent="0.35">
      <c r="A3014" s="426" t="s">
        <v>3544</v>
      </c>
      <c r="B3014" s="419">
        <v>0.99980000000000002</v>
      </c>
    </row>
    <row r="3015" spans="1:2" hidden="1" x14ac:dyDescent="0.35">
      <c r="A3015" s="426" t="s">
        <v>3545</v>
      </c>
      <c r="B3015" s="419">
        <v>1</v>
      </c>
    </row>
    <row r="3016" spans="1:2" hidden="1" x14ac:dyDescent="0.35">
      <c r="A3016" s="426" t="s">
        <v>3546</v>
      </c>
      <c r="B3016" s="419">
        <v>0.99609999999999999</v>
      </c>
    </row>
    <row r="3017" spans="1:2" hidden="1" x14ac:dyDescent="0.35">
      <c r="A3017" s="426" t="s">
        <v>3547</v>
      </c>
      <c r="B3017" s="419">
        <v>0.999</v>
      </c>
    </row>
    <row r="3018" spans="1:2" hidden="1" x14ac:dyDescent="0.35">
      <c r="A3018" s="426" t="s">
        <v>3548</v>
      </c>
      <c r="B3018" s="419">
        <v>0.99970000000000003</v>
      </c>
    </row>
    <row r="3019" spans="1:2" hidden="1" x14ac:dyDescent="0.35">
      <c r="A3019" s="426" t="s">
        <v>3549</v>
      </c>
      <c r="B3019" s="419">
        <v>0.99160000000000004</v>
      </c>
    </row>
    <row r="3020" spans="1:2" hidden="1" x14ac:dyDescent="0.35">
      <c r="A3020" s="426" t="s">
        <v>3550</v>
      </c>
      <c r="B3020" s="419">
        <v>0.98870000000000002</v>
      </c>
    </row>
    <row r="3021" spans="1:2" hidden="1" x14ac:dyDescent="0.35">
      <c r="A3021" s="426" t="s">
        <v>3551</v>
      </c>
      <c r="B3021" s="419">
        <v>0.98619999999999997</v>
      </c>
    </row>
    <row r="3022" spans="1:2" hidden="1" x14ac:dyDescent="0.35">
      <c r="A3022" s="426" t="s">
        <v>3552</v>
      </c>
      <c r="B3022" s="419">
        <v>1</v>
      </c>
    </row>
    <row r="3023" spans="1:2" hidden="1" x14ac:dyDescent="0.35">
      <c r="A3023" s="426" t="s">
        <v>3553</v>
      </c>
      <c r="B3023" s="419">
        <v>0.99609999999999999</v>
      </c>
    </row>
    <row r="3024" spans="1:2" hidden="1" x14ac:dyDescent="0.35">
      <c r="A3024" s="426" t="s">
        <v>3554</v>
      </c>
      <c r="B3024" s="419">
        <v>0.99790000000000001</v>
      </c>
    </row>
    <row r="3025" spans="1:2" hidden="1" x14ac:dyDescent="0.35">
      <c r="A3025" s="426" t="s">
        <v>3555</v>
      </c>
      <c r="B3025" s="419">
        <v>1</v>
      </c>
    </row>
    <row r="3026" spans="1:2" hidden="1" x14ac:dyDescent="0.35">
      <c r="A3026" s="426" t="s">
        <v>3556</v>
      </c>
      <c r="B3026" s="419">
        <v>1</v>
      </c>
    </row>
    <row r="3027" spans="1:2" hidden="1" x14ac:dyDescent="0.35">
      <c r="A3027" s="426" t="s">
        <v>3557</v>
      </c>
      <c r="B3027" s="419">
        <v>1</v>
      </c>
    </row>
    <row r="3028" spans="1:2" hidden="1" x14ac:dyDescent="0.35">
      <c r="A3028" s="426" t="s">
        <v>3558</v>
      </c>
      <c r="B3028" s="419">
        <v>1</v>
      </c>
    </row>
    <row r="3029" spans="1:2" hidden="1" x14ac:dyDescent="0.35">
      <c r="A3029" s="426" t="s">
        <v>3559</v>
      </c>
      <c r="B3029" s="419">
        <v>1</v>
      </c>
    </row>
    <row r="3030" spans="1:2" hidden="1" x14ac:dyDescent="0.35">
      <c r="A3030" s="426" t="s">
        <v>3560</v>
      </c>
      <c r="B3030" s="419">
        <v>0.999</v>
      </c>
    </row>
    <row r="3031" spans="1:2" hidden="1" x14ac:dyDescent="0.35">
      <c r="A3031" s="426" t="s">
        <v>3561</v>
      </c>
      <c r="B3031" s="419">
        <v>0.99229999999999996</v>
      </c>
    </row>
    <row r="3032" spans="1:2" hidden="1" x14ac:dyDescent="0.35">
      <c r="A3032" s="426" t="s">
        <v>3562</v>
      </c>
      <c r="B3032" s="419">
        <v>1</v>
      </c>
    </row>
    <row r="3033" spans="1:2" hidden="1" x14ac:dyDescent="0.35">
      <c r="A3033" s="426" t="s">
        <v>3563</v>
      </c>
      <c r="B3033" s="419">
        <v>0.99909999999999999</v>
      </c>
    </row>
    <row r="3034" spans="1:2" hidden="1" x14ac:dyDescent="0.35">
      <c r="A3034" s="426" t="s">
        <v>3564</v>
      </c>
      <c r="B3034" s="419">
        <v>1</v>
      </c>
    </row>
    <row r="3035" spans="1:2" hidden="1" x14ac:dyDescent="0.35">
      <c r="A3035" s="426" t="s">
        <v>3565</v>
      </c>
      <c r="B3035" s="419">
        <v>1</v>
      </c>
    </row>
    <row r="3036" spans="1:2" hidden="1" x14ac:dyDescent="0.35">
      <c r="A3036" s="426" t="s">
        <v>3566</v>
      </c>
      <c r="B3036" s="419">
        <v>1</v>
      </c>
    </row>
    <row r="3037" spans="1:2" hidden="1" x14ac:dyDescent="0.35">
      <c r="A3037" s="426" t="s">
        <v>3567</v>
      </c>
      <c r="B3037" s="419">
        <v>1</v>
      </c>
    </row>
    <row r="3038" spans="1:2" hidden="1" x14ac:dyDescent="0.35">
      <c r="A3038" s="426" t="s">
        <v>3568</v>
      </c>
      <c r="B3038" s="419">
        <v>1</v>
      </c>
    </row>
    <row r="3039" spans="1:2" hidden="1" x14ac:dyDescent="0.35">
      <c r="A3039" s="426" t="s">
        <v>3569</v>
      </c>
      <c r="B3039" s="419">
        <v>1</v>
      </c>
    </row>
    <row r="3040" spans="1:2" hidden="1" x14ac:dyDescent="0.35">
      <c r="A3040" s="426" t="s">
        <v>3570</v>
      </c>
      <c r="B3040" s="419">
        <v>1</v>
      </c>
    </row>
    <row r="3041" spans="1:2" hidden="1" x14ac:dyDescent="0.35">
      <c r="A3041" s="426" t="s">
        <v>3571</v>
      </c>
      <c r="B3041" s="419">
        <v>1</v>
      </c>
    </row>
    <row r="3042" spans="1:2" hidden="1" x14ac:dyDescent="0.35">
      <c r="A3042" s="426" t="s">
        <v>3572</v>
      </c>
      <c r="B3042" s="419">
        <v>1</v>
      </c>
    </row>
    <row r="3043" spans="1:2" hidden="1" x14ac:dyDescent="0.35">
      <c r="A3043" s="426" t="s">
        <v>3573</v>
      </c>
      <c r="B3043" s="419">
        <v>1</v>
      </c>
    </row>
    <row r="3044" spans="1:2" hidden="1" x14ac:dyDescent="0.35">
      <c r="A3044" s="426" t="s">
        <v>3574</v>
      </c>
      <c r="B3044" s="419">
        <v>1</v>
      </c>
    </row>
    <row r="3045" spans="1:2" hidden="1" x14ac:dyDescent="0.35">
      <c r="A3045" s="426" t="s">
        <v>3575</v>
      </c>
      <c r="B3045" s="419">
        <v>1</v>
      </c>
    </row>
    <row r="3046" spans="1:2" hidden="1" x14ac:dyDescent="0.35">
      <c r="A3046" s="426" t="s">
        <v>3576</v>
      </c>
      <c r="B3046" s="419">
        <v>1</v>
      </c>
    </row>
    <row r="3047" spans="1:2" hidden="1" x14ac:dyDescent="0.35">
      <c r="A3047" s="426" t="s">
        <v>3577</v>
      </c>
      <c r="B3047" s="419">
        <v>1</v>
      </c>
    </row>
    <row r="3048" spans="1:2" x14ac:dyDescent="0.35">
      <c r="A3048" s="427" t="s">
        <v>3578</v>
      </c>
      <c r="B3048" s="420"/>
    </row>
    <row r="3049" spans="1:2" x14ac:dyDescent="0.35">
      <c r="A3049" s="428" t="s">
        <v>3579</v>
      </c>
      <c r="B3049" s="421"/>
    </row>
    <row r="3050" spans="1:2" x14ac:dyDescent="0.35">
      <c r="A3050" s="421" t="s">
        <v>3580</v>
      </c>
      <c r="B3050" s="421"/>
    </row>
    <row r="3051" spans="1:2" x14ac:dyDescent="0.35">
      <c r="A3051" s="428" t="s">
        <v>3581</v>
      </c>
      <c r="B3051" s="421"/>
    </row>
    <row r="3052" spans="1:2" x14ac:dyDescent="0.35">
      <c r="A3052" s="428" t="s">
        <v>3582</v>
      </c>
      <c r="B3052" s="421"/>
    </row>
    <row r="3053" spans="1:2" x14ac:dyDescent="0.35">
      <c r="A3053" s="428" t="s">
        <v>3583</v>
      </c>
      <c r="B3053" s="421"/>
    </row>
    <row r="3054" spans="1:2" x14ac:dyDescent="0.35">
      <c r="A3054" s="428" t="s">
        <v>3584</v>
      </c>
      <c r="B3054" s="421"/>
    </row>
    <row r="3055" spans="1:2" x14ac:dyDescent="0.35">
      <c r="A3055" s="428" t="s">
        <v>3585</v>
      </c>
      <c r="B3055" s="421"/>
    </row>
    <row r="3056" spans="1:2" x14ac:dyDescent="0.35">
      <c r="A3056" s="428" t="s">
        <v>3586</v>
      </c>
      <c r="B3056" s="421"/>
    </row>
    <row r="3057" spans="1:2" x14ac:dyDescent="0.35">
      <c r="A3057" s="428" t="s">
        <v>3587</v>
      </c>
      <c r="B3057" s="421"/>
    </row>
    <row r="3058" spans="1:2" x14ac:dyDescent="0.35">
      <c r="A3058" s="428" t="s">
        <v>3588</v>
      </c>
      <c r="B3058" s="421"/>
    </row>
    <row r="3059" spans="1:2" x14ac:dyDescent="0.35">
      <c r="A3059" s="428" t="s">
        <v>3589</v>
      </c>
      <c r="B3059" s="422"/>
    </row>
    <row r="3060" spans="1:2" x14ac:dyDescent="0.35">
      <c r="A3060" s="428" t="s">
        <v>3590</v>
      </c>
      <c r="B3060" s="422"/>
    </row>
    <row r="3061" spans="1:2" x14ac:dyDescent="0.35">
      <c r="A3061" s="428" t="s">
        <v>3591</v>
      </c>
      <c r="B3061" s="422"/>
    </row>
    <row r="3062" spans="1:2" x14ac:dyDescent="0.35">
      <c r="A3062" s="428" t="s">
        <v>3592</v>
      </c>
      <c r="B3062" s="422"/>
    </row>
    <row r="3063" spans="1:2" x14ac:dyDescent="0.35">
      <c r="A3063" s="428" t="s">
        <v>3593</v>
      </c>
      <c r="B3063" s="421"/>
    </row>
    <row r="3064" spans="1:2" x14ac:dyDescent="0.35">
      <c r="A3064" s="428" t="s">
        <v>3594</v>
      </c>
      <c r="B3064" s="421"/>
    </row>
    <row r="3065" spans="1:2" x14ac:dyDescent="0.35">
      <c r="A3065" s="428" t="s">
        <v>3595</v>
      </c>
      <c r="B3065" s="421"/>
    </row>
    <row r="3066" spans="1:2" x14ac:dyDescent="0.35">
      <c r="A3066" s="428" t="s">
        <v>3596</v>
      </c>
      <c r="B3066" s="421"/>
    </row>
    <row r="3067" spans="1:2" x14ac:dyDescent="0.35">
      <c r="A3067" s="428" t="s">
        <v>3597</v>
      </c>
      <c r="B3067" s="421"/>
    </row>
    <row r="3068" spans="1:2" x14ac:dyDescent="0.35">
      <c r="A3068" s="428" t="s">
        <v>3598</v>
      </c>
      <c r="B3068" s="421"/>
    </row>
    <row r="3069" spans="1:2" x14ac:dyDescent="0.35">
      <c r="A3069" s="428" t="s">
        <v>3599</v>
      </c>
      <c r="B3069" s="421"/>
    </row>
    <row r="3070" spans="1:2" x14ac:dyDescent="0.35">
      <c r="A3070" s="428" t="s">
        <v>3600</v>
      </c>
      <c r="B3070" s="421"/>
    </row>
    <row r="3071" spans="1:2" x14ac:dyDescent="0.35">
      <c r="A3071" s="428" t="s">
        <v>3601</v>
      </c>
      <c r="B3071" s="421"/>
    </row>
    <row r="3072" spans="1:2" x14ac:dyDescent="0.35">
      <c r="A3072" s="421" t="s">
        <v>3602</v>
      </c>
      <c r="B3072" s="421"/>
    </row>
    <row r="3073" spans="1:2" x14ac:dyDescent="0.35">
      <c r="A3073" s="421" t="s">
        <v>3603</v>
      </c>
      <c r="B3073" s="421"/>
    </row>
    <row r="3074" spans="1:2" x14ac:dyDescent="0.35">
      <c r="A3074" s="421" t="s">
        <v>3604</v>
      </c>
      <c r="B3074" s="421"/>
    </row>
    <row r="3075" spans="1:2" x14ac:dyDescent="0.35">
      <c r="A3075" s="421" t="s">
        <v>3605</v>
      </c>
      <c r="B3075" s="421"/>
    </row>
    <row r="3076" spans="1:2" x14ac:dyDescent="0.35">
      <c r="A3076" s="421" t="s">
        <v>3606</v>
      </c>
      <c r="B3076" s="421"/>
    </row>
    <row r="3077" spans="1:2" x14ac:dyDescent="0.35">
      <c r="A3077" s="421" t="s">
        <v>3607</v>
      </c>
      <c r="B3077" s="421"/>
    </row>
    <row r="3078" spans="1:2" x14ac:dyDescent="0.35">
      <c r="A3078" s="421" t="s">
        <v>3608</v>
      </c>
      <c r="B3078" s="421"/>
    </row>
    <row r="3079" spans="1:2" x14ac:dyDescent="0.35">
      <c r="A3079" s="421" t="s">
        <v>3609</v>
      </c>
      <c r="B3079" s="421"/>
    </row>
    <row r="3080" spans="1:2" x14ac:dyDescent="0.35">
      <c r="A3080" s="421" t="s">
        <v>3610</v>
      </c>
      <c r="B3080" s="421"/>
    </row>
    <row r="3081" spans="1:2" x14ac:dyDescent="0.35">
      <c r="A3081" s="421" t="s">
        <v>3611</v>
      </c>
      <c r="B3081" s="421"/>
    </row>
    <row r="3082" spans="1:2" x14ac:dyDescent="0.35">
      <c r="A3082" s="421" t="s">
        <v>3612</v>
      </c>
      <c r="B3082" s="421"/>
    </row>
    <row r="3083" spans="1:2" x14ac:dyDescent="0.35">
      <c r="A3083" s="421" t="s">
        <v>3613</v>
      </c>
      <c r="B3083" s="421"/>
    </row>
    <row r="3084" spans="1:2" x14ac:dyDescent="0.35">
      <c r="A3084" s="421" t="s">
        <v>3614</v>
      </c>
      <c r="B3084" s="421"/>
    </row>
    <row r="3085" spans="1:2" x14ac:dyDescent="0.35">
      <c r="A3085" s="421" t="s">
        <v>3615</v>
      </c>
      <c r="B3085" s="313"/>
    </row>
    <row r="3086" spans="1:2" x14ac:dyDescent="0.35">
      <c r="A3086" s="421" t="s">
        <v>3616</v>
      </c>
      <c r="B3086" s="313"/>
    </row>
    <row r="3087" spans="1:2" x14ac:dyDescent="0.35">
      <c r="A3087" s="421" t="s">
        <v>3617</v>
      </c>
      <c r="B3087" s="313"/>
    </row>
    <row r="3088" spans="1:2" x14ac:dyDescent="0.35">
      <c r="A3088" s="428"/>
      <c r="B3088" s="313"/>
    </row>
    <row r="3089" spans="1:2" x14ac:dyDescent="0.35">
      <c r="A3089" s="421" t="s">
        <v>3618</v>
      </c>
      <c r="B3089" s="423"/>
    </row>
    <row r="3090" spans="1:2" x14ac:dyDescent="0.35">
      <c r="A3090" s="421" t="s">
        <v>3619</v>
      </c>
      <c r="B3090" s="423"/>
    </row>
    <row r="3091" spans="1:2" x14ac:dyDescent="0.35">
      <c r="A3091" s="421" t="s">
        <v>3620</v>
      </c>
      <c r="B3091" s="423"/>
    </row>
    <row r="3092" spans="1:2" x14ac:dyDescent="0.35">
      <c r="A3092" s="421" t="s">
        <v>3621</v>
      </c>
      <c r="B3092" s="423"/>
    </row>
    <row r="3093" spans="1:2" x14ac:dyDescent="0.35">
      <c r="A3093" s="429" t="s">
        <v>3622</v>
      </c>
      <c r="B3093" s="424"/>
    </row>
    <row r="3094" spans="1:2" x14ac:dyDescent="0.35">
      <c r="A3094" s="421"/>
      <c r="B3094" s="423"/>
    </row>
    <row r="3095" spans="1:2" x14ac:dyDescent="0.35">
      <c r="A3095" s="421"/>
      <c r="B3095" s="423"/>
    </row>
    <row r="3096" spans="1:2" x14ac:dyDescent="0.35">
      <c r="A3096" s="421"/>
      <c r="B3096" s="423"/>
    </row>
    <row r="3097" spans="1:2" x14ac:dyDescent="0.35">
      <c r="A3097" s="421"/>
      <c r="B3097" s="423"/>
    </row>
    <row r="3098" spans="1:2" x14ac:dyDescent="0.35">
      <c r="A3098" s="421"/>
      <c r="B3098" s="423"/>
    </row>
    <row r="3099" spans="1:2" x14ac:dyDescent="0.35">
      <c r="A3099" s="429" t="s">
        <v>3623</v>
      </c>
    </row>
  </sheetData>
  <mergeCells count="2">
    <mergeCell ref="A1:B1"/>
    <mergeCell ref="A2:B2"/>
  </mergeCells>
  <hyperlinks>
    <hyperlink ref="D1" r:id="rId1" location="FinalRule" xr:uid="{D7119C0D-0142-422A-9F38-47167D05D7C3}"/>
    <hyperlink ref="D491" location="'IP Base Rate Data Sources'!A1" display="back to IP Base Rate Data Sources page" xr:uid="{D798A137-64DC-4E9B-9DFF-B218A1A43700}"/>
  </hyperlinks>
  <pageMargins left="0.7" right="0.7" top="0.75" bottom="0.75" header="0.3" footer="0.3"/>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88B8-893F-41DD-9742-AEB789568A61}">
  <sheetPr>
    <tabColor rgb="FF00B0F0"/>
  </sheetPr>
  <dimension ref="A1:A19"/>
  <sheetViews>
    <sheetView workbookViewId="0">
      <selection activeCell="A19" sqref="A19"/>
    </sheetView>
  </sheetViews>
  <sheetFormatPr defaultColWidth="8.81640625" defaultRowHeight="14.5" x14ac:dyDescent="0.35"/>
  <cols>
    <col min="1" max="16384" width="8.81640625" style="9"/>
  </cols>
  <sheetData>
    <row r="1" spans="1:1" x14ac:dyDescent="0.35">
      <c r="A1" s="276" t="s">
        <v>3624</v>
      </c>
    </row>
    <row r="19" spans="1:1" x14ac:dyDescent="0.35">
      <c r="A19" s="276" t="s">
        <v>3732</v>
      </c>
    </row>
  </sheetData>
  <hyperlinks>
    <hyperlink ref="A1" r:id="rId1" location="FinalRule" xr:uid="{223E3DB7-703C-4191-8BA9-C2A1282F8D56}"/>
    <hyperlink ref="A19" location="'IP Base Rate Data Sources'!A1" display="back to IP Base Rate Data Sources page" xr:uid="{B9D5F271-D932-4BD4-8ECF-748596472989}"/>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E859-C512-4864-9511-12E9060BF5BE}">
  <sheetPr>
    <tabColor rgb="FF00B0F0"/>
  </sheetPr>
  <dimension ref="A1"/>
  <sheetViews>
    <sheetView workbookViewId="0"/>
  </sheetViews>
  <sheetFormatPr defaultColWidth="8.81640625" defaultRowHeight="14.5" x14ac:dyDescent="0.35"/>
  <cols>
    <col min="1" max="16384" width="8.81640625" style="9"/>
  </cols>
  <sheetData>
    <row r="1" spans="1:1" ht="23.5" x14ac:dyDescent="0.55000000000000004">
      <c r="A1" s="275" t="s">
        <v>3778</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946A-8772-42DD-8794-AC4DDE7675BD}">
  <sheetPr>
    <tabColor rgb="FF00B0F0"/>
  </sheetPr>
  <dimension ref="A1:AL116"/>
  <sheetViews>
    <sheetView topLeftCell="D1" workbookViewId="0">
      <pane ySplit="1" topLeftCell="A2" activePane="bottomLeft" state="frozen"/>
      <selection activeCell="AK1" sqref="AK1"/>
      <selection pane="bottomLeft" activeCell="D1" sqref="D1"/>
    </sheetView>
  </sheetViews>
  <sheetFormatPr defaultRowHeight="14.5" outlineLevelCol="2" x14ac:dyDescent="0.35"/>
  <cols>
    <col min="1" max="1" width="9" hidden="1" customWidth="1"/>
    <col min="2" max="2" width="13.1796875" hidden="1" customWidth="1"/>
    <col min="3" max="3" width="11" hidden="1" customWidth="1"/>
    <col min="5" max="5" width="30.26953125" style="414" hidden="1" customWidth="1"/>
    <col min="6" max="7" width="0" hidden="1" customWidth="1"/>
    <col min="8" max="8" width="16.26953125" customWidth="1"/>
    <col min="9" max="9" width="13.453125" hidden="1" customWidth="1"/>
    <col min="10" max="10" width="15.26953125" style="14" customWidth="1" outlineLevel="2"/>
    <col min="11" max="12" width="13.453125" style="14" customWidth="1" outlineLevel="2"/>
    <col min="13" max="13" width="15.26953125" style="14" customWidth="1" outlineLevel="2"/>
    <col min="14" max="15" width="13.453125" style="14" customWidth="1" outlineLevel="2"/>
    <col min="16" max="16" width="19.1796875" style="14" customWidth="1" outlineLevel="2"/>
    <col min="17" max="17" width="17.453125" style="14" customWidth="1" outlineLevel="2"/>
    <col min="18" max="18" width="16.453125" style="14" customWidth="1" outlineLevel="2"/>
    <col min="19" max="19" width="15.26953125" customWidth="1" outlineLevel="2"/>
    <col min="20" max="21" width="13.453125" customWidth="1" outlineLevel="2"/>
    <col min="22" max="22" width="15.26953125" customWidth="1" outlineLevel="2"/>
    <col min="23" max="24" width="13.453125" customWidth="1" outlineLevel="2"/>
    <col min="25" max="25" width="18.7265625" customWidth="1" outlineLevel="2"/>
    <col min="26" max="27" width="17.26953125" customWidth="1" outlineLevel="2"/>
    <col min="28" max="28" width="16.453125" customWidth="1" outlineLevel="2"/>
    <col min="29" max="30" width="14.81640625" customWidth="1" outlineLevel="2"/>
    <col min="31" max="31" width="17.453125" customWidth="1" outlineLevel="2"/>
    <col min="32" max="32" width="17" customWidth="1" outlineLevel="2"/>
    <col min="33" max="33" width="15.7265625" customWidth="1" outlineLevel="2"/>
    <col min="34" max="34" width="15.6328125" customWidth="1" outlineLevel="1"/>
    <col min="35" max="35" width="14.7265625" customWidth="1" outlineLevel="1"/>
    <col min="36" max="36" width="19.7265625" customWidth="1"/>
    <col min="37" max="38" width="17" customWidth="1"/>
  </cols>
  <sheetData>
    <row r="1" spans="1:37" ht="104.25" customHeight="1" x14ac:dyDescent="0.35">
      <c r="A1" s="362" t="s">
        <v>3653</v>
      </c>
      <c r="B1" s="362"/>
      <c r="C1" s="362"/>
      <c r="D1" s="362" t="s">
        <v>278</v>
      </c>
      <c r="E1" s="408"/>
      <c r="F1" s="362" t="s">
        <v>3654</v>
      </c>
      <c r="G1" s="362" t="s">
        <v>3655</v>
      </c>
      <c r="H1" s="362" t="s">
        <v>3645</v>
      </c>
      <c r="I1" s="362" t="s">
        <v>3656</v>
      </c>
      <c r="J1" s="345" t="s">
        <v>3657</v>
      </c>
      <c r="K1" s="345" t="s">
        <v>3658</v>
      </c>
      <c r="L1" s="345" t="s">
        <v>3781</v>
      </c>
      <c r="M1" s="363" t="s">
        <v>3659</v>
      </c>
      <c r="N1" s="363" t="s">
        <v>3660</v>
      </c>
      <c r="O1" s="363" t="s">
        <v>3783</v>
      </c>
      <c r="P1" s="364" t="s">
        <v>3661</v>
      </c>
      <c r="Q1" s="364" t="s">
        <v>3662</v>
      </c>
      <c r="R1" s="364" t="s">
        <v>3782</v>
      </c>
      <c r="S1" s="365" t="s">
        <v>3663</v>
      </c>
      <c r="T1" s="365" t="s">
        <v>3664</v>
      </c>
      <c r="U1" s="365" t="s">
        <v>3665</v>
      </c>
      <c r="V1" s="114" t="s">
        <v>3666</v>
      </c>
      <c r="W1" s="114" t="s">
        <v>3667</v>
      </c>
      <c r="X1" s="114" t="s">
        <v>3668</v>
      </c>
      <c r="Y1" s="366" t="s">
        <v>3669</v>
      </c>
      <c r="Z1" s="366" t="s">
        <v>3670</v>
      </c>
      <c r="AA1" s="366" t="s">
        <v>3671</v>
      </c>
      <c r="AB1" s="364" t="s">
        <v>3672</v>
      </c>
      <c r="AC1" s="364" t="s">
        <v>3673</v>
      </c>
      <c r="AD1" s="364" t="s">
        <v>3674</v>
      </c>
      <c r="AE1" s="366" t="s">
        <v>3675</v>
      </c>
      <c r="AF1" s="366" t="s">
        <v>3676</v>
      </c>
      <c r="AG1" s="366" t="s">
        <v>3677</v>
      </c>
      <c r="AH1" s="364" t="s">
        <v>3678</v>
      </c>
      <c r="AI1" s="366" t="s">
        <v>3679</v>
      </c>
      <c r="AJ1" s="367" t="s">
        <v>3646</v>
      </c>
      <c r="AK1" s="397" t="s">
        <v>3723</v>
      </c>
    </row>
    <row r="2" spans="1:37" x14ac:dyDescent="0.35">
      <c r="A2" s="343">
        <v>22</v>
      </c>
      <c r="B2" s="14"/>
      <c r="C2" s="14"/>
      <c r="D2" s="284" t="s">
        <v>40</v>
      </c>
      <c r="F2" t="s">
        <v>543</v>
      </c>
      <c r="G2">
        <v>60001</v>
      </c>
      <c r="H2" t="s">
        <v>217</v>
      </c>
      <c r="I2" t="s">
        <v>0</v>
      </c>
      <c r="J2" s="368">
        <v>386715564</v>
      </c>
      <c r="K2" s="368">
        <v>35544329</v>
      </c>
      <c r="L2" s="368">
        <v>7716005</v>
      </c>
      <c r="M2" s="368">
        <v>341665581.42000002</v>
      </c>
      <c r="N2" s="368">
        <v>9663921.4200000167</v>
      </c>
      <c r="O2" s="368">
        <v>29740880</v>
      </c>
      <c r="P2" s="368">
        <v>348718936</v>
      </c>
      <c r="Q2" s="368">
        <v>-19616401</v>
      </c>
      <c r="R2" s="368">
        <v>27371595</v>
      </c>
      <c r="S2" s="369">
        <v>668114719</v>
      </c>
      <c r="T2" s="369">
        <v>64789644</v>
      </c>
      <c r="U2" s="369">
        <v>26538354</v>
      </c>
      <c r="V2" s="369">
        <v>633585942.56699991</v>
      </c>
      <c r="W2" s="369">
        <v>42937294.14700003</v>
      </c>
      <c r="X2" s="369">
        <v>46894465</v>
      </c>
      <c r="Y2" s="369">
        <v>639354872.58999991</v>
      </c>
      <c r="Z2" s="369">
        <v>-10443748.409999996</v>
      </c>
      <c r="AA2" s="369">
        <v>44320700</v>
      </c>
      <c r="AB2" s="370">
        <f t="shared" ref="AB2:AB33" si="0">+J2+M2+P2</f>
        <v>1077100081.4200001</v>
      </c>
      <c r="AC2" s="370">
        <f t="shared" ref="AC2:AC33" si="1">+K2+N2+Q2</f>
        <v>25591849.420000017</v>
      </c>
      <c r="AD2" s="370">
        <f t="shared" ref="AD2:AD33" si="2">+L2+O2+R2</f>
        <v>64828480</v>
      </c>
      <c r="AE2" s="370">
        <f>+V2+S2+Y2</f>
        <v>1941055534.1569998</v>
      </c>
      <c r="AF2" s="370">
        <f t="shared" ref="AF2:AF33" si="3">+W2+T2+Z2</f>
        <v>97283189.737000033</v>
      </c>
      <c r="AG2" s="370">
        <f t="shared" ref="AG2:AG33" si="4">+X2+U2+AA2</f>
        <v>117753519</v>
      </c>
      <c r="AH2" s="342">
        <f t="shared" ref="AH2:AH33" si="5">IFERROR((AC2+AD2)/AB2,"NA")</f>
        <v>8.3947936667866499E-2</v>
      </c>
      <c r="AI2" s="342">
        <f t="shared" ref="AI2:AI33" si="6">IFERROR((AF2+AG2)/AE2,"NA")</f>
        <v>0.11078338818904038</v>
      </c>
      <c r="AJ2" s="371">
        <f t="shared" ref="AJ2:AJ33" si="7">IFERROR(MAX(AI2,AH2),"NA")</f>
        <v>0.11078338818904038</v>
      </c>
    </row>
    <row r="3" spans="1:37" x14ac:dyDescent="0.35">
      <c r="A3" s="343">
        <v>60</v>
      </c>
      <c r="B3" s="14"/>
      <c r="C3" s="14"/>
      <c r="D3" s="284" t="s">
        <v>42</v>
      </c>
      <c r="F3" t="s">
        <v>552</v>
      </c>
      <c r="G3">
        <v>60003</v>
      </c>
      <c r="H3" t="s">
        <v>223</v>
      </c>
      <c r="I3" t="s">
        <v>0</v>
      </c>
      <c r="J3" s="368">
        <v>150751568.64000002</v>
      </c>
      <c r="K3" s="368">
        <v>-5108584.4029999971</v>
      </c>
      <c r="L3" s="368">
        <v>14755182.920000004</v>
      </c>
      <c r="M3" s="368">
        <v>156397616.28999999</v>
      </c>
      <c r="N3" s="368">
        <v>7607926.6200000048</v>
      </c>
      <c r="O3" s="368">
        <v>13222652.66</v>
      </c>
      <c r="P3" s="368">
        <v>139995514.72</v>
      </c>
      <c r="Q3" s="368">
        <v>2240144.3000000119</v>
      </c>
      <c r="R3" s="368">
        <v>12394420.84</v>
      </c>
      <c r="S3" s="369">
        <v>2199179997.5199981</v>
      </c>
      <c r="T3" s="369">
        <v>228635496.50274026</v>
      </c>
      <c r="U3" s="369">
        <v>122011455.96000002</v>
      </c>
      <c r="V3" s="369">
        <v>2373892346.1700001</v>
      </c>
      <c r="W3" s="369">
        <v>312336534.33000034</v>
      </c>
      <c r="X3" s="369">
        <v>130369316.09999999</v>
      </c>
      <c r="Y3" s="369">
        <v>2561469913.9053001</v>
      </c>
      <c r="Z3" s="369">
        <v>376557681.68529993</v>
      </c>
      <c r="AA3" s="369">
        <v>133102210.90000001</v>
      </c>
      <c r="AB3" s="370">
        <f t="shared" si="0"/>
        <v>447144699.64999998</v>
      </c>
      <c r="AC3" s="370">
        <f t="shared" si="1"/>
        <v>4739486.5170000196</v>
      </c>
      <c r="AD3" s="370">
        <f t="shared" si="2"/>
        <v>40372256.420000002</v>
      </c>
      <c r="AE3" s="370">
        <f t="shared" ref="AE3:AE33" si="8">+V3+S3+Y3</f>
        <v>7134542257.5952988</v>
      </c>
      <c r="AF3" s="370">
        <f t="shared" si="3"/>
        <v>917529712.51804042</v>
      </c>
      <c r="AG3" s="370">
        <f t="shared" si="4"/>
        <v>385482982.96000004</v>
      </c>
      <c r="AH3" s="342">
        <f t="shared" si="5"/>
        <v>0.10088846624439692</v>
      </c>
      <c r="AI3" s="342">
        <f t="shared" si="6"/>
        <v>0.18263437911393374</v>
      </c>
      <c r="AJ3" s="371">
        <f t="shared" si="7"/>
        <v>0.18263437911393374</v>
      </c>
    </row>
    <row r="4" spans="1:37" x14ac:dyDescent="0.35">
      <c r="A4" s="343">
        <v>74</v>
      </c>
      <c r="B4" s="14"/>
      <c r="C4" s="14"/>
      <c r="D4" s="284" t="s">
        <v>44</v>
      </c>
      <c r="F4" t="s">
        <v>529</v>
      </c>
      <c r="G4">
        <v>60004</v>
      </c>
      <c r="H4" t="s">
        <v>220</v>
      </c>
      <c r="I4" t="s">
        <v>0</v>
      </c>
      <c r="J4" s="368">
        <v>137839904</v>
      </c>
      <c r="K4" s="368">
        <v>7952089.3900000006</v>
      </c>
      <c r="L4" s="368">
        <v>9020033</v>
      </c>
      <c r="M4" s="368">
        <v>143533542</v>
      </c>
      <c r="N4" s="368">
        <v>-3210236</v>
      </c>
      <c r="O4" s="368">
        <v>10284195</v>
      </c>
      <c r="P4" s="368">
        <v>158187450.03</v>
      </c>
      <c r="Q4" s="368">
        <v>9606496.5699999928</v>
      </c>
      <c r="R4" s="368">
        <v>10893842.390000001</v>
      </c>
      <c r="S4" s="369">
        <v>1769628788.1477969</v>
      </c>
      <c r="T4" s="369">
        <v>92714203.777797177</v>
      </c>
      <c r="U4" s="369">
        <v>108367664</v>
      </c>
      <c r="V4" s="369">
        <v>1881410619.21</v>
      </c>
      <c r="W4" s="369">
        <v>75225266.209999979</v>
      </c>
      <c r="X4" s="369">
        <v>110161478</v>
      </c>
      <c r="Y4" s="369">
        <v>2071300143.8400002</v>
      </c>
      <c r="Z4" s="369">
        <v>66839712.039999962</v>
      </c>
      <c r="AA4" s="369">
        <v>226924874.51000002</v>
      </c>
      <c r="AB4" s="370">
        <f t="shared" si="0"/>
        <v>439560896.02999997</v>
      </c>
      <c r="AC4" s="370">
        <f t="shared" si="1"/>
        <v>14348349.959999993</v>
      </c>
      <c r="AD4" s="370">
        <f t="shared" si="2"/>
        <v>30198070.390000001</v>
      </c>
      <c r="AE4" s="370">
        <f t="shared" si="8"/>
        <v>5722339551.1977968</v>
      </c>
      <c r="AF4" s="370">
        <f t="shared" si="3"/>
        <v>234779182.0277971</v>
      </c>
      <c r="AG4" s="370">
        <f t="shared" si="4"/>
        <v>445454016.50999999</v>
      </c>
      <c r="AH4" s="342">
        <f t="shared" si="5"/>
        <v>0.10134300105476103</v>
      </c>
      <c r="AI4" s="342">
        <f t="shared" si="6"/>
        <v>0.11887326721033377</v>
      </c>
      <c r="AJ4" s="371">
        <f t="shared" si="7"/>
        <v>0.11887326721033377</v>
      </c>
    </row>
    <row r="5" spans="1:37" x14ac:dyDescent="0.35">
      <c r="A5" s="343">
        <v>21</v>
      </c>
      <c r="B5" s="14"/>
      <c r="C5" s="14"/>
      <c r="D5" s="284" t="s">
        <v>46</v>
      </c>
      <c r="F5" t="s">
        <v>3712</v>
      </c>
      <c r="G5">
        <v>60006</v>
      </c>
      <c r="H5" s="286" t="s">
        <v>216</v>
      </c>
      <c r="I5" t="s">
        <v>0</v>
      </c>
      <c r="J5" s="368">
        <v>127084298.18000007</v>
      </c>
      <c r="K5" s="368">
        <v>8872556.3200000823</v>
      </c>
      <c r="L5" s="368">
        <v>5173751.8500000006</v>
      </c>
      <c r="M5" s="368">
        <v>136294897.98999998</v>
      </c>
      <c r="N5" s="368">
        <v>11625936.98999998</v>
      </c>
      <c r="O5" s="368">
        <v>5109289.4400000004</v>
      </c>
      <c r="P5" s="368">
        <v>150154705.22</v>
      </c>
      <c r="Q5" s="368">
        <v>14348070.344000012</v>
      </c>
      <c r="R5" s="368">
        <v>4960895.5999999996</v>
      </c>
      <c r="S5" s="369">
        <v>0</v>
      </c>
      <c r="T5" s="369">
        <v>0</v>
      </c>
      <c r="U5" s="369">
        <v>0</v>
      </c>
      <c r="V5" s="369">
        <v>0</v>
      </c>
      <c r="W5" s="369">
        <v>0</v>
      </c>
      <c r="X5" s="369">
        <v>0</v>
      </c>
      <c r="Y5" s="369">
        <v>0</v>
      </c>
      <c r="Z5" s="369">
        <v>0</v>
      </c>
      <c r="AA5" s="369">
        <v>0</v>
      </c>
      <c r="AB5" s="370">
        <f t="shared" si="0"/>
        <v>413533901.39000005</v>
      </c>
      <c r="AC5" s="370">
        <f t="shared" si="1"/>
        <v>34846563.654000074</v>
      </c>
      <c r="AD5" s="370">
        <f t="shared" si="2"/>
        <v>15243936.890000001</v>
      </c>
      <c r="AE5" s="370">
        <f t="shared" si="8"/>
        <v>0</v>
      </c>
      <c r="AF5" s="370">
        <f t="shared" si="3"/>
        <v>0</v>
      </c>
      <c r="AG5" s="370">
        <f t="shared" si="4"/>
        <v>0</v>
      </c>
      <c r="AH5" s="342">
        <f t="shared" si="5"/>
        <v>0.12112791811174915</v>
      </c>
      <c r="AI5" s="342" t="str">
        <f t="shared" si="6"/>
        <v>NA</v>
      </c>
      <c r="AJ5" s="371">
        <f t="shared" si="7"/>
        <v>0.12112791811174915</v>
      </c>
    </row>
    <row r="6" spans="1:37" x14ac:dyDescent="0.35">
      <c r="A6" s="343">
        <v>80</v>
      </c>
      <c r="B6" s="14"/>
      <c r="C6" s="14"/>
      <c r="D6" s="284" t="s">
        <v>48</v>
      </c>
      <c r="F6" t="s">
        <v>523</v>
      </c>
      <c r="G6">
        <v>60008</v>
      </c>
      <c r="H6" t="s">
        <v>279</v>
      </c>
      <c r="I6" t="s">
        <v>0</v>
      </c>
      <c r="J6" s="368">
        <v>91747476</v>
      </c>
      <c r="K6" s="368">
        <v>2980485</v>
      </c>
      <c r="L6" s="368">
        <v>2692220</v>
      </c>
      <c r="M6" s="368">
        <v>91574980</v>
      </c>
      <c r="N6" s="368">
        <v>-1075550</v>
      </c>
      <c r="O6" s="368">
        <v>3181164</v>
      </c>
      <c r="P6" s="368">
        <v>105026054.29000001</v>
      </c>
      <c r="Q6" s="368">
        <v>5562516.2900000066</v>
      </c>
      <c r="R6" s="368">
        <v>3773054</v>
      </c>
      <c r="S6" s="369">
        <v>102250204</v>
      </c>
      <c r="T6" s="369">
        <v>3173287</v>
      </c>
      <c r="U6" s="369">
        <v>3038247</v>
      </c>
      <c r="V6" s="369">
        <v>103198958</v>
      </c>
      <c r="W6" s="369">
        <v>-378504</v>
      </c>
      <c r="X6" s="369">
        <v>3641991</v>
      </c>
      <c r="Y6" s="369">
        <v>117630879.29000001</v>
      </c>
      <c r="Z6" s="369">
        <v>8065085.2900000066</v>
      </c>
      <c r="AA6" s="369">
        <v>4326782</v>
      </c>
      <c r="AB6" s="370">
        <f t="shared" si="0"/>
        <v>288348510.29000002</v>
      </c>
      <c r="AC6" s="370">
        <f t="shared" si="1"/>
        <v>7467451.2900000066</v>
      </c>
      <c r="AD6" s="370">
        <f t="shared" si="2"/>
        <v>9646438</v>
      </c>
      <c r="AE6" s="370">
        <f t="shared" si="8"/>
        <v>323080041.29000002</v>
      </c>
      <c r="AF6" s="370">
        <f t="shared" si="3"/>
        <v>10859868.290000007</v>
      </c>
      <c r="AG6" s="370">
        <f t="shared" si="4"/>
        <v>11007020</v>
      </c>
      <c r="AH6" s="342">
        <f t="shared" si="5"/>
        <v>5.9351405258824118E-2</v>
      </c>
      <c r="AI6" s="342">
        <f t="shared" si="6"/>
        <v>6.7682572413602177E-2</v>
      </c>
      <c r="AJ6" s="371">
        <f t="shared" si="7"/>
        <v>6.7682572413602177E-2</v>
      </c>
    </row>
    <row r="7" spans="1:37" x14ac:dyDescent="0.35">
      <c r="A7" s="343">
        <v>50</v>
      </c>
      <c r="B7" s="14"/>
      <c r="C7" s="14"/>
      <c r="D7" s="284" t="s">
        <v>51</v>
      </c>
      <c r="F7" t="s">
        <v>528</v>
      </c>
      <c r="G7">
        <v>60009</v>
      </c>
      <c r="H7" t="s">
        <v>220</v>
      </c>
      <c r="I7" t="s">
        <v>0</v>
      </c>
      <c r="J7" s="368">
        <v>347049116.00964761</v>
      </c>
      <c r="K7" s="368">
        <v>-2623252.6203523874</v>
      </c>
      <c r="L7" s="368">
        <v>19706820</v>
      </c>
      <c r="M7" s="368">
        <v>374314544.20999998</v>
      </c>
      <c r="N7" s="368">
        <v>-7930928.7900000215</v>
      </c>
      <c r="O7" s="368">
        <v>20506340</v>
      </c>
      <c r="P7" s="368">
        <v>427069011.44999999</v>
      </c>
      <c r="Q7" s="368">
        <v>-107725678.48000002</v>
      </c>
      <c r="R7" s="368">
        <v>137420845.84</v>
      </c>
      <c r="S7" s="369">
        <v>1769628788.1477969</v>
      </c>
      <c r="T7" s="369">
        <v>92714203.777797177</v>
      </c>
      <c r="U7" s="369">
        <v>108367664</v>
      </c>
      <c r="V7" s="369">
        <v>1881410619.21</v>
      </c>
      <c r="W7" s="369">
        <v>75225266.209999979</v>
      </c>
      <c r="X7" s="369">
        <v>110161478</v>
      </c>
      <c r="Y7" s="369">
        <v>2071300143.8400002</v>
      </c>
      <c r="Z7" s="369">
        <v>66839712.039999962</v>
      </c>
      <c r="AA7" s="369">
        <v>226924874.51000002</v>
      </c>
      <c r="AB7" s="370">
        <f t="shared" si="0"/>
        <v>1148432671.6696477</v>
      </c>
      <c r="AC7" s="370">
        <f t="shared" si="1"/>
        <v>-118279859.89035243</v>
      </c>
      <c r="AD7" s="370">
        <f t="shared" si="2"/>
        <v>177634005.84</v>
      </c>
      <c r="AE7" s="370">
        <f t="shared" si="8"/>
        <v>5722339551.1977968</v>
      </c>
      <c r="AF7" s="370">
        <f t="shared" si="3"/>
        <v>234779182.0277971</v>
      </c>
      <c r="AG7" s="370">
        <f t="shared" si="4"/>
        <v>445454016.50999999</v>
      </c>
      <c r="AH7" s="342">
        <f t="shared" si="5"/>
        <v>5.1682738930925405E-2</v>
      </c>
      <c r="AI7" s="342">
        <f t="shared" si="6"/>
        <v>0.11887326721033377</v>
      </c>
      <c r="AJ7" s="371">
        <f t="shared" si="7"/>
        <v>0.11887326721033377</v>
      </c>
    </row>
    <row r="8" spans="1:37" x14ac:dyDescent="0.35">
      <c r="A8" s="343">
        <v>25</v>
      </c>
      <c r="B8" s="14"/>
      <c r="C8" s="14"/>
      <c r="D8" s="284" t="s">
        <v>53</v>
      </c>
      <c r="F8" t="s">
        <v>559</v>
      </c>
      <c r="G8">
        <v>60010</v>
      </c>
      <c r="H8" t="s">
        <v>218</v>
      </c>
      <c r="I8" t="s">
        <v>0</v>
      </c>
      <c r="J8" s="368">
        <v>689643689.81999958</v>
      </c>
      <c r="K8" s="368">
        <v>149952659.56927752</v>
      </c>
      <c r="L8" s="368">
        <v>25715231.859999996</v>
      </c>
      <c r="M8" s="368">
        <v>642480434.81999993</v>
      </c>
      <c r="N8" s="368">
        <v>84506375.862244487</v>
      </c>
      <c r="O8" s="368">
        <v>25327580.837169662</v>
      </c>
      <c r="P8" s="368">
        <v>689963669</v>
      </c>
      <c r="Q8" s="368">
        <v>104014286</v>
      </c>
      <c r="R8" s="368">
        <v>25581064</v>
      </c>
      <c r="S8" s="369">
        <v>4613796407.9000015</v>
      </c>
      <c r="T8" s="369">
        <v>589771677.34712648</v>
      </c>
      <c r="U8" s="369">
        <v>193745564.91000003</v>
      </c>
      <c r="V8" s="369">
        <v>4684099729.3099995</v>
      </c>
      <c r="W8" s="369">
        <v>203097814.92013457</v>
      </c>
      <c r="X8" s="369">
        <v>253602163.74551889</v>
      </c>
      <c r="Y8" s="369">
        <v>5315978587.2299995</v>
      </c>
      <c r="Z8" s="369">
        <v>511057499.23000002</v>
      </c>
      <c r="AA8" s="369">
        <v>254941218</v>
      </c>
      <c r="AB8" s="370">
        <f t="shared" si="0"/>
        <v>2022087793.6399994</v>
      </c>
      <c r="AC8" s="370">
        <f t="shared" si="1"/>
        <v>338473321.43152201</v>
      </c>
      <c r="AD8" s="370">
        <f t="shared" si="2"/>
        <v>76623876.697169662</v>
      </c>
      <c r="AE8" s="370">
        <f t="shared" si="8"/>
        <v>14613874724.440001</v>
      </c>
      <c r="AF8" s="370">
        <f t="shared" si="3"/>
        <v>1303926991.497261</v>
      </c>
      <c r="AG8" s="370">
        <f t="shared" si="4"/>
        <v>702288946.65551889</v>
      </c>
      <c r="AH8" s="342">
        <f t="shared" si="5"/>
        <v>0.2052814914536758</v>
      </c>
      <c r="AI8" s="342">
        <f t="shared" si="6"/>
        <v>0.13728158862602113</v>
      </c>
      <c r="AJ8" s="371">
        <f t="shared" si="7"/>
        <v>0.2052814914536758</v>
      </c>
    </row>
    <row r="9" spans="1:37" x14ac:dyDescent="0.35">
      <c r="A9" s="343">
        <v>7</v>
      </c>
      <c r="B9" s="14"/>
      <c r="C9" s="14"/>
      <c r="D9" s="284" t="s">
        <v>55</v>
      </c>
      <c r="F9" t="s">
        <v>498</v>
      </c>
      <c r="G9">
        <v>60011</v>
      </c>
      <c r="H9" s="286" t="s">
        <v>216</v>
      </c>
      <c r="I9" t="s">
        <v>0</v>
      </c>
      <c r="J9" s="368">
        <v>1111888379</v>
      </c>
      <c r="K9" s="368">
        <v>37954050</v>
      </c>
      <c r="L9" s="368">
        <v>47045061</v>
      </c>
      <c r="M9" s="368">
        <v>1087320332.3299999</v>
      </c>
      <c r="N9" s="368">
        <v>-16187947.779999495</v>
      </c>
      <c r="O9" s="368">
        <v>51236262.819999993</v>
      </c>
      <c r="P9" s="368">
        <v>1219872350.9994001</v>
      </c>
      <c r="Q9" s="368">
        <v>-22710547.000599861</v>
      </c>
      <c r="R9" s="368">
        <v>60063859.219999999</v>
      </c>
      <c r="S9" s="369">
        <v>0</v>
      </c>
      <c r="T9" s="369">
        <v>0</v>
      </c>
      <c r="U9" s="369">
        <v>0</v>
      </c>
      <c r="V9" s="369">
        <v>0</v>
      </c>
      <c r="W9" s="369">
        <v>0</v>
      </c>
      <c r="X9" s="369">
        <v>0</v>
      </c>
      <c r="Y9" s="369">
        <v>0</v>
      </c>
      <c r="Z9" s="369">
        <v>0</v>
      </c>
      <c r="AA9" s="369">
        <v>0</v>
      </c>
      <c r="AB9" s="370">
        <f t="shared" si="0"/>
        <v>3419081062.3294001</v>
      </c>
      <c r="AC9" s="370">
        <f t="shared" si="1"/>
        <v>-944444.7805993557</v>
      </c>
      <c r="AD9" s="370">
        <f t="shared" si="2"/>
        <v>158345183.03999999</v>
      </c>
      <c r="AE9" s="370">
        <f t="shared" si="8"/>
        <v>0</v>
      </c>
      <c r="AF9" s="370">
        <f t="shared" si="3"/>
        <v>0</v>
      </c>
      <c r="AG9" s="370">
        <f t="shared" si="4"/>
        <v>0</v>
      </c>
      <c r="AH9" s="342">
        <f t="shared" si="5"/>
        <v>4.6035977325487691E-2</v>
      </c>
      <c r="AI9" s="342" t="str">
        <f t="shared" si="6"/>
        <v>NA</v>
      </c>
      <c r="AJ9" s="371">
        <f t="shared" si="7"/>
        <v>4.6035977325487691E-2</v>
      </c>
    </row>
    <row r="10" spans="1:37" x14ac:dyDescent="0.35">
      <c r="A10" s="343">
        <v>90</v>
      </c>
      <c r="B10" s="14"/>
      <c r="C10" s="14"/>
      <c r="D10" s="284" t="s">
        <v>57</v>
      </c>
      <c r="F10" t="s">
        <v>549</v>
      </c>
      <c r="G10">
        <v>60012</v>
      </c>
      <c r="H10" t="s">
        <v>223</v>
      </c>
      <c r="I10" t="s">
        <v>0</v>
      </c>
      <c r="J10" s="368">
        <v>129299354.54999962</v>
      </c>
      <c r="K10" s="368">
        <v>-9071285.3970003426</v>
      </c>
      <c r="L10" s="368">
        <v>9076992.0499999989</v>
      </c>
      <c r="M10" s="368">
        <v>137374196.10000002</v>
      </c>
      <c r="N10" s="368">
        <v>-5043636.7899999321</v>
      </c>
      <c r="O10" s="368">
        <v>9331805.7300000004</v>
      </c>
      <c r="P10" s="368">
        <v>141964400.22999999</v>
      </c>
      <c r="Q10" s="368">
        <v>-2387575.7700000107</v>
      </c>
      <c r="R10" s="368">
        <v>8294764.7300000004</v>
      </c>
      <c r="S10" s="369">
        <v>2199179997.5199981</v>
      </c>
      <c r="T10" s="369">
        <v>228635496.50274026</v>
      </c>
      <c r="U10" s="369">
        <v>122011455.96000002</v>
      </c>
      <c r="V10" s="369">
        <v>2373892346.1700001</v>
      </c>
      <c r="W10" s="369">
        <v>312336534.33000034</v>
      </c>
      <c r="X10" s="369">
        <v>130369316.09999999</v>
      </c>
      <c r="Y10" s="369">
        <v>2561469913.9053001</v>
      </c>
      <c r="Z10" s="369">
        <v>376557681.68529993</v>
      </c>
      <c r="AA10" s="369">
        <v>133102210.90000001</v>
      </c>
      <c r="AB10" s="370">
        <f t="shared" si="0"/>
        <v>408637950.87999964</v>
      </c>
      <c r="AC10" s="370">
        <f t="shared" si="1"/>
        <v>-16502497.957000285</v>
      </c>
      <c r="AD10" s="370">
        <f t="shared" si="2"/>
        <v>26703562.510000002</v>
      </c>
      <c r="AE10" s="370">
        <f t="shared" si="8"/>
        <v>7134542257.5952988</v>
      </c>
      <c r="AF10" s="370">
        <f t="shared" si="3"/>
        <v>917529712.51804042</v>
      </c>
      <c r="AG10" s="370">
        <f t="shared" si="4"/>
        <v>385482982.96000004</v>
      </c>
      <c r="AH10" s="342">
        <f t="shared" si="5"/>
        <v>2.4963576023792646E-2</v>
      </c>
      <c r="AI10" s="342">
        <f t="shared" si="6"/>
        <v>0.18263437911393374</v>
      </c>
      <c r="AJ10" s="371">
        <f t="shared" si="7"/>
        <v>0.18263437911393374</v>
      </c>
    </row>
    <row r="11" spans="1:37" x14ac:dyDescent="0.35">
      <c r="A11" s="343">
        <v>63</v>
      </c>
      <c r="B11" s="14"/>
      <c r="C11" s="14"/>
      <c r="D11" s="284" t="s">
        <v>59</v>
      </c>
      <c r="F11" t="s">
        <v>556</v>
      </c>
      <c r="G11">
        <v>60013</v>
      </c>
      <c r="H11" t="s">
        <v>223</v>
      </c>
      <c r="I11" t="s">
        <v>0</v>
      </c>
      <c r="J11" s="368">
        <v>246644683.28999966</v>
      </c>
      <c r="K11" s="368">
        <v>35567288.724999666</v>
      </c>
      <c r="L11" s="368">
        <v>7681848.54</v>
      </c>
      <c r="M11" s="368">
        <v>265666176.59999999</v>
      </c>
      <c r="N11" s="368">
        <v>46078635.460000098</v>
      </c>
      <c r="O11" s="368">
        <v>9828868.870000001</v>
      </c>
      <c r="P11" s="368">
        <v>284020488.75</v>
      </c>
      <c r="Q11" s="368">
        <v>59218609.460000008</v>
      </c>
      <c r="R11" s="368">
        <v>8782833.2100000009</v>
      </c>
      <c r="S11" s="369">
        <v>2199179997.5199981</v>
      </c>
      <c r="T11" s="369">
        <v>228635496.50274026</v>
      </c>
      <c r="U11" s="369">
        <v>122011455.96000002</v>
      </c>
      <c r="V11" s="369">
        <v>2373892346.1700001</v>
      </c>
      <c r="W11" s="369">
        <v>312336534.33000034</v>
      </c>
      <c r="X11" s="369">
        <v>130369316.09999999</v>
      </c>
      <c r="Y11" s="369">
        <v>2561469913.9053001</v>
      </c>
      <c r="Z11" s="369">
        <v>376557681.68529993</v>
      </c>
      <c r="AA11" s="369">
        <v>133102210.90000001</v>
      </c>
      <c r="AB11" s="370">
        <f t="shared" si="0"/>
        <v>796331348.63999963</v>
      </c>
      <c r="AC11" s="370">
        <f t="shared" si="1"/>
        <v>140864533.64499977</v>
      </c>
      <c r="AD11" s="370">
        <f t="shared" si="2"/>
        <v>26293550.620000001</v>
      </c>
      <c r="AE11" s="370">
        <f t="shared" si="8"/>
        <v>7134542257.5952988</v>
      </c>
      <c r="AF11" s="370">
        <f t="shared" si="3"/>
        <v>917529712.51804042</v>
      </c>
      <c r="AG11" s="370">
        <f t="shared" si="4"/>
        <v>385482982.96000004</v>
      </c>
      <c r="AH11" s="342">
        <f t="shared" si="5"/>
        <v>0.20991021457396816</v>
      </c>
      <c r="AI11" s="342">
        <f t="shared" si="6"/>
        <v>0.18263437911393374</v>
      </c>
      <c r="AJ11" s="371">
        <f t="shared" si="7"/>
        <v>0.20991021457396816</v>
      </c>
    </row>
    <row r="12" spans="1:37" x14ac:dyDescent="0.35">
      <c r="A12" s="343">
        <v>89</v>
      </c>
      <c r="B12" s="14"/>
      <c r="C12" s="14"/>
      <c r="D12" s="284" t="s">
        <v>61</v>
      </c>
      <c r="F12" t="s">
        <v>566</v>
      </c>
      <c r="G12">
        <v>60014</v>
      </c>
      <c r="H12" t="s">
        <v>221</v>
      </c>
      <c r="I12" t="s">
        <v>0</v>
      </c>
      <c r="J12" s="368">
        <v>639406000</v>
      </c>
      <c r="K12" s="368">
        <v>163838000</v>
      </c>
      <c r="L12" s="368">
        <v>32288000</v>
      </c>
      <c r="M12" s="368">
        <v>638776000</v>
      </c>
      <c r="N12" s="368">
        <v>158185000</v>
      </c>
      <c r="O12" s="368">
        <v>33101000</v>
      </c>
      <c r="P12" s="368">
        <v>653715000</v>
      </c>
      <c r="Q12" s="368">
        <v>159307000</v>
      </c>
      <c r="R12" s="368">
        <v>29999000</v>
      </c>
      <c r="S12" s="369">
        <v>2821544000</v>
      </c>
      <c r="T12" s="369">
        <v>643249000</v>
      </c>
      <c r="U12" s="369">
        <v>136515000</v>
      </c>
      <c r="V12" s="369">
        <v>2779062000</v>
      </c>
      <c r="W12" s="369">
        <v>577650000.00000024</v>
      </c>
      <c r="X12" s="369">
        <v>142320000</v>
      </c>
      <c r="Y12" s="369">
        <v>3022116000</v>
      </c>
      <c r="Z12" s="369">
        <v>641825000</v>
      </c>
      <c r="AA12" s="369">
        <v>147227000</v>
      </c>
      <c r="AB12" s="370">
        <f t="shared" si="0"/>
        <v>1931897000</v>
      </c>
      <c r="AC12" s="370">
        <f t="shared" si="1"/>
        <v>481330000</v>
      </c>
      <c r="AD12" s="370">
        <f t="shared" si="2"/>
        <v>95388000</v>
      </c>
      <c r="AE12" s="370">
        <f t="shared" si="8"/>
        <v>8622722000</v>
      </c>
      <c r="AF12" s="370">
        <f t="shared" si="3"/>
        <v>1862724000.0000002</v>
      </c>
      <c r="AG12" s="370">
        <f t="shared" si="4"/>
        <v>426062000</v>
      </c>
      <c r="AH12" s="342">
        <f t="shared" si="5"/>
        <v>0.29852419668336355</v>
      </c>
      <c r="AI12" s="342">
        <f t="shared" si="6"/>
        <v>0.26543659879096182</v>
      </c>
      <c r="AJ12" s="371">
        <f t="shared" si="7"/>
        <v>0.29852419668336355</v>
      </c>
    </row>
    <row r="13" spans="1:37" x14ac:dyDescent="0.35">
      <c r="A13" s="343">
        <v>86</v>
      </c>
      <c r="B13" s="14"/>
      <c r="C13" s="14"/>
      <c r="D13" s="284" t="s">
        <v>63</v>
      </c>
      <c r="F13" t="s">
        <v>551</v>
      </c>
      <c r="G13">
        <v>60015</v>
      </c>
      <c r="H13" t="s">
        <v>223</v>
      </c>
      <c r="I13" t="s">
        <v>0</v>
      </c>
      <c r="J13" s="368">
        <v>434670408.13999951</v>
      </c>
      <c r="K13" s="368">
        <v>43488760.036341727</v>
      </c>
      <c r="L13" s="368">
        <v>28225758.010000013</v>
      </c>
      <c r="M13" s="368">
        <v>440206021.37</v>
      </c>
      <c r="N13" s="368">
        <v>26947731.420000017</v>
      </c>
      <c r="O13" s="368">
        <v>29379680.18</v>
      </c>
      <c r="P13" s="368">
        <v>504796446.89999998</v>
      </c>
      <c r="Q13" s="368">
        <v>69456223.589999974</v>
      </c>
      <c r="R13" s="368">
        <v>21994005.25</v>
      </c>
      <c r="S13" s="369">
        <v>2199179997.5199981</v>
      </c>
      <c r="T13" s="369">
        <v>228635496.50274026</v>
      </c>
      <c r="U13" s="369">
        <v>122011455.96000002</v>
      </c>
      <c r="V13" s="369">
        <v>2373892346.1700001</v>
      </c>
      <c r="W13" s="369">
        <v>312336534.33000034</v>
      </c>
      <c r="X13" s="369">
        <v>130369316.09999999</v>
      </c>
      <c r="Y13" s="369">
        <v>2561469913.9053001</v>
      </c>
      <c r="Z13" s="369">
        <v>376557681.68529993</v>
      </c>
      <c r="AA13" s="369">
        <v>133102210.90000001</v>
      </c>
      <c r="AB13" s="370">
        <f t="shared" si="0"/>
        <v>1379672876.4099994</v>
      </c>
      <c r="AC13" s="370">
        <f t="shared" si="1"/>
        <v>139892715.04634172</v>
      </c>
      <c r="AD13" s="370">
        <f t="shared" si="2"/>
        <v>79599443.440000013</v>
      </c>
      <c r="AE13" s="370">
        <f t="shared" si="8"/>
        <v>7134542257.5952988</v>
      </c>
      <c r="AF13" s="370">
        <f t="shared" si="3"/>
        <v>917529712.51804042</v>
      </c>
      <c r="AG13" s="370">
        <f t="shared" si="4"/>
        <v>385482982.96000004</v>
      </c>
      <c r="AH13" s="342">
        <f t="shared" si="5"/>
        <v>0.15909000041913915</v>
      </c>
      <c r="AI13" s="342">
        <f t="shared" si="6"/>
        <v>0.18263437911393374</v>
      </c>
      <c r="AJ13" s="371">
        <f t="shared" si="7"/>
        <v>0.18263437911393374</v>
      </c>
    </row>
    <row r="14" spans="1:37" x14ac:dyDescent="0.35">
      <c r="A14" s="343">
        <v>70</v>
      </c>
      <c r="B14" s="14"/>
      <c r="C14" s="14"/>
      <c r="D14" s="284" t="s">
        <v>65</v>
      </c>
      <c r="F14" t="s">
        <v>3714</v>
      </c>
      <c r="G14">
        <v>60020</v>
      </c>
      <c r="H14" s="286" t="s">
        <v>216</v>
      </c>
      <c r="I14" t="s">
        <v>0</v>
      </c>
      <c r="J14" s="368">
        <v>410243986.46000057</v>
      </c>
      <c r="K14" s="368">
        <v>11514235.660000622</v>
      </c>
      <c r="L14" s="368">
        <v>16980000</v>
      </c>
      <c r="M14" s="368">
        <v>456368492.13000059</v>
      </c>
      <c r="N14" s="368">
        <v>-5151935.4999994636</v>
      </c>
      <c r="O14" s="368">
        <v>16857000</v>
      </c>
      <c r="P14" s="368">
        <v>522487278.68279999</v>
      </c>
      <c r="Q14" s="368">
        <v>28039949.572799981</v>
      </c>
      <c r="R14" s="368">
        <v>17106511.140000001</v>
      </c>
      <c r="S14" s="369">
        <v>0</v>
      </c>
      <c r="T14" s="369">
        <v>0</v>
      </c>
      <c r="U14" s="369">
        <v>0</v>
      </c>
      <c r="V14" s="369">
        <v>0</v>
      </c>
      <c r="W14" s="369">
        <v>0</v>
      </c>
      <c r="X14" s="369">
        <v>0</v>
      </c>
      <c r="Y14" s="369">
        <v>0</v>
      </c>
      <c r="Z14" s="369">
        <v>0</v>
      </c>
      <c r="AA14" s="369">
        <v>0</v>
      </c>
      <c r="AB14" s="370">
        <f t="shared" si="0"/>
        <v>1389099757.2728012</v>
      </c>
      <c r="AC14" s="370">
        <f t="shared" si="1"/>
        <v>34402249.732801139</v>
      </c>
      <c r="AD14" s="370">
        <f t="shared" si="2"/>
        <v>50943511.140000001</v>
      </c>
      <c r="AE14" s="370">
        <f t="shared" si="8"/>
        <v>0</v>
      </c>
      <c r="AF14" s="370">
        <f t="shared" si="3"/>
        <v>0</v>
      </c>
      <c r="AG14" s="370">
        <f t="shared" si="4"/>
        <v>0</v>
      </c>
      <c r="AH14" s="342">
        <f t="shared" si="5"/>
        <v>6.1439619743623886E-2</v>
      </c>
      <c r="AI14" s="342" t="str">
        <f t="shared" si="6"/>
        <v>NA</v>
      </c>
      <c r="AJ14" s="371">
        <f t="shared" si="7"/>
        <v>6.1439619743623886E-2</v>
      </c>
    </row>
    <row r="15" spans="1:37" x14ac:dyDescent="0.35">
      <c r="A15" s="343">
        <v>19</v>
      </c>
      <c r="B15" s="14"/>
      <c r="C15" s="14"/>
      <c r="D15" s="284" t="s">
        <v>67</v>
      </c>
      <c r="F15" t="s">
        <v>539</v>
      </c>
      <c r="G15">
        <v>60022</v>
      </c>
      <c r="H15" t="s">
        <v>218</v>
      </c>
      <c r="I15" t="s">
        <v>0</v>
      </c>
      <c r="J15" s="368">
        <v>929034227.86999965</v>
      </c>
      <c r="K15" s="368">
        <v>81369002.968451381</v>
      </c>
      <c r="L15" s="368">
        <v>38109810.160000004</v>
      </c>
      <c r="M15" s="368">
        <v>908307619.75</v>
      </c>
      <c r="N15" s="368">
        <v>31686357.630262613</v>
      </c>
      <c r="O15" s="368">
        <v>44861196.705581889</v>
      </c>
      <c r="P15" s="368">
        <v>1007804184</v>
      </c>
      <c r="Q15" s="368">
        <v>83554368</v>
      </c>
      <c r="R15" s="368">
        <v>44255488</v>
      </c>
      <c r="S15" s="369">
        <v>4613796407.9000015</v>
      </c>
      <c r="T15" s="369">
        <v>589771677.34712648</v>
      </c>
      <c r="U15" s="369">
        <v>193745564.91000003</v>
      </c>
      <c r="V15" s="369">
        <v>4684099729.3099995</v>
      </c>
      <c r="W15" s="369">
        <v>203097814.92013457</v>
      </c>
      <c r="X15" s="369">
        <v>253602163.74551889</v>
      </c>
      <c r="Y15" s="369">
        <v>5315978587.2299995</v>
      </c>
      <c r="Z15" s="369">
        <v>511057499.23000002</v>
      </c>
      <c r="AA15" s="369">
        <v>254941218</v>
      </c>
      <c r="AB15" s="370">
        <f t="shared" si="0"/>
        <v>2845146031.6199999</v>
      </c>
      <c r="AC15" s="370">
        <f t="shared" si="1"/>
        <v>196609728.59871399</v>
      </c>
      <c r="AD15" s="370">
        <f t="shared" si="2"/>
        <v>127226494.8655819</v>
      </c>
      <c r="AE15" s="370">
        <f t="shared" si="8"/>
        <v>14613874724.440001</v>
      </c>
      <c r="AF15" s="370">
        <f t="shared" si="3"/>
        <v>1303926991.497261</v>
      </c>
      <c r="AG15" s="370">
        <f t="shared" si="4"/>
        <v>702288946.65551889</v>
      </c>
      <c r="AH15" s="342">
        <f t="shared" si="5"/>
        <v>0.11382059826289707</v>
      </c>
      <c r="AI15" s="342">
        <f t="shared" si="6"/>
        <v>0.13728158862602113</v>
      </c>
      <c r="AJ15" s="371">
        <f t="shared" si="7"/>
        <v>0.13728158862602113</v>
      </c>
    </row>
    <row r="16" spans="1:37" x14ac:dyDescent="0.35">
      <c r="A16" s="343">
        <v>91</v>
      </c>
      <c r="B16" s="14"/>
      <c r="C16" s="14"/>
      <c r="D16" s="284" t="s">
        <v>69</v>
      </c>
      <c r="F16" t="s">
        <v>530</v>
      </c>
      <c r="G16">
        <v>60023</v>
      </c>
      <c r="H16" t="s">
        <v>220</v>
      </c>
      <c r="I16" t="s">
        <v>0</v>
      </c>
      <c r="J16" s="368">
        <v>416160466</v>
      </c>
      <c r="K16" s="368">
        <v>19693074.250000119</v>
      </c>
      <c r="L16" s="368">
        <v>27949376</v>
      </c>
      <c r="M16" s="368">
        <v>451900161</v>
      </c>
      <c r="N16" s="368">
        <v>23024399</v>
      </c>
      <c r="O16" s="368">
        <v>27870160</v>
      </c>
      <c r="P16" s="368">
        <v>503293950.63</v>
      </c>
      <c r="Q16" s="368">
        <v>48832403.019999981</v>
      </c>
      <c r="R16" s="368">
        <v>27081539.969999999</v>
      </c>
      <c r="S16" s="369">
        <v>1769628788.1477969</v>
      </c>
      <c r="T16" s="369">
        <v>92714203.777797177</v>
      </c>
      <c r="U16" s="369">
        <v>108367664</v>
      </c>
      <c r="V16" s="369">
        <v>1881410619.21</v>
      </c>
      <c r="W16" s="369">
        <v>75225266.209999979</v>
      </c>
      <c r="X16" s="369">
        <v>110161478</v>
      </c>
      <c r="Y16" s="369">
        <v>2071300143.8400002</v>
      </c>
      <c r="Z16" s="369">
        <v>66839712.039999962</v>
      </c>
      <c r="AA16" s="369">
        <v>226924874.51000002</v>
      </c>
      <c r="AB16" s="370">
        <f t="shared" si="0"/>
        <v>1371354577.6300001</v>
      </c>
      <c r="AC16" s="370">
        <f t="shared" si="1"/>
        <v>91549876.2700001</v>
      </c>
      <c r="AD16" s="370">
        <f t="shared" si="2"/>
        <v>82901075.969999999</v>
      </c>
      <c r="AE16" s="370">
        <f t="shared" si="8"/>
        <v>5722339551.1977968</v>
      </c>
      <c r="AF16" s="370">
        <f t="shared" si="3"/>
        <v>234779182.0277971</v>
      </c>
      <c r="AG16" s="370">
        <f t="shared" si="4"/>
        <v>445454016.50999999</v>
      </c>
      <c r="AH16" s="342">
        <f t="shared" si="5"/>
        <v>0.12721068284286433</v>
      </c>
      <c r="AI16" s="342">
        <f t="shared" si="6"/>
        <v>0.11887326721033377</v>
      </c>
      <c r="AJ16" s="371">
        <f t="shared" si="7"/>
        <v>0.12721068284286433</v>
      </c>
    </row>
    <row r="17" spans="1:37" x14ac:dyDescent="0.35">
      <c r="A17" s="343">
        <v>3</v>
      </c>
      <c r="B17" s="14"/>
      <c r="C17" s="14"/>
      <c r="D17" s="284" t="s">
        <v>71</v>
      </c>
      <c r="F17" t="s">
        <v>499</v>
      </c>
      <c r="G17">
        <v>60024</v>
      </c>
      <c r="H17" t="s">
        <v>218</v>
      </c>
      <c r="I17" t="s">
        <v>0</v>
      </c>
      <c r="J17" s="368">
        <v>2143812761.2900019</v>
      </c>
      <c r="K17" s="368">
        <v>331655901.27073383</v>
      </c>
      <c r="L17" s="368">
        <v>77840875.910000011</v>
      </c>
      <c r="M17" s="368">
        <v>2101510183.0899992</v>
      </c>
      <c r="N17" s="368">
        <v>193267576.36172509</v>
      </c>
      <c r="O17" s="368">
        <v>78202423.743921936</v>
      </c>
      <c r="P17" s="368">
        <v>2366823263.23</v>
      </c>
      <c r="Q17" s="368">
        <v>286443963.23000002</v>
      </c>
      <c r="R17" s="368">
        <v>77222861</v>
      </c>
      <c r="S17" s="369">
        <v>4613796407.9000015</v>
      </c>
      <c r="T17" s="369">
        <v>589771677.34712648</v>
      </c>
      <c r="U17" s="369">
        <v>193745564.91000003</v>
      </c>
      <c r="V17" s="369">
        <v>4684099729.3099995</v>
      </c>
      <c r="W17" s="369">
        <v>203097814.92013457</v>
      </c>
      <c r="X17" s="369">
        <v>253602163.74551889</v>
      </c>
      <c r="Y17" s="369">
        <v>5315978587.2299995</v>
      </c>
      <c r="Z17" s="369">
        <v>511057499.23000002</v>
      </c>
      <c r="AA17" s="369">
        <v>254941218</v>
      </c>
      <c r="AB17" s="370">
        <f t="shared" si="0"/>
        <v>6612146207.6100006</v>
      </c>
      <c r="AC17" s="370">
        <f t="shared" si="1"/>
        <v>811367440.86245894</v>
      </c>
      <c r="AD17" s="370">
        <f t="shared" si="2"/>
        <v>233266160.65392196</v>
      </c>
      <c r="AE17" s="370">
        <f t="shared" si="8"/>
        <v>14613874724.440001</v>
      </c>
      <c r="AF17" s="370">
        <f t="shared" si="3"/>
        <v>1303926991.497261</v>
      </c>
      <c r="AG17" s="370">
        <f t="shared" si="4"/>
        <v>702288946.65551889</v>
      </c>
      <c r="AH17" s="342">
        <f t="shared" si="5"/>
        <v>0.15798706935943116</v>
      </c>
      <c r="AI17" s="342">
        <f t="shared" si="6"/>
        <v>0.13728158862602113</v>
      </c>
      <c r="AJ17" s="371">
        <f t="shared" si="7"/>
        <v>0.15798706935943116</v>
      </c>
    </row>
    <row r="18" spans="1:37" s="9" customFormat="1" x14ac:dyDescent="0.35">
      <c r="A18" s="543">
        <v>38</v>
      </c>
      <c r="B18" s="45"/>
      <c r="C18" s="45"/>
      <c r="D18" s="587" t="s">
        <v>73</v>
      </c>
      <c r="E18" s="142"/>
      <c r="F18" s="9" t="s">
        <v>3709</v>
      </c>
      <c r="G18" s="9">
        <v>60027</v>
      </c>
      <c r="H18" s="593" t="s">
        <v>216</v>
      </c>
      <c r="I18" s="9" t="s">
        <v>0</v>
      </c>
      <c r="J18" s="588">
        <v>367692141</v>
      </c>
      <c r="K18" s="588">
        <v>-1660162</v>
      </c>
      <c r="L18" s="588">
        <v>21462488</v>
      </c>
      <c r="M18" s="588">
        <v>354827171</v>
      </c>
      <c r="N18" s="588">
        <v>-6896961</v>
      </c>
      <c r="O18" s="588">
        <v>19998990</v>
      </c>
      <c r="P18" s="588">
        <v>407059214</v>
      </c>
      <c r="Q18" s="588">
        <v>7578259</v>
      </c>
      <c r="R18" s="588">
        <v>19707550</v>
      </c>
      <c r="S18" s="589">
        <v>0</v>
      </c>
      <c r="T18" s="589">
        <v>0</v>
      </c>
      <c r="U18" s="589">
        <v>0</v>
      </c>
      <c r="V18" s="589">
        <v>0</v>
      </c>
      <c r="W18" s="589">
        <v>0</v>
      </c>
      <c r="X18" s="589">
        <v>0</v>
      </c>
      <c r="Y18" s="589">
        <v>0</v>
      </c>
      <c r="Z18" s="589">
        <v>0</v>
      </c>
      <c r="AA18" s="589">
        <v>0</v>
      </c>
      <c r="AB18" s="590">
        <f t="shared" si="0"/>
        <v>1129578526</v>
      </c>
      <c r="AC18" s="590">
        <f t="shared" si="1"/>
        <v>-978864</v>
      </c>
      <c r="AD18" s="590">
        <f t="shared" si="2"/>
        <v>61169028</v>
      </c>
      <c r="AE18" s="590">
        <f t="shared" si="8"/>
        <v>0</v>
      </c>
      <c r="AF18" s="590">
        <f t="shared" si="3"/>
        <v>0</v>
      </c>
      <c r="AG18" s="590">
        <f t="shared" si="4"/>
        <v>0</v>
      </c>
      <c r="AH18" s="591">
        <f t="shared" si="5"/>
        <v>5.3285506597883038E-2</v>
      </c>
      <c r="AI18" s="591" t="str">
        <f t="shared" si="6"/>
        <v>NA</v>
      </c>
      <c r="AJ18" s="592">
        <f t="shared" si="7"/>
        <v>5.3285506597883038E-2</v>
      </c>
    </row>
    <row r="19" spans="1:37" s="9" customFormat="1" x14ac:dyDescent="0.35">
      <c r="A19" s="543">
        <v>43</v>
      </c>
      <c r="B19" s="45"/>
      <c r="C19" s="45"/>
      <c r="D19" s="587" t="s">
        <v>75</v>
      </c>
      <c r="E19" s="142"/>
      <c r="F19" s="9" t="s">
        <v>532</v>
      </c>
      <c r="G19" s="9">
        <v>60028</v>
      </c>
      <c r="H19" s="9" t="s">
        <v>220</v>
      </c>
      <c r="I19" s="9" t="s">
        <v>0</v>
      </c>
      <c r="J19" s="588">
        <v>571488815.13814926</v>
      </c>
      <c r="K19" s="588">
        <v>43472112.398149431</v>
      </c>
      <c r="L19" s="588">
        <v>38057403</v>
      </c>
      <c r="M19" s="588">
        <v>598529948</v>
      </c>
      <c r="N19" s="588">
        <v>31794412</v>
      </c>
      <c r="O19" s="588">
        <v>37309543</v>
      </c>
      <c r="P19" s="588">
        <v>639522083.19000006</v>
      </c>
      <c r="Q19" s="588">
        <v>68194634.350000024</v>
      </c>
      <c r="R19" s="588">
        <v>36505851.5</v>
      </c>
      <c r="S19" s="589">
        <v>1769628788.1477969</v>
      </c>
      <c r="T19" s="589">
        <v>92714203.777797177</v>
      </c>
      <c r="U19" s="589">
        <v>108367664</v>
      </c>
      <c r="V19" s="589">
        <v>1881410619.21</v>
      </c>
      <c r="W19" s="589">
        <v>75225266.209999979</v>
      </c>
      <c r="X19" s="589">
        <v>110161478</v>
      </c>
      <c r="Y19" s="589">
        <v>2071300143.8400002</v>
      </c>
      <c r="Z19" s="589">
        <v>66839712.039999962</v>
      </c>
      <c r="AA19" s="589">
        <v>226924874.51000002</v>
      </c>
      <c r="AB19" s="590">
        <f t="shared" si="0"/>
        <v>1809540846.3281493</v>
      </c>
      <c r="AC19" s="590">
        <f t="shared" si="1"/>
        <v>143461158.74814945</v>
      </c>
      <c r="AD19" s="590">
        <f t="shared" si="2"/>
        <v>111872797.5</v>
      </c>
      <c r="AE19" s="590">
        <f t="shared" si="8"/>
        <v>5722339551.1977968</v>
      </c>
      <c r="AF19" s="590">
        <f t="shared" si="3"/>
        <v>234779182.0277971</v>
      </c>
      <c r="AG19" s="590">
        <f t="shared" si="4"/>
        <v>445454016.50999999</v>
      </c>
      <c r="AH19" s="591">
        <f t="shared" si="5"/>
        <v>0.14110427889277177</v>
      </c>
      <c r="AI19" s="591">
        <f t="shared" si="6"/>
        <v>0.11887326721033377</v>
      </c>
      <c r="AJ19" s="592">
        <f t="shared" si="7"/>
        <v>0.14110427889277177</v>
      </c>
    </row>
    <row r="20" spans="1:37" x14ac:dyDescent="0.35">
      <c r="A20" s="343">
        <v>61</v>
      </c>
      <c r="B20" s="14"/>
      <c r="C20" s="14"/>
      <c r="D20" s="284" t="s">
        <v>77</v>
      </c>
      <c r="F20" t="s">
        <v>554</v>
      </c>
      <c r="G20">
        <v>60030</v>
      </c>
      <c r="H20" t="s">
        <v>217</v>
      </c>
      <c r="I20" t="s">
        <v>0</v>
      </c>
      <c r="J20" s="368">
        <v>140314770</v>
      </c>
      <c r="K20" s="368">
        <v>18031266</v>
      </c>
      <c r="L20" s="368">
        <v>8693014</v>
      </c>
      <c r="M20" s="368">
        <v>141410654.37999997</v>
      </c>
      <c r="N20" s="368">
        <v>16549321.379999965</v>
      </c>
      <c r="O20" s="368">
        <v>8342401</v>
      </c>
      <c r="P20" s="368">
        <v>135902091</v>
      </c>
      <c r="Q20" s="368">
        <v>-3384173</v>
      </c>
      <c r="R20" s="368">
        <v>8695006</v>
      </c>
      <c r="S20" s="369">
        <v>668114719</v>
      </c>
      <c r="T20" s="369">
        <v>64789644</v>
      </c>
      <c r="U20" s="369">
        <v>26538354</v>
      </c>
      <c r="V20" s="369">
        <v>633585942.56699991</v>
      </c>
      <c r="W20" s="369">
        <v>42937294.14700003</v>
      </c>
      <c r="X20" s="369">
        <v>46894465</v>
      </c>
      <c r="Y20" s="369">
        <v>639354872.58999991</v>
      </c>
      <c r="Z20" s="369">
        <v>-10443748.409999996</v>
      </c>
      <c r="AA20" s="369">
        <v>44320700</v>
      </c>
      <c r="AB20" s="370">
        <f t="shared" si="0"/>
        <v>417627515.38</v>
      </c>
      <c r="AC20" s="370">
        <f t="shared" si="1"/>
        <v>31196414.379999965</v>
      </c>
      <c r="AD20" s="370">
        <f t="shared" si="2"/>
        <v>25730421</v>
      </c>
      <c r="AE20" s="370">
        <f t="shared" si="8"/>
        <v>1941055534.1569998</v>
      </c>
      <c r="AF20" s="370">
        <f t="shared" si="3"/>
        <v>97283189.737000033</v>
      </c>
      <c r="AG20" s="370">
        <f t="shared" si="4"/>
        <v>117753519</v>
      </c>
      <c r="AH20" s="342">
        <f t="shared" si="5"/>
        <v>0.1363100688617275</v>
      </c>
      <c r="AI20" s="342">
        <f t="shared" si="6"/>
        <v>0.11078338818904038</v>
      </c>
      <c r="AJ20" s="371">
        <f t="shared" si="7"/>
        <v>0.1363100688617275</v>
      </c>
    </row>
    <row r="21" spans="1:37" x14ac:dyDescent="0.35">
      <c r="A21" s="343">
        <v>72</v>
      </c>
      <c r="B21" s="14"/>
      <c r="C21" s="14"/>
      <c r="D21" s="284" t="s">
        <v>79</v>
      </c>
      <c r="F21" t="s">
        <v>550</v>
      </c>
      <c r="G21">
        <v>60031</v>
      </c>
      <c r="H21" t="s">
        <v>223</v>
      </c>
      <c r="I21" t="s">
        <v>0</v>
      </c>
      <c r="J21" s="368">
        <v>738995417.70999968</v>
      </c>
      <c r="K21" s="368">
        <v>70020573.854999542</v>
      </c>
      <c r="L21" s="368">
        <v>33179068.87000002</v>
      </c>
      <c r="M21" s="368">
        <v>833936622.56999981</v>
      </c>
      <c r="N21" s="368">
        <v>112336758.99000025</v>
      </c>
      <c r="O21" s="368">
        <v>37370289.359999999</v>
      </c>
      <c r="P21" s="368">
        <v>878838239.58999991</v>
      </c>
      <c r="Q21" s="368">
        <v>93499654.709999919</v>
      </c>
      <c r="R21" s="368">
        <v>46044079.310000002</v>
      </c>
      <c r="S21" s="369">
        <v>2199179997.5199981</v>
      </c>
      <c r="T21" s="369">
        <v>228635496.50274026</v>
      </c>
      <c r="U21" s="369">
        <v>122011455.96000002</v>
      </c>
      <c r="V21" s="369">
        <v>2373892346.1700001</v>
      </c>
      <c r="W21" s="369">
        <v>312336534.33000034</v>
      </c>
      <c r="X21" s="369">
        <v>130369316.09999999</v>
      </c>
      <c r="Y21" s="369">
        <v>2561469913.9053001</v>
      </c>
      <c r="Z21" s="369">
        <v>376557681.68529993</v>
      </c>
      <c r="AA21" s="369">
        <v>133102210.90000001</v>
      </c>
      <c r="AB21" s="370">
        <f t="shared" si="0"/>
        <v>2451770279.8699994</v>
      </c>
      <c r="AC21" s="370">
        <f t="shared" si="1"/>
        <v>275856987.55499971</v>
      </c>
      <c r="AD21" s="370">
        <f t="shared" si="2"/>
        <v>116593437.54000002</v>
      </c>
      <c r="AE21" s="370">
        <f t="shared" si="8"/>
        <v>7134542257.5952988</v>
      </c>
      <c r="AF21" s="370">
        <f t="shared" si="3"/>
        <v>917529712.51804042</v>
      </c>
      <c r="AG21" s="370">
        <f t="shared" si="4"/>
        <v>385482982.96000004</v>
      </c>
      <c r="AH21" s="342">
        <f t="shared" si="5"/>
        <v>0.160068187593745</v>
      </c>
      <c r="AI21" s="342">
        <f t="shared" si="6"/>
        <v>0.18263437911393374</v>
      </c>
      <c r="AJ21" s="371">
        <f t="shared" si="7"/>
        <v>0.18263437911393374</v>
      </c>
    </row>
    <row r="22" spans="1:37" x14ac:dyDescent="0.35">
      <c r="A22" s="343">
        <v>79</v>
      </c>
      <c r="B22" s="14"/>
      <c r="C22" s="14"/>
      <c r="D22" s="284" t="s">
        <v>81</v>
      </c>
      <c r="F22" t="s">
        <v>562</v>
      </c>
      <c r="G22">
        <v>60032</v>
      </c>
      <c r="H22" t="s">
        <v>221</v>
      </c>
      <c r="I22" t="s">
        <v>0</v>
      </c>
      <c r="J22" s="368">
        <v>358105000</v>
      </c>
      <c r="K22" s="368">
        <v>76975000</v>
      </c>
      <c r="L22" s="368">
        <v>20317000</v>
      </c>
      <c r="M22" s="368">
        <v>345685000</v>
      </c>
      <c r="N22" s="368">
        <v>62669000</v>
      </c>
      <c r="O22" s="368">
        <v>20210000</v>
      </c>
      <c r="P22" s="368">
        <v>377062000</v>
      </c>
      <c r="Q22" s="368">
        <v>73155000</v>
      </c>
      <c r="R22" s="368">
        <v>21922000</v>
      </c>
      <c r="S22" s="369">
        <v>2821544000</v>
      </c>
      <c r="T22" s="369">
        <v>643249000</v>
      </c>
      <c r="U22" s="369">
        <v>136515000</v>
      </c>
      <c r="V22" s="369">
        <v>2779062000</v>
      </c>
      <c r="W22" s="369">
        <v>577650000.00000024</v>
      </c>
      <c r="X22" s="369">
        <v>142320000</v>
      </c>
      <c r="Y22" s="369">
        <v>3022116000</v>
      </c>
      <c r="Z22" s="369">
        <v>641825000</v>
      </c>
      <c r="AA22" s="369">
        <v>147227000</v>
      </c>
      <c r="AB22" s="370">
        <f t="shared" si="0"/>
        <v>1080852000</v>
      </c>
      <c r="AC22" s="370">
        <f t="shared" si="1"/>
        <v>212799000</v>
      </c>
      <c r="AD22" s="370">
        <f t="shared" si="2"/>
        <v>62449000</v>
      </c>
      <c r="AE22" s="370">
        <f t="shared" si="8"/>
        <v>8622722000</v>
      </c>
      <c r="AF22" s="370">
        <f t="shared" si="3"/>
        <v>1862724000.0000002</v>
      </c>
      <c r="AG22" s="370">
        <f t="shared" si="4"/>
        <v>426062000</v>
      </c>
      <c r="AH22" s="342">
        <f t="shared" si="5"/>
        <v>0.25465836210693044</v>
      </c>
      <c r="AI22" s="342">
        <f t="shared" si="6"/>
        <v>0.26543659879096182</v>
      </c>
      <c r="AJ22" s="371">
        <f t="shared" si="7"/>
        <v>0.26543659879096182</v>
      </c>
    </row>
    <row r="23" spans="1:37" x14ac:dyDescent="0.35">
      <c r="A23" s="343">
        <v>93</v>
      </c>
      <c r="B23" s="14"/>
      <c r="C23" s="14"/>
      <c r="D23" s="284" t="s">
        <v>83</v>
      </c>
      <c r="F23" t="s">
        <v>565</v>
      </c>
      <c r="G23">
        <v>60034</v>
      </c>
      <c r="H23" t="s">
        <v>221</v>
      </c>
      <c r="I23" t="s">
        <v>0</v>
      </c>
      <c r="J23" s="368">
        <v>667235000</v>
      </c>
      <c r="K23" s="368">
        <v>161989000</v>
      </c>
      <c r="L23" s="368">
        <v>34033000</v>
      </c>
      <c r="M23" s="368">
        <v>650724000</v>
      </c>
      <c r="N23" s="368">
        <v>146448000</v>
      </c>
      <c r="O23" s="368">
        <v>36876000</v>
      </c>
      <c r="P23" s="368">
        <v>722643000</v>
      </c>
      <c r="Q23" s="368">
        <v>169680000</v>
      </c>
      <c r="R23" s="368">
        <v>38728000</v>
      </c>
      <c r="S23" s="369">
        <v>2821544000</v>
      </c>
      <c r="T23" s="369">
        <v>643249000</v>
      </c>
      <c r="U23" s="369">
        <v>136515000</v>
      </c>
      <c r="V23" s="369">
        <v>2779062000</v>
      </c>
      <c r="W23" s="369">
        <v>577650000.00000024</v>
      </c>
      <c r="X23" s="369">
        <v>142320000</v>
      </c>
      <c r="Y23" s="369">
        <v>3022116000</v>
      </c>
      <c r="Z23" s="369">
        <v>641825000</v>
      </c>
      <c r="AA23" s="369">
        <v>147227000</v>
      </c>
      <c r="AB23" s="370">
        <f t="shared" si="0"/>
        <v>2040602000</v>
      </c>
      <c r="AC23" s="370">
        <f t="shared" si="1"/>
        <v>478117000</v>
      </c>
      <c r="AD23" s="370">
        <f t="shared" si="2"/>
        <v>109637000</v>
      </c>
      <c r="AE23" s="370">
        <f t="shared" si="8"/>
        <v>8622722000</v>
      </c>
      <c r="AF23" s="370">
        <f t="shared" si="3"/>
        <v>1862724000.0000002</v>
      </c>
      <c r="AG23" s="370">
        <f t="shared" si="4"/>
        <v>426062000</v>
      </c>
      <c r="AH23" s="342">
        <f t="shared" si="5"/>
        <v>0.2880297088800266</v>
      </c>
      <c r="AI23" s="342">
        <f t="shared" si="6"/>
        <v>0.26543659879096182</v>
      </c>
      <c r="AJ23" s="371">
        <f t="shared" si="7"/>
        <v>0.2880297088800266</v>
      </c>
    </row>
    <row r="24" spans="1:37" x14ac:dyDescent="0.35">
      <c r="A24" s="344">
        <v>44</v>
      </c>
      <c r="B24" s="149"/>
      <c r="C24" s="149"/>
      <c r="D24" s="388" t="s">
        <v>85</v>
      </c>
      <c r="E24" s="164"/>
      <c r="F24" s="145" t="s">
        <v>560</v>
      </c>
      <c r="G24" s="145">
        <v>60044</v>
      </c>
      <c r="H24" s="145" t="s">
        <v>3726</v>
      </c>
      <c r="I24" s="145" t="s">
        <v>0</v>
      </c>
      <c r="J24" s="389">
        <v>42391729</v>
      </c>
      <c r="K24" s="389">
        <v>6849226</v>
      </c>
      <c r="L24" s="389">
        <v>0</v>
      </c>
      <c r="M24" s="368">
        <v>39532312</v>
      </c>
      <c r="N24" s="368">
        <v>10863131.199999999</v>
      </c>
      <c r="O24" s="373">
        <v>0</v>
      </c>
      <c r="P24" s="373">
        <v>0</v>
      </c>
      <c r="Q24" s="373">
        <v>0</v>
      </c>
      <c r="R24" s="373">
        <v>0</v>
      </c>
      <c r="S24" s="369">
        <v>42391729</v>
      </c>
      <c r="T24" s="369">
        <v>6849226</v>
      </c>
      <c r="U24" s="369">
        <v>0</v>
      </c>
      <c r="V24" s="369">
        <v>39532312</v>
      </c>
      <c r="W24" s="369">
        <v>10863131.199999999</v>
      </c>
      <c r="X24" s="369">
        <v>0</v>
      </c>
      <c r="Y24" s="392">
        <v>0</v>
      </c>
      <c r="Z24" s="392">
        <v>0</v>
      </c>
      <c r="AA24" s="392">
        <v>0</v>
      </c>
      <c r="AB24" s="370">
        <f t="shared" si="0"/>
        <v>81924041</v>
      </c>
      <c r="AC24" s="370">
        <f t="shared" si="1"/>
        <v>17712357.199999999</v>
      </c>
      <c r="AD24" s="370">
        <f t="shared" si="2"/>
        <v>0</v>
      </c>
      <c r="AE24" s="370">
        <f t="shared" si="8"/>
        <v>81924041</v>
      </c>
      <c r="AF24" s="370">
        <f t="shared" si="3"/>
        <v>17712357.199999999</v>
      </c>
      <c r="AG24" s="370">
        <f t="shared" si="4"/>
        <v>0</v>
      </c>
      <c r="AH24" s="394">
        <f t="shared" si="5"/>
        <v>0.21620463277684263</v>
      </c>
      <c r="AI24" s="394">
        <f t="shared" si="6"/>
        <v>0.21620463277684263</v>
      </c>
      <c r="AJ24" s="395">
        <f t="shared" si="7"/>
        <v>0.21620463277684263</v>
      </c>
      <c r="AK24" s="162" t="s">
        <v>3722</v>
      </c>
    </row>
    <row r="25" spans="1:37" x14ac:dyDescent="0.35">
      <c r="A25" s="343">
        <v>99</v>
      </c>
      <c r="B25" s="14"/>
      <c r="C25" s="14"/>
      <c r="D25" s="284" t="s">
        <v>87</v>
      </c>
      <c r="F25" t="s">
        <v>540</v>
      </c>
      <c r="G25">
        <v>60049</v>
      </c>
      <c r="H25" t="s">
        <v>218</v>
      </c>
      <c r="I25" t="s">
        <v>0</v>
      </c>
      <c r="J25" s="368">
        <v>105419669.85000002</v>
      </c>
      <c r="K25" s="368">
        <v>2595411.2426935285</v>
      </c>
      <c r="L25" s="368">
        <v>8170262.2599999998</v>
      </c>
      <c r="M25" s="368">
        <v>105892861.25</v>
      </c>
      <c r="N25" s="368">
        <v>3391109.4747970104</v>
      </c>
      <c r="O25" s="368">
        <v>8032601.6866290756</v>
      </c>
      <c r="P25" s="368">
        <v>116772654</v>
      </c>
      <c r="Q25" s="368">
        <v>13106097</v>
      </c>
      <c r="R25" s="368">
        <v>8129872</v>
      </c>
      <c r="S25" s="369">
        <v>4613796407.9000015</v>
      </c>
      <c r="T25" s="369">
        <v>589771677.34712648</v>
      </c>
      <c r="U25" s="369">
        <v>193745564.91000003</v>
      </c>
      <c r="V25" s="369">
        <v>4684099729.3099995</v>
      </c>
      <c r="W25" s="369">
        <v>203097814.92013457</v>
      </c>
      <c r="X25" s="369">
        <v>253602163.74551889</v>
      </c>
      <c r="Y25" s="369">
        <v>5315978587.2299995</v>
      </c>
      <c r="Z25" s="369">
        <v>511057499.23000002</v>
      </c>
      <c r="AA25" s="369">
        <v>254941218</v>
      </c>
      <c r="AB25" s="370">
        <f t="shared" si="0"/>
        <v>328085185.10000002</v>
      </c>
      <c r="AC25" s="370">
        <f t="shared" si="1"/>
        <v>19092617.717490539</v>
      </c>
      <c r="AD25" s="370">
        <f t="shared" si="2"/>
        <v>24332735.946629077</v>
      </c>
      <c r="AE25" s="370">
        <f t="shared" si="8"/>
        <v>14613874724.440001</v>
      </c>
      <c r="AF25" s="370">
        <f t="shared" si="3"/>
        <v>1303926991.497261</v>
      </c>
      <c r="AG25" s="370">
        <f t="shared" si="4"/>
        <v>702288946.65551889</v>
      </c>
      <c r="AH25" s="342">
        <f t="shared" si="5"/>
        <v>0.1323599956239524</v>
      </c>
      <c r="AI25" s="342">
        <f t="shared" si="6"/>
        <v>0.13728158862602113</v>
      </c>
      <c r="AJ25" s="371">
        <f t="shared" si="7"/>
        <v>0.13728158862602113</v>
      </c>
    </row>
    <row r="26" spans="1:37" x14ac:dyDescent="0.35">
      <c r="A26" s="343">
        <v>45</v>
      </c>
      <c r="B26" s="14"/>
      <c r="C26" s="14"/>
      <c r="D26" s="284" t="s">
        <v>89</v>
      </c>
      <c r="F26" t="s">
        <v>3710</v>
      </c>
      <c r="G26">
        <v>60054</v>
      </c>
      <c r="H26" s="286" t="s">
        <v>216</v>
      </c>
      <c r="I26" t="s">
        <v>0</v>
      </c>
      <c r="J26" s="368">
        <v>180944797</v>
      </c>
      <c r="K26" s="368">
        <v>12949808.530000001</v>
      </c>
      <c r="L26" s="368">
        <v>5841519</v>
      </c>
      <c r="M26" s="368">
        <v>207530277.05000013</v>
      </c>
      <c r="N26" s="368">
        <v>29345669.050000131</v>
      </c>
      <c r="O26" s="368">
        <v>5571091</v>
      </c>
      <c r="P26" s="368">
        <v>215650798</v>
      </c>
      <c r="Q26" s="368">
        <v>15527465</v>
      </c>
      <c r="R26" s="368">
        <v>6436472</v>
      </c>
      <c r="S26" s="369">
        <v>0</v>
      </c>
      <c r="T26" s="369">
        <v>0</v>
      </c>
      <c r="U26" s="369">
        <v>0</v>
      </c>
      <c r="V26" s="369">
        <v>0</v>
      </c>
      <c r="W26" s="369">
        <v>0</v>
      </c>
      <c r="X26" s="369">
        <v>0</v>
      </c>
      <c r="Y26" s="369">
        <v>0</v>
      </c>
      <c r="Z26" s="369">
        <v>0</v>
      </c>
      <c r="AA26" s="369">
        <v>0</v>
      </c>
      <c r="AB26" s="370">
        <f t="shared" si="0"/>
        <v>604125872.05000019</v>
      </c>
      <c r="AC26" s="370">
        <f t="shared" si="1"/>
        <v>57822942.580000132</v>
      </c>
      <c r="AD26" s="370">
        <f t="shared" si="2"/>
        <v>17849082</v>
      </c>
      <c r="AE26" s="370">
        <f t="shared" si="8"/>
        <v>0</v>
      </c>
      <c r="AF26" s="370">
        <f t="shared" si="3"/>
        <v>0</v>
      </c>
      <c r="AG26" s="370">
        <f t="shared" si="4"/>
        <v>0</v>
      </c>
      <c r="AH26" s="342">
        <f t="shared" si="5"/>
        <v>0.12525870531453945</v>
      </c>
      <c r="AI26" s="342" t="str">
        <f t="shared" si="6"/>
        <v>NA</v>
      </c>
      <c r="AJ26" s="371">
        <f t="shared" si="7"/>
        <v>0.12525870531453945</v>
      </c>
    </row>
    <row r="27" spans="1:37" x14ac:dyDescent="0.35">
      <c r="A27" s="343">
        <v>75</v>
      </c>
      <c r="B27" s="14"/>
      <c r="C27" s="14"/>
      <c r="D27" s="284" t="s">
        <v>91</v>
      </c>
      <c r="F27" t="s">
        <v>544</v>
      </c>
      <c r="G27">
        <v>60064</v>
      </c>
      <c r="H27" t="s">
        <v>222</v>
      </c>
      <c r="I27" t="s">
        <v>0</v>
      </c>
      <c r="J27" s="368">
        <v>306691577.88999993</v>
      </c>
      <c r="K27" s="368">
        <v>-11925198.681999981</v>
      </c>
      <c r="L27" s="368">
        <v>21878272.149999999</v>
      </c>
      <c r="M27" s="368">
        <v>292999507.94999999</v>
      </c>
      <c r="N27" s="368">
        <v>-30391983.47999984</v>
      </c>
      <c r="O27" s="368">
        <v>21765637.419999998</v>
      </c>
      <c r="P27" s="368">
        <v>338603624.00999999</v>
      </c>
      <c r="Q27" s="368">
        <v>-14288477.939999998</v>
      </c>
      <c r="R27" s="368">
        <v>22758227.510000002</v>
      </c>
      <c r="S27" s="369">
        <v>1220559319.0299995</v>
      </c>
      <c r="T27" s="369">
        <v>105720300.71099958</v>
      </c>
      <c r="U27" s="369">
        <v>89032319.020000011</v>
      </c>
      <c r="V27" s="369">
        <v>1239385217.3300002</v>
      </c>
      <c r="W27" s="369">
        <v>65372351.810000405</v>
      </c>
      <c r="X27" s="369">
        <v>92113796.040000007</v>
      </c>
      <c r="Y27" s="369">
        <v>1371223899.47</v>
      </c>
      <c r="Z27" s="369">
        <v>129153746.00919998</v>
      </c>
      <c r="AA27" s="369">
        <v>91275973.75</v>
      </c>
      <c r="AB27" s="370">
        <f t="shared" si="0"/>
        <v>938294709.8499999</v>
      </c>
      <c r="AC27" s="370">
        <f t="shared" si="1"/>
        <v>-56605660.101999819</v>
      </c>
      <c r="AD27" s="370">
        <f t="shared" si="2"/>
        <v>66402137.079999998</v>
      </c>
      <c r="AE27" s="370">
        <f t="shared" si="8"/>
        <v>3831168435.8299999</v>
      </c>
      <c r="AF27" s="370">
        <f t="shared" si="3"/>
        <v>300246398.53019994</v>
      </c>
      <c r="AG27" s="370">
        <f t="shared" si="4"/>
        <v>272422088.81</v>
      </c>
      <c r="AH27" s="342">
        <f t="shared" si="5"/>
        <v>1.0440724939786017E-2</v>
      </c>
      <c r="AI27" s="342">
        <f t="shared" si="6"/>
        <v>0.14947619686580935</v>
      </c>
      <c r="AJ27" s="371">
        <f t="shared" si="7"/>
        <v>0.14947619686580935</v>
      </c>
    </row>
    <row r="28" spans="1:37" x14ac:dyDescent="0.35">
      <c r="A28" s="343">
        <v>66</v>
      </c>
      <c r="B28" s="14"/>
      <c r="C28" s="14"/>
      <c r="D28" s="284" t="s">
        <v>93</v>
      </c>
      <c r="F28" t="s">
        <v>563</v>
      </c>
      <c r="G28">
        <v>60065</v>
      </c>
      <c r="H28" t="s">
        <v>221</v>
      </c>
      <c r="I28" t="s">
        <v>0</v>
      </c>
      <c r="J28" s="368">
        <v>195365000</v>
      </c>
      <c r="K28" s="368">
        <v>17893000</v>
      </c>
      <c r="L28" s="368">
        <v>9664000</v>
      </c>
      <c r="M28" s="368">
        <v>208952000.00000024</v>
      </c>
      <c r="N28" s="368">
        <v>30561000.000000238</v>
      </c>
      <c r="O28" s="368">
        <v>10684000</v>
      </c>
      <c r="P28" s="368">
        <v>213752000</v>
      </c>
      <c r="Q28" s="368">
        <v>24981000</v>
      </c>
      <c r="R28" s="368">
        <v>10390000</v>
      </c>
      <c r="S28" s="369">
        <v>2821544000</v>
      </c>
      <c r="T28" s="369">
        <v>643249000</v>
      </c>
      <c r="U28" s="369">
        <v>136515000</v>
      </c>
      <c r="V28" s="369">
        <v>2779062000</v>
      </c>
      <c r="W28" s="369">
        <v>577650000.00000024</v>
      </c>
      <c r="X28" s="369">
        <v>142320000</v>
      </c>
      <c r="Y28" s="369">
        <v>3022116000</v>
      </c>
      <c r="Z28" s="369">
        <v>641825000</v>
      </c>
      <c r="AA28" s="369">
        <v>147227000</v>
      </c>
      <c r="AB28" s="370">
        <f t="shared" si="0"/>
        <v>618069000.00000024</v>
      </c>
      <c r="AC28" s="370">
        <f t="shared" si="1"/>
        <v>73435000.000000238</v>
      </c>
      <c r="AD28" s="370">
        <f t="shared" si="2"/>
        <v>30738000</v>
      </c>
      <c r="AE28" s="370">
        <f t="shared" si="8"/>
        <v>8622722000</v>
      </c>
      <c r="AF28" s="370">
        <f t="shared" si="3"/>
        <v>1862724000.0000002</v>
      </c>
      <c r="AG28" s="370">
        <f t="shared" si="4"/>
        <v>426062000</v>
      </c>
      <c r="AH28" s="342">
        <f t="shared" si="5"/>
        <v>0.1685459066867942</v>
      </c>
      <c r="AI28" s="342">
        <f t="shared" si="6"/>
        <v>0.26543659879096182</v>
      </c>
      <c r="AJ28" s="371">
        <f t="shared" si="7"/>
        <v>0.26543659879096182</v>
      </c>
    </row>
    <row r="29" spans="1:37" x14ac:dyDescent="0.35">
      <c r="A29" s="343">
        <v>6</v>
      </c>
      <c r="B29" s="14"/>
      <c r="C29" s="14"/>
      <c r="D29" s="284" t="s">
        <v>95</v>
      </c>
      <c r="F29" t="s">
        <v>3711</v>
      </c>
      <c r="G29">
        <v>60071</v>
      </c>
      <c r="H29" s="286" t="s">
        <v>216</v>
      </c>
      <c r="I29" t="s">
        <v>0</v>
      </c>
      <c r="J29" s="368">
        <v>84751076</v>
      </c>
      <c r="K29" s="368">
        <v>-4338499</v>
      </c>
      <c r="L29" s="368">
        <v>2415180</v>
      </c>
      <c r="M29" s="368">
        <v>80643214</v>
      </c>
      <c r="N29" s="368">
        <v>-11821994</v>
      </c>
      <c r="O29" s="368">
        <v>2181392</v>
      </c>
      <c r="P29" s="368">
        <v>90283300</v>
      </c>
      <c r="Q29" s="368">
        <v>33070979</v>
      </c>
      <c r="R29" s="368">
        <v>2353659</v>
      </c>
      <c r="S29" s="369">
        <v>0</v>
      </c>
      <c r="T29" s="369">
        <v>0</v>
      </c>
      <c r="U29" s="369">
        <v>0</v>
      </c>
      <c r="V29" s="369">
        <v>0</v>
      </c>
      <c r="W29" s="369">
        <v>0</v>
      </c>
      <c r="X29" s="369">
        <v>0</v>
      </c>
      <c r="Y29" s="369">
        <v>0</v>
      </c>
      <c r="Z29" s="369">
        <v>0</v>
      </c>
      <c r="AA29" s="369">
        <v>0</v>
      </c>
      <c r="AB29" s="370">
        <f t="shared" si="0"/>
        <v>255677590</v>
      </c>
      <c r="AC29" s="370">
        <f t="shared" si="1"/>
        <v>16910486</v>
      </c>
      <c r="AD29" s="370">
        <f t="shared" si="2"/>
        <v>6950231</v>
      </c>
      <c r="AE29" s="370">
        <f t="shared" si="8"/>
        <v>0</v>
      </c>
      <c r="AF29" s="370">
        <f t="shared" si="3"/>
        <v>0</v>
      </c>
      <c r="AG29" s="370">
        <f t="shared" si="4"/>
        <v>0</v>
      </c>
      <c r="AH29" s="342">
        <f t="shared" si="5"/>
        <v>9.3323458657444319E-2</v>
      </c>
      <c r="AI29" s="342" t="str">
        <f t="shared" si="6"/>
        <v>NA</v>
      </c>
      <c r="AJ29" s="371">
        <f t="shared" si="7"/>
        <v>9.3323458657444319E-2</v>
      </c>
    </row>
    <row r="30" spans="1:37" x14ac:dyDescent="0.35">
      <c r="A30" s="343">
        <v>96</v>
      </c>
      <c r="B30" s="14"/>
      <c r="C30" s="14"/>
      <c r="D30" s="284" t="s">
        <v>97</v>
      </c>
      <c r="F30" t="s">
        <v>3716</v>
      </c>
      <c r="G30">
        <v>60075</v>
      </c>
      <c r="H30" s="286" t="s">
        <v>216</v>
      </c>
      <c r="I30" t="s">
        <v>0</v>
      </c>
      <c r="J30" s="368">
        <v>256487060</v>
      </c>
      <c r="K30" s="368">
        <v>19496237</v>
      </c>
      <c r="L30" s="368">
        <v>17076055</v>
      </c>
      <c r="M30" s="368">
        <v>260701596.00000012</v>
      </c>
      <c r="N30" s="368">
        <v>9066595.0000001192</v>
      </c>
      <c r="O30" s="368">
        <v>16411880</v>
      </c>
      <c r="P30" s="368">
        <v>300725757</v>
      </c>
      <c r="Q30" s="368">
        <v>28503550</v>
      </c>
      <c r="R30" s="368">
        <v>16276875</v>
      </c>
      <c r="S30" s="369">
        <v>0</v>
      </c>
      <c r="T30" s="369">
        <v>0</v>
      </c>
      <c r="U30" s="369">
        <v>0</v>
      </c>
      <c r="V30" s="369">
        <v>0</v>
      </c>
      <c r="W30" s="369">
        <v>0</v>
      </c>
      <c r="X30" s="369">
        <v>0</v>
      </c>
      <c r="Y30" s="369">
        <v>0</v>
      </c>
      <c r="Z30" s="369">
        <v>0</v>
      </c>
      <c r="AA30" s="369">
        <v>0</v>
      </c>
      <c r="AB30" s="370">
        <f t="shared" si="0"/>
        <v>817914413.00000012</v>
      </c>
      <c r="AC30" s="370">
        <f t="shared" si="1"/>
        <v>57066382.000000119</v>
      </c>
      <c r="AD30" s="370">
        <f t="shared" si="2"/>
        <v>49764810</v>
      </c>
      <c r="AE30" s="370">
        <f t="shared" si="8"/>
        <v>0</v>
      </c>
      <c r="AF30" s="370">
        <f t="shared" si="3"/>
        <v>0</v>
      </c>
      <c r="AG30" s="370">
        <f t="shared" si="4"/>
        <v>0</v>
      </c>
      <c r="AH30" s="342">
        <f t="shared" si="5"/>
        <v>0.13061414532133953</v>
      </c>
      <c r="AI30" s="342" t="str">
        <f t="shared" si="6"/>
        <v>NA</v>
      </c>
      <c r="AJ30" s="371">
        <f t="shared" si="7"/>
        <v>0.13061414532133953</v>
      </c>
    </row>
    <row r="31" spans="1:37" x14ac:dyDescent="0.35">
      <c r="A31" s="343">
        <v>92</v>
      </c>
      <c r="B31" s="14"/>
      <c r="C31" s="14"/>
      <c r="D31" s="284" t="s">
        <v>99</v>
      </c>
      <c r="F31" t="s">
        <v>557</v>
      </c>
      <c r="G31">
        <v>60076</v>
      </c>
      <c r="H31" t="s">
        <v>217</v>
      </c>
      <c r="I31" t="s">
        <v>0</v>
      </c>
      <c r="J31" s="368">
        <v>59084386</v>
      </c>
      <c r="K31" s="368">
        <v>8465132</v>
      </c>
      <c r="L31" s="368">
        <v>2794786</v>
      </c>
      <c r="M31" s="368">
        <v>64066967.290000021</v>
      </c>
      <c r="N31" s="368">
        <v>10643163.290000021</v>
      </c>
      <c r="O31" s="368">
        <v>2600274</v>
      </c>
      <c r="P31" s="368">
        <v>63485360.050000004</v>
      </c>
      <c r="Q31" s="368">
        <v>8392743.0500000045</v>
      </c>
      <c r="R31" s="368">
        <v>2401932</v>
      </c>
      <c r="S31" s="369">
        <v>668114719</v>
      </c>
      <c r="T31" s="369">
        <v>64789644</v>
      </c>
      <c r="U31" s="369">
        <v>26538354</v>
      </c>
      <c r="V31" s="369">
        <v>633585942.56699991</v>
      </c>
      <c r="W31" s="369">
        <v>42937294.14700003</v>
      </c>
      <c r="X31" s="369">
        <v>46894465</v>
      </c>
      <c r="Y31" s="369">
        <v>639354872.58999991</v>
      </c>
      <c r="Z31" s="369">
        <v>-10443748.409999996</v>
      </c>
      <c r="AA31" s="369">
        <v>44320700</v>
      </c>
      <c r="AB31" s="370">
        <f t="shared" si="0"/>
        <v>186636713.34000003</v>
      </c>
      <c r="AC31" s="370">
        <f t="shared" si="1"/>
        <v>27501038.340000026</v>
      </c>
      <c r="AD31" s="370">
        <f t="shared" si="2"/>
        <v>7796992</v>
      </c>
      <c r="AE31" s="370">
        <f t="shared" si="8"/>
        <v>1941055534.1569998</v>
      </c>
      <c r="AF31" s="370">
        <f t="shared" si="3"/>
        <v>97283189.737000033</v>
      </c>
      <c r="AG31" s="370">
        <f t="shared" si="4"/>
        <v>117753519</v>
      </c>
      <c r="AH31" s="342">
        <f t="shared" si="5"/>
        <v>0.18912693921959964</v>
      </c>
      <c r="AI31" s="342">
        <f t="shared" si="6"/>
        <v>0.11078338818904038</v>
      </c>
      <c r="AJ31" s="371">
        <f t="shared" si="7"/>
        <v>0.18912693921959964</v>
      </c>
    </row>
    <row r="32" spans="1:37" x14ac:dyDescent="0.35">
      <c r="A32" s="343">
        <v>95</v>
      </c>
      <c r="B32" s="14"/>
      <c r="C32" s="14"/>
      <c r="D32" s="284" t="s">
        <v>101</v>
      </c>
      <c r="F32" t="s">
        <v>3715</v>
      </c>
      <c r="G32">
        <v>60096</v>
      </c>
      <c r="H32" s="286" t="s">
        <v>216</v>
      </c>
      <c r="I32" t="s">
        <v>0</v>
      </c>
      <c r="J32" s="368">
        <v>215578841</v>
      </c>
      <c r="K32" s="368">
        <v>16230883</v>
      </c>
      <c r="L32" s="368">
        <v>18430856</v>
      </c>
      <c r="M32" s="368">
        <v>209500177</v>
      </c>
      <c r="N32" s="368">
        <v>-17127361.429999977</v>
      </c>
      <c r="O32" s="368">
        <v>18876680.419999998</v>
      </c>
      <c r="P32" s="368">
        <v>244461633.61000001</v>
      </c>
      <c r="Q32" s="368">
        <v>9656863.880000025</v>
      </c>
      <c r="R32" s="368">
        <v>26055208.73</v>
      </c>
      <c r="S32" s="369">
        <v>0</v>
      </c>
      <c r="T32" s="369">
        <v>0</v>
      </c>
      <c r="U32" s="369">
        <v>0</v>
      </c>
      <c r="V32" s="369">
        <v>0</v>
      </c>
      <c r="W32" s="369">
        <v>0</v>
      </c>
      <c r="X32" s="369">
        <v>0</v>
      </c>
      <c r="Y32" s="369">
        <v>0</v>
      </c>
      <c r="Z32" s="369">
        <v>0</v>
      </c>
      <c r="AA32" s="369">
        <v>0</v>
      </c>
      <c r="AB32" s="370">
        <f t="shared" si="0"/>
        <v>669540651.61000001</v>
      </c>
      <c r="AC32" s="370">
        <f t="shared" si="1"/>
        <v>8760385.4500000477</v>
      </c>
      <c r="AD32" s="370">
        <f t="shared" si="2"/>
        <v>63362745.150000006</v>
      </c>
      <c r="AE32" s="370">
        <f t="shared" si="8"/>
        <v>0</v>
      </c>
      <c r="AF32" s="370">
        <f t="shared" si="3"/>
        <v>0</v>
      </c>
      <c r="AG32" s="370">
        <f t="shared" si="4"/>
        <v>0</v>
      </c>
      <c r="AH32" s="342">
        <f t="shared" si="5"/>
        <v>0.10772031605037027</v>
      </c>
      <c r="AI32" s="342" t="str">
        <f t="shared" si="6"/>
        <v>NA</v>
      </c>
      <c r="AJ32" s="371">
        <f t="shared" si="7"/>
        <v>0.10772031605037027</v>
      </c>
    </row>
    <row r="33" spans="1:36" x14ac:dyDescent="0.35">
      <c r="A33" s="343">
        <v>94</v>
      </c>
      <c r="B33" s="14"/>
      <c r="C33" s="14"/>
      <c r="D33" s="284" t="s">
        <v>103</v>
      </c>
      <c r="F33" t="s">
        <v>564</v>
      </c>
      <c r="G33">
        <v>60100</v>
      </c>
      <c r="H33" t="s">
        <v>221</v>
      </c>
      <c r="I33" t="s">
        <v>0</v>
      </c>
      <c r="J33" s="368">
        <v>421109000</v>
      </c>
      <c r="K33" s="368">
        <v>53240000</v>
      </c>
      <c r="L33" s="368">
        <v>18162000</v>
      </c>
      <c r="M33" s="368">
        <v>407374000</v>
      </c>
      <c r="N33" s="368">
        <v>30084000</v>
      </c>
      <c r="O33" s="368">
        <v>18839000</v>
      </c>
      <c r="P33" s="368">
        <v>481570000</v>
      </c>
      <c r="Q33" s="368">
        <v>53593000</v>
      </c>
      <c r="R33" s="368">
        <v>23794000</v>
      </c>
      <c r="S33" s="369">
        <v>2821544000</v>
      </c>
      <c r="T33" s="369">
        <v>643249000</v>
      </c>
      <c r="U33" s="369">
        <v>136515000</v>
      </c>
      <c r="V33" s="369">
        <v>2779062000</v>
      </c>
      <c r="W33" s="369">
        <v>577650000.00000024</v>
      </c>
      <c r="X33" s="369">
        <v>142320000</v>
      </c>
      <c r="Y33" s="369">
        <v>3022116000</v>
      </c>
      <c r="Z33" s="369">
        <v>641825000</v>
      </c>
      <c r="AA33" s="369">
        <v>147227000</v>
      </c>
      <c r="AB33" s="370">
        <f t="shared" si="0"/>
        <v>1310053000</v>
      </c>
      <c r="AC33" s="370">
        <f t="shared" si="1"/>
        <v>136917000</v>
      </c>
      <c r="AD33" s="370">
        <f t="shared" si="2"/>
        <v>60795000</v>
      </c>
      <c r="AE33" s="370">
        <f t="shared" si="8"/>
        <v>8622722000</v>
      </c>
      <c r="AF33" s="370">
        <f t="shared" si="3"/>
        <v>1862724000.0000002</v>
      </c>
      <c r="AG33" s="370">
        <f t="shared" si="4"/>
        <v>426062000</v>
      </c>
      <c r="AH33" s="342">
        <f t="shared" si="5"/>
        <v>0.15091908495305151</v>
      </c>
      <c r="AI33" s="342">
        <f t="shared" si="6"/>
        <v>0.26543659879096182</v>
      </c>
      <c r="AJ33" s="371">
        <f t="shared" si="7"/>
        <v>0.26543659879096182</v>
      </c>
    </row>
    <row r="34" spans="1:36" x14ac:dyDescent="0.35">
      <c r="A34" s="343">
        <v>37</v>
      </c>
      <c r="B34" s="14"/>
      <c r="C34" s="14"/>
      <c r="D34" s="284" t="s">
        <v>105</v>
      </c>
      <c r="F34" t="s">
        <v>548</v>
      </c>
      <c r="G34">
        <v>60103</v>
      </c>
      <c r="H34" t="s">
        <v>222</v>
      </c>
      <c r="I34" t="s">
        <v>0</v>
      </c>
      <c r="J34" s="368">
        <v>161083815.55999988</v>
      </c>
      <c r="K34" s="368">
        <v>19643885.610999912</v>
      </c>
      <c r="L34" s="368">
        <v>7547488.8100000005</v>
      </c>
      <c r="M34" s="368">
        <v>163046884.28</v>
      </c>
      <c r="N34" s="368">
        <v>19960322.549999982</v>
      </c>
      <c r="O34" s="368">
        <v>7627585.3499999996</v>
      </c>
      <c r="P34" s="368">
        <v>191718150.84999999</v>
      </c>
      <c r="Q34" s="368">
        <v>39106159.549199998</v>
      </c>
      <c r="R34" s="368">
        <v>8945095.7799999993</v>
      </c>
      <c r="S34" s="369">
        <v>1220559319.0299995</v>
      </c>
      <c r="T34" s="369">
        <v>105720300.71099958</v>
      </c>
      <c r="U34" s="369">
        <v>89032319.020000011</v>
      </c>
      <c r="V34" s="369">
        <v>1239385217.3300002</v>
      </c>
      <c r="W34" s="369">
        <v>65372351.810000405</v>
      </c>
      <c r="X34" s="369">
        <v>92113796.040000007</v>
      </c>
      <c r="Y34" s="369">
        <v>1371223899.47</v>
      </c>
      <c r="Z34" s="369">
        <v>129153746.00919998</v>
      </c>
      <c r="AA34" s="369">
        <v>91275973.75</v>
      </c>
      <c r="AB34" s="370">
        <f t="shared" ref="AB34:AB65" si="9">+J34+M34+P34</f>
        <v>515848850.68999994</v>
      </c>
      <c r="AC34" s="370">
        <f t="shared" ref="AC34:AC65" si="10">+K34+N34+Q34</f>
        <v>78710367.710199893</v>
      </c>
      <c r="AD34" s="370">
        <f t="shared" ref="AD34:AD65" si="11">+L34+O34+R34</f>
        <v>24120169.939999998</v>
      </c>
      <c r="AE34" s="370">
        <f t="shared" ref="AE34:AE65" si="12">+V34+S34+Y34</f>
        <v>3831168435.8299999</v>
      </c>
      <c r="AF34" s="370">
        <f t="shared" ref="AF34:AF65" si="13">+W34+T34+Z34</f>
        <v>300246398.53019994</v>
      </c>
      <c r="AG34" s="370">
        <f t="shared" ref="AG34:AG65" si="14">+X34+U34+AA34</f>
        <v>272422088.81</v>
      </c>
      <c r="AH34" s="342">
        <f t="shared" ref="AH34:AH65" si="15">IFERROR((AC34+AD34)/AB34,"NA")</f>
        <v>0.19934238006472954</v>
      </c>
      <c r="AI34" s="342">
        <f t="shared" ref="AI34:AI65" si="16">IFERROR((AF34+AG34)/AE34,"NA")</f>
        <v>0.14947619686580935</v>
      </c>
      <c r="AJ34" s="371">
        <f t="shared" ref="AJ34:AJ65" si="17">IFERROR(MAX(AI34,AH34),"NA")</f>
        <v>0.19934238006472954</v>
      </c>
    </row>
    <row r="35" spans="1:36" s="9" customFormat="1" x14ac:dyDescent="0.35">
      <c r="A35" s="543">
        <v>87</v>
      </c>
      <c r="B35" s="45"/>
      <c r="C35" s="45"/>
      <c r="D35" s="587" t="s">
        <v>107</v>
      </c>
      <c r="E35" s="142"/>
      <c r="F35" s="9" t="s">
        <v>555</v>
      </c>
      <c r="G35" s="9">
        <v>60104</v>
      </c>
      <c r="H35" s="9" t="s">
        <v>223</v>
      </c>
      <c r="I35" s="9" t="s">
        <v>0</v>
      </c>
      <c r="J35" s="588">
        <v>207088035.20999968</v>
      </c>
      <c r="K35" s="588">
        <v>17517573.986999691</v>
      </c>
      <c r="L35" s="588">
        <v>18334826.379999995</v>
      </c>
      <c r="M35" s="588">
        <v>227786552.78</v>
      </c>
      <c r="N35" s="588">
        <v>28961944.99999997</v>
      </c>
      <c r="O35" s="588">
        <v>17308439.719999999</v>
      </c>
      <c r="P35" s="588">
        <v>265891714.55000001</v>
      </c>
      <c r="Q35" s="588">
        <v>42813160.900000006</v>
      </c>
      <c r="R35" s="588">
        <v>18163820.859999999</v>
      </c>
      <c r="S35" s="589">
        <v>2199179997.5199981</v>
      </c>
      <c r="T35" s="589">
        <v>228635496.50274026</v>
      </c>
      <c r="U35" s="589">
        <v>122011455.96000002</v>
      </c>
      <c r="V35" s="589">
        <v>2373892346.1700001</v>
      </c>
      <c r="W35" s="589">
        <v>312336534.33000034</v>
      </c>
      <c r="X35" s="589">
        <v>130369316.09999999</v>
      </c>
      <c r="Y35" s="589">
        <v>2561469913.9053001</v>
      </c>
      <c r="Z35" s="589">
        <v>376557681.68529993</v>
      </c>
      <c r="AA35" s="589">
        <v>133102210.90000001</v>
      </c>
      <c r="AB35" s="590">
        <f t="shared" si="9"/>
        <v>700766302.53999972</v>
      </c>
      <c r="AC35" s="590">
        <f t="shared" si="10"/>
        <v>89292679.886999667</v>
      </c>
      <c r="AD35" s="590">
        <f t="shared" si="11"/>
        <v>53807086.959999993</v>
      </c>
      <c r="AE35" s="590">
        <f t="shared" si="12"/>
        <v>7134542257.5952988</v>
      </c>
      <c r="AF35" s="590">
        <f t="shared" si="13"/>
        <v>917529712.51804042</v>
      </c>
      <c r="AG35" s="590">
        <f t="shared" si="14"/>
        <v>385482982.96000004</v>
      </c>
      <c r="AH35" s="591">
        <f t="shared" si="15"/>
        <v>0.20420469181854176</v>
      </c>
      <c r="AI35" s="591">
        <f t="shared" si="16"/>
        <v>0.18263437911393374</v>
      </c>
      <c r="AJ35" s="592">
        <f t="shared" si="17"/>
        <v>0.20420469181854176</v>
      </c>
    </row>
    <row r="36" spans="1:36" x14ac:dyDescent="0.35">
      <c r="A36" s="343">
        <v>65</v>
      </c>
      <c r="B36" s="14"/>
      <c r="C36" s="14"/>
      <c r="D36" s="284" t="s">
        <v>109</v>
      </c>
      <c r="F36" t="s">
        <v>3713</v>
      </c>
      <c r="G36">
        <v>60107</v>
      </c>
      <c r="H36" s="286" t="s">
        <v>216</v>
      </c>
      <c r="I36" t="s">
        <v>0</v>
      </c>
      <c r="J36" s="368">
        <v>273878079</v>
      </c>
      <c r="K36" s="368">
        <v>-8966316</v>
      </c>
      <c r="L36" s="368">
        <v>7425153</v>
      </c>
      <c r="M36" s="368">
        <v>298027000.32146239</v>
      </c>
      <c r="N36" s="368">
        <v>-7181999.6785376072</v>
      </c>
      <c r="O36" s="368">
        <v>7877416</v>
      </c>
      <c r="P36" s="368">
        <v>340886000.89999998</v>
      </c>
      <c r="Q36" s="368">
        <v>6938000</v>
      </c>
      <c r="R36" s="368">
        <v>8449320</v>
      </c>
      <c r="S36" s="369">
        <v>0</v>
      </c>
      <c r="T36" s="369">
        <v>0</v>
      </c>
      <c r="U36" s="369">
        <v>0</v>
      </c>
      <c r="V36" s="369">
        <v>0</v>
      </c>
      <c r="W36" s="369">
        <v>0</v>
      </c>
      <c r="X36" s="369">
        <v>0</v>
      </c>
      <c r="Y36" s="369">
        <v>0</v>
      </c>
      <c r="Z36" s="369">
        <v>0</v>
      </c>
      <c r="AA36" s="369">
        <v>0</v>
      </c>
      <c r="AB36" s="370">
        <f t="shared" si="9"/>
        <v>912791080.22146237</v>
      </c>
      <c r="AC36" s="370">
        <f t="shared" si="10"/>
        <v>-9210315.6785376072</v>
      </c>
      <c r="AD36" s="370">
        <f t="shared" si="11"/>
        <v>23751889</v>
      </c>
      <c r="AE36" s="370">
        <f t="shared" si="12"/>
        <v>0</v>
      </c>
      <c r="AF36" s="370">
        <f t="shared" si="13"/>
        <v>0</v>
      </c>
      <c r="AG36" s="370">
        <f t="shared" si="14"/>
        <v>0</v>
      </c>
      <c r="AH36" s="342">
        <f t="shared" si="15"/>
        <v>1.5930888936748044E-2</v>
      </c>
      <c r="AI36" s="342" t="str">
        <f t="shared" si="16"/>
        <v>NA</v>
      </c>
      <c r="AJ36" s="371">
        <f t="shared" si="17"/>
        <v>1.5930888936748044E-2</v>
      </c>
    </row>
    <row r="37" spans="1:36" x14ac:dyDescent="0.35">
      <c r="A37" s="343">
        <v>84</v>
      </c>
      <c r="B37" s="14"/>
      <c r="C37" s="14"/>
      <c r="D37" s="284" t="s">
        <v>111</v>
      </c>
      <c r="F37" t="s">
        <v>567</v>
      </c>
      <c r="G37">
        <v>60112</v>
      </c>
      <c r="H37" t="s">
        <v>221</v>
      </c>
      <c r="I37" t="s">
        <v>0</v>
      </c>
      <c r="J37" s="368">
        <v>540324000</v>
      </c>
      <c r="K37" s="368">
        <v>169314000</v>
      </c>
      <c r="L37" s="368">
        <v>22051000</v>
      </c>
      <c r="M37" s="368">
        <v>527551000</v>
      </c>
      <c r="N37" s="368">
        <v>149703000</v>
      </c>
      <c r="O37" s="368">
        <v>22610000</v>
      </c>
      <c r="P37" s="368">
        <v>573374000</v>
      </c>
      <c r="Q37" s="368">
        <v>161109000</v>
      </c>
      <c r="R37" s="368">
        <v>22394000</v>
      </c>
      <c r="S37" s="369">
        <v>2821544000</v>
      </c>
      <c r="T37" s="369">
        <v>643249000</v>
      </c>
      <c r="U37" s="369">
        <v>136515000</v>
      </c>
      <c r="V37" s="369">
        <v>2779062000</v>
      </c>
      <c r="W37" s="369">
        <v>577650000.00000024</v>
      </c>
      <c r="X37" s="369">
        <v>142320000</v>
      </c>
      <c r="Y37" s="369">
        <v>3022116000</v>
      </c>
      <c r="Z37" s="369">
        <v>641825000</v>
      </c>
      <c r="AA37" s="369">
        <v>147227000</v>
      </c>
      <c r="AB37" s="370">
        <f t="shared" si="9"/>
        <v>1641249000</v>
      </c>
      <c r="AC37" s="370">
        <f t="shared" si="10"/>
        <v>480126000</v>
      </c>
      <c r="AD37" s="370">
        <f t="shared" si="11"/>
        <v>67055000</v>
      </c>
      <c r="AE37" s="370">
        <f t="shared" si="12"/>
        <v>8622722000</v>
      </c>
      <c r="AF37" s="370">
        <f t="shared" si="13"/>
        <v>1862724000.0000002</v>
      </c>
      <c r="AG37" s="370">
        <f t="shared" si="14"/>
        <v>426062000</v>
      </c>
      <c r="AH37" s="342">
        <f t="shared" si="15"/>
        <v>0.33339304395615776</v>
      </c>
      <c r="AI37" s="342">
        <f t="shared" si="16"/>
        <v>0.26543659879096182</v>
      </c>
      <c r="AJ37" s="371">
        <f t="shared" si="17"/>
        <v>0.33339304395615776</v>
      </c>
    </row>
    <row r="38" spans="1:36" x14ac:dyDescent="0.35">
      <c r="A38" s="343">
        <v>59</v>
      </c>
      <c r="B38" s="14"/>
      <c r="C38" s="14"/>
      <c r="D38" s="284" t="s">
        <v>113</v>
      </c>
      <c r="F38" t="s">
        <v>547</v>
      </c>
      <c r="G38">
        <v>60113</v>
      </c>
      <c r="H38" t="s">
        <v>222</v>
      </c>
      <c r="I38" t="s">
        <v>0</v>
      </c>
      <c r="J38" s="368">
        <v>313973426.18999952</v>
      </c>
      <c r="K38" s="368">
        <v>39187072.621999443</v>
      </c>
      <c r="L38" s="368">
        <v>22794145.379999995</v>
      </c>
      <c r="M38" s="368">
        <v>312710483.37</v>
      </c>
      <c r="N38" s="368">
        <v>16095300.380000234</v>
      </c>
      <c r="O38" s="368">
        <v>27139460.760000002</v>
      </c>
      <c r="P38" s="368">
        <v>326069529.94999999</v>
      </c>
      <c r="Q38" s="368">
        <v>27025157.719999969</v>
      </c>
      <c r="R38" s="368">
        <v>26143465.489999998</v>
      </c>
      <c r="S38" s="369">
        <v>1220559319.0299995</v>
      </c>
      <c r="T38" s="369">
        <v>105720300.71099958</v>
      </c>
      <c r="U38" s="369">
        <v>89032319.020000011</v>
      </c>
      <c r="V38" s="369">
        <v>1239385217.3300002</v>
      </c>
      <c r="W38" s="369">
        <v>65372351.810000405</v>
      </c>
      <c r="X38" s="369">
        <v>92113796.040000007</v>
      </c>
      <c r="Y38" s="369">
        <v>1371223899.47</v>
      </c>
      <c r="Z38" s="369">
        <v>129153746.00919998</v>
      </c>
      <c r="AA38" s="369">
        <v>91275973.75</v>
      </c>
      <c r="AB38" s="370">
        <f t="shared" si="9"/>
        <v>952753439.50999951</v>
      </c>
      <c r="AC38" s="370">
        <f t="shared" si="10"/>
        <v>82307530.721999645</v>
      </c>
      <c r="AD38" s="370">
        <f t="shared" si="11"/>
        <v>76077071.629999995</v>
      </c>
      <c r="AE38" s="370">
        <f t="shared" si="12"/>
        <v>3831168435.8299999</v>
      </c>
      <c r="AF38" s="370">
        <f t="shared" si="13"/>
        <v>300246398.53019994</v>
      </c>
      <c r="AG38" s="370">
        <f t="shared" si="14"/>
        <v>272422088.81</v>
      </c>
      <c r="AH38" s="342">
        <f t="shared" si="15"/>
        <v>0.16623881455988943</v>
      </c>
      <c r="AI38" s="342">
        <f t="shared" si="16"/>
        <v>0.14947619686580935</v>
      </c>
      <c r="AJ38" s="371">
        <f t="shared" si="17"/>
        <v>0.16623881455988943</v>
      </c>
    </row>
    <row r="39" spans="1:36" x14ac:dyDescent="0.35">
      <c r="A39" s="343">
        <v>69</v>
      </c>
      <c r="B39" s="14"/>
      <c r="C39" s="14"/>
      <c r="D39" s="284" t="s">
        <v>115</v>
      </c>
      <c r="F39" t="s">
        <v>561</v>
      </c>
      <c r="G39">
        <v>60114</v>
      </c>
      <c r="H39" t="s">
        <v>222</v>
      </c>
      <c r="I39" t="s">
        <v>0</v>
      </c>
      <c r="J39" s="368">
        <v>315510885.13000005</v>
      </c>
      <c r="K39" s="368">
        <v>51653512.446000189</v>
      </c>
      <c r="L39" s="368">
        <v>26196176.79000001</v>
      </c>
      <c r="M39" s="368">
        <v>340330024.29000002</v>
      </c>
      <c r="N39" s="368">
        <v>51620924.800000012</v>
      </c>
      <c r="O39" s="368">
        <v>25422295.490000002</v>
      </c>
      <c r="P39" s="368">
        <v>370987837.17000002</v>
      </c>
      <c r="Q39" s="368">
        <v>70435147.620000005</v>
      </c>
      <c r="R39" s="368">
        <v>23518032.859999999</v>
      </c>
      <c r="S39" s="369">
        <v>1220559319.0299995</v>
      </c>
      <c r="T39" s="369">
        <v>105720300.71099958</v>
      </c>
      <c r="U39" s="369">
        <v>89032319.020000011</v>
      </c>
      <c r="V39" s="369">
        <v>1239385217.3300002</v>
      </c>
      <c r="W39" s="369">
        <v>65372351.810000405</v>
      </c>
      <c r="X39" s="369">
        <v>92113796.040000007</v>
      </c>
      <c r="Y39" s="369">
        <v>1371223899.47</v>
      </c>
      <c r="Z39" s="369">
        <v>129153746.00919998</v>
      </c>
      <c r="AA39" s="369">
        <v>91275973.75</v>
      </c>
      <c r="AB39" s="370">
        <f t="shared" si="9"/>
        <v>1026828746.5900002</v>
      </c>
      <c r="AC39" s="370">
        <f t="shared" si="10"/>
        <v>173709584.86600021</v>
      </c>
      <c r="AD39" s="370">
        <f t="shared" si="11"/>
        <v>75136505.140000015</v>
      </c>
      <c r="AE39" s="370">
        <f t="shared" si="12"/>
        <v>3831168435.8299999</v>
      </c>
      <c r="AF39" s="370">
        <f t="shared" si="13"/>
        <v>300246398.53019994</v>
      </c>
      <c r="AG39" s="370">
        <f t="shared" si="14"/>
        <v>272422088.81</v>
      </c>
      <c r="AH39" s="342">
        <f t="shared" si="15"/>
        <v>0.24234429629321758</v>
      </c>
      <c r="AI39" s="342">
        <f t="shared" si="16"/>
        <v>0.14947619686580935</v>
      </c>
      <c r="AJ39" s="371">
        <f t="shared" si="17"/>
        <v>0.24234429629321758</v>
      </c>
    </row>
    <row r="40" spans="1:36" x14ac:dyDescent="0.35">
      <c r="A40" s="343">
        <v>49</v>
      </c>
      <c r="B40" s="14"/>
      <c r="C40" s="14"/>
      <c r="D40" s="284" t="s">
        <v>117</v>
      </c>
      <c r="F40" t="s">
        <v>541</v>
      </c>
      <c r="G40">
        <v>60116</v>
      </c>
      <c r="H40" t="s">
        <v>220</v>
      </c>
      <c r="I40" t="s">
        <v>0</v>
      </c>
      <c r="J40" s="368">
        <v>297090487</v>
      </c>
      <c r="K40" s="368">
        <v>24220180.360000014</v>
      </c>
      <c r="L40" s="368">
        <v>13634032</v>
      </c>
      <c r="M40" s="368">
        <v>313132424</v>
      </c>
      <c r="N40" s="368">
        <v>31547620</v>
      </c>
      <c r="O40" s="368">
        <v>14191240</v>
      </c>
      <c r="P40" s="368">
        <v>343227648.53999996</v>
      </c>
      <c r="Q40" s="368">
        <v>47931856.579999983</v>
      </c>
      <c r="R40" s="368">
        <v>15022794.810000001</v>
      </c>
      <c r="S40" s="369">
        <v>1769628788.1477969</v>
      </c>
      <c r="T40" s="369">
        <v>92714203.777797177</v>
      </c>
      <c r="U40" s="369">
        <v>108367664</v>
      </c>
      <c r="V40" s="369">
        <v>1881410619.21</v>
      </c>
      <c r="W40" s="369">
        <v>75225266.209999979</v>
      </c>
      <c r="X40" s="369">
        <v>110161478</v>
      </c>
      <c r="Y40" s="369">
        <v>2071300143.8400002</v>
      </c>
      <c r="Z40" s="369">
        <v>66839712.039999962</v>
      </c>
      <c r="AA40" s="369">
        <v>226924874.51000002</v>
      </c>
      <c r="AB40" s="370">
        <f t="shared" si="9"/>
        <v>953450559.53999996</v>
      </c>
      <c r="AC40" s="370">
        <f t="shared" si="10"/>
        <v>103699656.94</v>
      </c>
      <c r="AD40" s="370">
        <f t="shared" si="11"/>
        <v>42848066.810000002</v>
      </c>
      <c r="AE40" s="370">
        <f t="shared" si="12"/>
        <v>5722339551.1977968</v>
      </c>
      <c r="AF40" s="370">
        <f t="shared" si="13"/>
        <v>234779182.0277971</v>
      </c>
      <c r="AG40" s="370">
        <f t="shared" si="14"/>
        <v>445454016.50999999</v>
      </c>
      <c r="AH40" s="342">
        <f t="shared" si="15"/>
        <v>0.15370248859123137</v>
      </c>
      <c r="AI40" s="342">
        <f t="shared" si="16"/>
        <v>0.11887326721033377</v>
      </c>
      <c r="AJ40" s="371">
        <f t="shared" si="17"/>
        <v>0.15370248859123137</v>
      </c>
    </row>
    <row r="41" spans="1:36" x14ac:dyDescent="0.35">
      <c r="A41" s="343">
        <v>36</v>
      </c>
      <c r="B41" s="14"/>
      <c r="C41" s="14"/>
      <c r="D41" s="284" t="s">
        <v>119</v>
      </c>
      <c r="F41" t="s">
        <v>3708</v>
      </c>
      <c r="G41">
        <v>60117</v>
      </c>
      <c r="H41" s="286" t="s">
        <v>216</v>
      </c>
      <c r="I41" t="s">
        <v>0</v>
      </c>
      <c r="J41" s="368">
        <v>34281677.019999996</v>
      </c>
      <c r="K41" s="368">
        <v>2514302.34</v>
      </c>
      <c r="L41" s="368">
        <v>2203556.6</v>
      </c>
      <c r="M41" s="368">
        <v>37710137.384000018</v>
      </c>
      <c r="N41" s="368">
        <v>4787008.4940000214</v>
      </c>
      <c r="O41" s="368">
        <v>2105748.5499999998</v>
      </c>
      <c r="P41" s="368">
        <v>42236553.640000001</v>
      </c>
      <c r="Q41" s="368">
        <v>6821753</v>
      </c>
      <c r="R41" s="368">
        <v>1561217.74</v>
      </c>
      <c r="S41" s="369">
        <v>0</v>
      </c>
      <c r="T41" s="369">
        <v>0</v>
      </c>
      <c r="U41" s="369">
        <v>0</v>
      </c>
      <c r="V41" s="369">
        <v>0</v>
      </c>
      <c r="W41" s="369">
        <v>0</v>
      </c>
      <c r="X41" s="369">
        <v>0</v>
      </c>
      <c r="Y41" s="369">
        <v>0</v>
      </c>
      <c r="Z41" s="369">
        <v>0</v>
      </c>
      <c r="AA41" s="369">
        <v>0</v>
      </c>
      <c r="AB41" s="370">
        <f t="shared" si="9"/>
        <v>114228368.04400001</v>
      </c>
      <c r="AC41" s="370">
        <f t="shared" si="10"/>
        <v>14123063.834000021</v>
      </c>
      <c r="AD41" s="370">
        <f t="shared" si="11"/>
        <v>5870522.8900000006</v>
      </c>
      <c r="AE41" s="370">
        <f t="shared" si="12"/>
        <v>0</v>
      </c>
      <c r="AF41" s="370">
        <f t="shared" si="13"/>
        <v>0</v>
      </c>
      <c r="AG41" s="370">
        <f t="shared" si="14"/>
        <v>0</v>
      </c>
      <c r="AH41" s="342">
        <f t="shared" si="15"/>
        <v>0.17503171117964869</v>
      </c>
      <c r="AI41" s="342" t="str">
        <f t="shared" si="16"/>
        <v>NA</v>
      </c>
      <c r="AJ41" s="371">
        <f t="shared" si="17"/>
        <v>0.17503171117964869</v>
      </c>
    </row>
    <row r="42" spans="1:36" x14ac:dyDescent="0.35">
      <c r="A42" s="343">
        <v>88</v>
      </c>
      <c r="B42" s="14"/>
      <c r="C42" s="14"/>
      <c r="D42" s="284" t="s">
        <v>121</v>
      </c>
      <c r="F42" t="s">
        <v>569</v>
      </c>
      <c r="G42">
        <v>60118</v>
      </c>
      <c r="H42" t="s">
        <v>223</v>
      </c>
      <c r="I42" t="s">
        <v>0</v>
      </c>
      <c r="J42" s="368">
        <v>124886618.98000003</v>
      </c>
      <c r="K42" s="368">
        <v>41953634.700000048</v>
      </c>
      <c r="L42" s="368">
        <v>5187826.8599999994</v>
      </c>
      <c r="M42" s="368">
        <v>127084158.43000001</v>
      </c>
      <c r="N42" s="368">
        <v>43025565.149999976</v>
      </c>
      <c r="O42" s="368">
        <v>7217196.7299999995</v>
      </c>
      <c r="P42" s="368">
        <v>133694885.23</v>
      </c>
      <c r="Q42" s="368">
        <v>46120564.620000005</v>
      </c>
      <c r="R42" s="368">
        <v>7445496.7999999998</v>
      </c>
      <c r="S42" s="369">
        <v>2199179997.5199981</v>
      </c>
      <c r="T42" s="369">
        <v>228635496.50274026</v>
      </c>
      <c r="U42" s="369">
        <v>122011455.96000002</v>
      </c>
      <c r="V42" s="369">
        <v>2373892346.1700001</v>
      </c>
      <c r="W42" s="369">
        <v>312336534.33000034</v>
      </c>
      <c r="X42" s="369">
        <v>130369316.09999999</v>
      </c>
      <c r="Y42" s="369">
        <v>2561469913.9053001</v>
      </c>
      <c r="Z42" s="369">
        <v>376557681.68529993</v>
      </c>
      <c r="AA42" s="369">
        <v>133102210.90000001</v>
      </c>
      <c r="AB42" s="370">
        <f t="shared" si="9"/>
        <v>385665662.64000005</v>
      </c>
      <c r="AC42" s="370">
        <f t="shared" si="10"/>
        <v>131099764.47000003</v>
      </c>
      <c r="AD42" s="370">
        <f t="shared" si="11"/>
        <v>19850520.390000001</v>
      </c>
      <c r="AE42" s="370">
        <f t="shared" si="12"/>
        <v>7134542257.5952988</v>
      </c>
      <c r="AF42" s="370">
        <f t="shared" si="13"/>
        <v>917529712.51804042</v>
      </c>
      <c r="AG42" s="370">
        <f t="shared" si="14"/>
        <v>385482982.96000004</v>
      </c>
      <c r="AH42" s="342">
        <f t="shared" si="15"/>
        <v>0.39140193043554589</v>
      </c>
      <c r="AI42" s="342">
        <f t="shared" si="16"/>
        <v>0.18263437911393374</v>
      </c>
      <c r="AJ42" s="371">
        <f t="shared" si="17"/>
        <v>0.39140193043554589</v>
      </c>
    </row>
    <row r="43" spans="1:36" x14ac:dyDescent="0.35">
      <c r="A43" s="343">
        <v>62</v>
      </c>
      <c r="B43" s="14"/>
      <c r="C43" s="14"/>
      <c r="D43" s="284" t="s">
        <v>123</v>
      </c>
      <c r="F43" t="s">
        <v>558</v>
      </c>
      <c r="G43">
        <v>60119</v>
      </c>
      <c r="H43" t="s">
        <v>218</v>
      </c>
      <c r="I43" t="s">
        <v>0</v>
      </c>
      <c r="J43" s="368">
        <v>574181164.05999982</v>
      </c>
      <c r="K43" s="368">
        <v>119195511.64483881</v>
      </c>
      <c r="L43" s="368">
        <v>21150930.09</v>
      </c>
      <c r="M43" s="368">
        <v>505116061.73000014</v>
      </c>
      <c r="N43" s="368">
        <v>62328269.401433825</v>
      </c>
      <c r="O43" s="368">
        <v>21898376.837644998</v>
      </c>
      <c r="P43" s="368">
        <v>537490603</v>
      </c>
      <c r="Q43" s="368">
        <v>83479415</v>
      </c>
      <c r="R43" s="368">
        <v>21574834</v>
      </c>
      <c r="S43" s="369">
        <v>4613796407.9000015</v>
      </c>
      <c r="T43" s="369">
        <v>589771677.34712648</v>
      </c>
      <c r="U43" s="369">
        <v>193745564.91000003</v>
      </c>
      <c r="V43" s="369">
        <v>4684099729.3099995</v>
      </c>
      <c r="W43" s="369">
        <v>203097814.92013457</v>
      </c>
      <c r="X43" s="369">
        <v>253602163.74551889</v>
      </c>
      <c r="Y43" s="369">
        <v>5315978587.2299995</v>
      </c>
      <c r="Z43" s="369">
        <v>511057499.23000002</v>
      </c>
      <c r="AA43" s="369">
        <v>254941218</v>
      </c>
      <c r="AB43" s="370">
        <f t="shared" si="9"/>
        <v>1616787828.79</v>
      </c>
      <c r="AC43" s="370">
        <f t="shared" si="10"/>
        <v>265003196.04627264</v>
      </c>
      <c r="AD43" s="370">
        <f t="shared" si="11"/>
        <v>64624140.927644998</v>
      </c>
      <c r="AE43" s="370">
        <f t="shared" si="12"/>
        <v>14613874724.440001</v>
      </c>
      <c r="AF43" s="370">
        <f t="shared" si="13"/>
        <v>1303926991.497261</v>
      </c>
      <c r="AG43" s="370">
        <f t="shared" si="14"/>
        <v>702288946.65551889</v>
      </c>
      <c r="AH43" s="342">
        <f t="shared" si="15"/>
        <v>0.20387791836645003</v>
      </c>
      <c r="AI43" s="342">
        <f t="shared" si="16"/>
        <v>0.13728158862602113</v>
      </c>
      <c r="AJ43" s="371">
        <f t="shared" si="17"/>
        <v>0.20387791836645003</v>
      </c>
    </row>
    <row r="44" spans="1:36" x14ac:dyDescent="0.35">
      <c r="A44" s="343">
        <v>76</v>
      </c>
      <c r="B44" s="378"/>
      <c r="C44" s="14"/>
      <c r="D44" s="284" t="s">
        <v>125</v>
      </c>
      <c r="F44" t="s">
        <v>568</v>
      </c>
      <c r="G44">
        <v>60124</v>
      </c>
      <c r="H44" t="s">
        <v>223</v>
      </c>
      <c r="I44" t="s">
        <v>0</v>
      </c>
      <c r="J44" s="368">
        <v>94019504.219999924</v>
      </c>
      <c r="K44" s="368">
        <v>28168396.235799909</v>
      </c>
      <c r="L44" s="368">
        <v>2810365.09</v>
      </c>
      <c r="M44" s="368">
        <v>100246172.73</v>
      </c>
      <c r="N44" s="368">
        <v>36954603.660000011</v>
      </c>
      <c r="O44" s="368">
        <v>3026099.88</v>
      </c>
      <c r="P44" s="368">
        <v>114949304.7253</v>
      </c>
      <c r="Q44" s="368">
        <v>42731506.825299993</v>
      </c>
      <c r="R44" s="368">
        <v>6776318.8099999996</v>
      </c>
      <c r="S44" s="369">
        <v>2199179997.5199981</v>
      </c>
      <c r="T44" s="369">
        <v>228635496.50274026</v>
      </c>
      <c r="U44" s="369">
        <v>122011455.96000002</v>
      </c>
      <c r="V44" s="369">
        <v>2373892346.1700001</v>
      </c>
      <c r="W44" s="369">
        <v>312336534.33000034</v>
      </c>
      <c r="X44" s="369">
        <v>130369316.09999999</v>
      </c>
      <c r="Y44" s="369">
        <v>2561469913.9053001</v>
      </c>
      <c r="Z44" s="369">
        <v>376557681.68529993</v>
      </c>
      <c r="AA44" s="369">
        <v>133102210.90000001</v>
      </c>
      <c r="AB44" s="370">
        <f t="shared" si="9"/>
        <v>309214981.67529994</v>
      </c>
      <c r="AC44" s="370">
        <f t="shared" si="10"/>
        <v>107854506.72109991</v>
      </c>
      <c r="AD44" s="370">
        <f t="shared" si="11"/>
        <v>12612783.779999999</v>
      </c>
      <c r="AE44" s="370">
        <f t="shared" si="12"/>
        <v>7134542257.5952988</v>
      </c>
      <c r="AF44" s="370">
        <f t="shared" si="13"/>
        <v>917529712.51804042</v>
      </c>
      <c r="AG44" s="370">
        <f t="shared" si="14"/>
        <v>385482982.96000004</v>
      </c>
      <c r="AH44" s="342">
        <f t="shared" si="15"/>
        <v>0.38959073020465756</v>
      </c>
      <c r="AI44" s="342">
        <f t="shared" si="16"/>
        <v>0.18263437911393374</v>
      </c>
      <c r="AJ44" s="371">
        <f t="shared" si="17"/>
        <v>0.38959073020465756</v>
      </c>
    </row>
    <row r="45" spans="1:36" x14ac:dyDescent="0.35">
      <c r="A45" s="343">
        <v>40</v>
      </c>
      <c r="B45" s="14"/>
      <c r="C45" s="14"/>
      <c r="D45" s="284" t="s">
        <v>128</v>
      </c>
      <c r="F45" t="s">
        <v>545</v>
      </c>
      <c r="G45">
        <v>60125</v>
      </c>
      <c r="H45" t="s">
        <v>222</v>
      </c>
      <c r="I45" t="s">
        <v>0</v>
      </c>
      <c r="J45" s="368">
        <v>123299614.26000002</v>
      </c>
      <c r="K45" s="368">
        <v>7161028.7140000165</v>
      </c>
      <c r="L45" s="368">
        <v>10616235.890000002</v>
      </c>
      <c r="M45" s="368">
        <v>130298317.44</v>
      </c>
      <c r="N45" s="368">
        <v>8087787.5600000173</v>
      </c>
      <c r="O45" s="368">
        <v>10158817.02</v>
      </c>
      <c r="P45" s="368">
        <v>143844757.49000001</v>
      </c>
      <c r="Q45" s="368">
        <v>6875759.0600000024</v>
      </c>
      <c r="R45" s="368">
        <v>9911152.1099999994</v>
      </c>
      <c r="S45" s="369">
        <v>1220559319.0299995</v>
      </c>
      <c r="T45" s="369">
        <v>105720300.71099958</v>
      </c>
      <c r="U45" s="369">
        <v>89032319.020000011</v>
      </c>
      <c r="V45" s="369">
        <v>1239385217.3300002</v>
      </c>
      <c r="W45" s="369">
        <v>65372351.810000405</v>
      </c>
      <c r="X45" s="369">
        <v>92113796.040000007</v>
      </c>
      <c r="Y45" s="369">
        <v>1371223899.47</v>
      </c>
      <c r="Z45" s="369">
        <v>129153746.00919998</v>
      </c>
      <c r="AA45" s="369">
        <v>91275973.75</v>
      </c>
      <c r="AB45" s="370">
        <f t="shared" si="9"/>
        <v>397442689.19000006</v>
      </c>
      <c r="AC45" s="370">
        <f t="shared" si="10"/>
        <v>22124575.334000036</v>
      </c>
      <c r="AD45" s="370">
        <f t="shared" si="11"/>
        <v>30686205.020000003</v>
      </c>
      <c r="AE45" s="370">
        <f t="shared" si="12"/>
        <v>3831168435.8299999</v>
      </c>
      <c r="AF45" s="370">
        <f t="shared" si="13"/>
        <v>300246398.53019994</v>
      </c>
      <c r="AG45" s="370">
        <f t="shared" si="14"/>
        <v>272422088.81</v>
      </c>
      <c r="AH45" s="342">
        <f t="shared" si="15"/>
        <v>0.13287646694830385</v>
      </c>
      <c r="AI45" s="342">
        <f t="shared" si="16"/>
        <v>0.14947619686580935</v>
      </c>
      <c r="AJ45" s="371">
        <f t="shared" si="17"/>
        <v>0.14947619686580935</v>
      </c>
    </row>
    <row r="46" spans="1:36" x14ac:dyDescent="0.35">
      <c r="A46" s="343">
        <v>101</v>
      </c>
      <c r="B46" s="14"/>
      <c r="C46" s="14"/>
      <c r="D46" s="284" t="s">
        <v>130</v>
      </c>
      <c r="F46" t="s">
        <v>546</v>
      </c>
      <c r="G46">
        <v>60126</v>
      </c>
      <c r="H46" t="s">
        <v>217</v>
      </c>
      <c r="I46" t="s">
        <v>0</v>
      </c>
      <c r="J46" s="368">
        <v>47156400</v>
      </c>
      <c r="K46" s="368">
        <v>43372</v>
      </c>
      <c r="L46" s="368">
        <v>6776520</v>
      </c>
      <c r="M46" s="368">
        <v>49730786.420000009</v>
      </c>
      <c r="N46" s="368">
        <v>3499681.0000000075</v>
      </c>
      <c r="O46" s="368">
        <v>5641720</v>
      </c>
      <c r="P46" s="368">
        <v>50970080.539999999</v>
      </c>
      <c r="Q46" s="368">
        <v>52543.539999999106</v>
      </c>
      <c r="R46" s="368">
        <v>5295303</v>
      </c>
      <c r="S46" s="369">
        <v>668114719</v>
      </c>
      <c r="T46" s="369">
        <v>64789644</v>
      </c>
      <c r="U46" s="369">
        <v>26538354</v>
      </c>
      <c r="V46" s="369">
        <v>633585942.56699991</v>
      </c>
      <c r="W46" s="369">
        <v>42937294.14700003</v>
      </c>
      <c r="X46" s="369">
        <v>46894465</v>
      </c>
      <c r="Y46" s="369">
        <v>639354872.58999991</v>
      </c>
      <c r="Z46" s="369">
        <v>-10443748.409999996</v>
      </c>
      <c r="AA46" s="369">
        <v>44320700</v>
      </c>
      <c r="AB46" s="370">
        <f t="shared" si="9"/>
        <v>147857266.96000001</v>
      </c>
      <c r="AC46" s="370">
        <f t="shared" si="10"/>
        <v>3595596.5400000066</v>
      </c>
      <c r="AD46" s="370">
        <f t="shared" si="11"/>
        <v>17713543</v>
      </c>
      <c r="AE46" s="370">
        <f t="shared" si="12"/>
        <v>1941055534.1569998</v>
      </c>
      <c r="AF46" s="370">
        <f t="shared" si="13"/>
        <v>97283189.737000033</v>
      </c>
      <c r="AG46" s="370">
        <f t="shared" si="14"/>
        <v>117753519</v>
      </c>
      <c r="AH46" s="342">
        <f t="shared" si="15"/>
        <v>0.14411966336267254</v>
      </c>
      <c r="AI46" s="342">
        <f t="shared" si="16"/>
        <v>0.11078338818904038</v>
      </c>
      <c r="AJ46" s="371">
        <f t="shared" si="17"/>
        <v>0.14411966336267254</v>
      </c>
    </row>
    <row r="47" spans="1:36" x14ac:dyDescent="0.35">
      <c r="A47" s="343">
        <v>105</v>
      </c>
      <c r="B47" s="14"/>
      <c r="C47" s="14"/>
      <c r="D47" s="284" t="s">
        <v>132</v>
      </c>
      <c r="F47" t="s">
        <v>535</v>
      </c>
      <c r="G47">
        <v>60128</v>
      </c>
      <c r="H47" t="s">
        <v>218</v>
      </c>
      <c r="I47" t="s">
        <v>0</v>
      </c>
      <c r="J47" s="368">
        <v>92889207.949999988</v>
      </c>
      <c r="K47" s="368">
        <v>-30462070.734408021</v>
      </c>
      <c r="L47" s="368">
        <v>15445606.650000002</v>
      </c>
      <c r="M47" s="368">
        <v>118160808.41999997</v>
      </c>
      <c r="N47" s="368">
        <v>-22102112.358372018</v>
      </c>
      <c r="O47" s="368">
        <v>16291996.563572831</v>
      </c>
      <c r="P47" s="368">
        <v>147391342</v>
      </c>
      <c r="Q47" s="368">
        <v>1347257</v>
      </c>
      <c r="R47" s="368">
        <v>15355736</v>
      </c>
      <c r="S47" s="369">
        <v>4613796407.9000015</v>
      </c>
      <c r="T47" s="369">
        <v>589771677.34712648</v>
      </c>
      <c r="U47" s="369">
        <v>193745564.91000003</v>
      </c>
      <c r="V47" s="369">
        <v>4684099729.3099995</v>
      </c>
      <c r="W47" s="369">
        <v>203097814.92013457</v>
      </c>
      <c r="X47" s="369">
        <v>253602163.74551889</v>
      </c>
      <c r="Y47" s="369">
        <v>5315978587.2299995</v>
      </c>
      <c r="Z47" s="369">
        <v>511057499.23000002</v>
      </c>
      <c r="AA47" s="369">
        <v>254941218</v>
      </c>
      <c r="AB47" s="370">
        <f t="shared" si="9"/>
        <v>358441358.36999995</v>
      </c>
      <c r="AC47" s="370">
        <f t="shared" si="10"/>
        <v>-51216926.092780039</v>
      </c>
      <c r="AD47" s="370">
        <f t="shared" si="11"/>
        <v>47093339.21357283</v>
      </c>
      <c r="AE47" s="370">
        <f t="shared" si="12"/>
        <v>14613874724.440001</v>
      </c>
      <c r="AF47" s="370">
        <f t="shared" si="13"/>
        <v>1303926991.497261</v>
      </c>
      <c r="AG47" s="370">
        <f t="shared" si="14"/>
        <v>702288946.65551889</v>
      </c>
      <c r="AH47" s="342">
        <f t="shared" si="15"/>
        <v>-1.1504216193017128E-2</v>
      </c>
      <c r="AI47" s="342">
        <f t="shared" si="16"/>
        <v>0.13728158862602113</v>
      </c>
      <c r="AJ47" s="371">
        <f t="shared" si="17"/>
        <v>0.13728158862602113</v>
      </c>
    </row>
    <row r="48" spans="1:36" x14ac:dyDescent="0.35">
      <c r="A48" s="343">
        <v>104</v>
      </c>
      <c r="B48" s="14"/>
      <c r="C48" s="14"/>
      <c r="D48" s="284" t="s">
        <v>134</v>
      </c>
      <c r="F48" t="s">
        <v>533</v>
      </c>
      <c r="G48">
        <v>60129</v>
      </c>
      <c r="H48" t="s">
        <v>218</v>
      </c>
      <c r="I48" t="s">
        <v>0</v>
      </c>
      <c r="J48" s="368">
        <v>23098880.479999989</v>
      </c>
      <c r="K48" s="368">
        <v>-22754002.564611025</v>
      </c>
      <c r="L48" s="368">
        <v>2527244.0499999998</v>
      </c>
      <c r="M48" s="368">
        <v>37957881.300000012</v>
      </c>
      <c r="N48" s="368">
        <v>-10372802.110676706</v>
      </c>
      <c r="O48" s="368">
        <v>3236043.2975054407</v>
      </c>
      <c r="P48" s="368">
        <v>50619150</v>
      </c>
      <c r="Q48" s="368">
        <v>-7520789</v>
      </c>
      <c r="R48" s="368">
        <v>4233639</v>
      </c>
      <c r="S48" s="369">
        <v>4613796407.9000015</v>
      </c>
      <c r="T48" s="369">
        <v>589771677.34712648</v>
      </c>
      <c r="U48" s="369">
        <v>193745564.91000003</v>
      </c>
      <c r="V48" s="369">
        <v>4684099729.3099995</v>
      </c>
      <c r="W48" s="369">
        <v>203097814.92013457</v>
      </c>
      <c r="X48" s="369">
        <v>253602163.74551889</v>
      </c>
      <c r="Y48" s="369">
        <v>5315978587.2299995</v>
      </c>
      <c r="Z48" s="369">
        <v>511057499.23000002</v>
      </c>
      <c r="AA48" s="369">
        <v>254941218</v>
      </c>
      <c r="AB48" s="370">
        <f t="shared" si="9"/>
        <v>111675911.78</v>
      </c>
      <c r="AC48" s="370">
        <f t="shared" si="10"/>
        <v>-40647593.675287731</v>
      </c>
      <c r="AD48" s="370">
        <f t="shared" si="11"/>
        <v>9996926.3475054409</v>
      </c>
      <c r="AE48" s="370">
        <f t="shared" si="12"/>
        <v>14613874724.440001</v>
      </c>
      <c r="AF48" s="370">
        <f t="shared" si="13"/>
        <v>1303926991.497261</v>
      </c>
      <c r="AG48" s="370">
        <f t="shared" si="14"/>
        <v>702288946.65551889</v>
      </c>
      <c r="AH48" s="342">
        <f t="shared" si="15"/>
        <v>-0.27446086482968396</v>
      </c>
      <c r="AI48" s="342">
        <f t="shared" si="16"/>
        <v>0.13728158862602113</v>
      </c>
      <c r="AJ48" s="371">
        <f t="shared" si="17"/>
        <v>0.13728158862602113</v>
      </c>
    </row>
    <row r="49" spans="1:38" x14ac:dyDescent="0.35">
      <c r="A49" s="343">
        <v>107</v>
      </c>
      <c r="B49" s="14"/>
      <c r="C49" s="14"/>
      <c r="D49" s="284" t="s">
        <v>136</v>
      </c>
      <c r="F49" t="s">
        <v>534</v>
      </c>
      <c r="G49">
        <v>60130</v>
      </c>
      <c r="H49" t="s">
        <v>218</v>
      </c>
      <c r="I49" t="s">
        <v>0</v>
      </c>
      <c r="J49" s="368">
        <v>35823440.170000017</v>
      </c>
      <c r="K49" s="368">
        <v>-3318832.5465428829</v>
      </c>
      <c r="L49" s="368">
        <v>934760.1100000001</v>
      </c>
      <c r="M49" s="368">
        <v>36887452.389999993</v>
      </c>
      <c r="N49" s="368">
        <v>-7786478.8937738314</v>
      </c>
      <c r="O49" s="368">
        <v>2388275.0342486743</v>
      </c>
      <c r="P49" s="368">
        <v>43369201</v>
      </c>
      <c r="Q49" s="368">
        <v>-5319304</v>
      </c>
      <c r="R49" s="368">
        <v>4120395</v>
      </c>
      <c r="S49" s="369">
        <v>4613796407.9000015</v>
      </c>
      <c r="T49" s="369">
        <v>589771677.34712648</v>
      </c>
      <c r="U49" s="369">
        <v>193745564.91000003</v>
      </c>
      <c r="V49" s="369">
        <v>4684099729.3099995</v>
      </c>
      <c r="W49" s="369">
        <v>203097814.92013457</v>
      </c>
      <c r="X49" s="369">
        <v>253602163.74551889</v>
      </c>
      <c r="Y49" s="369">
        <v>5315978587.2299995</v>
      </c>
      <c r="Z49" s="369">
        <v>511057499.23000002</v>
      </c>
      <c r="AA49" s="369">
        <v>254941218</v>
      </c>
      <c r="AB49" s="370">
        <f t="shared" si="9"/>
        <v>116080093.56</v>
      </c>
      <c r="AC49" s="370">
        <f t="shared" si="10"/>
        <v>-16424615.440316714</v>
      </c>
      <c r="AD49" s="370">
        <f t="shared" si="11"/>
        <v>7443430.1442486746</v>
      </c>
      <c r="AE49" s="370">
        <f t="shared" si="12"/>
        <v>14613874724.440001</v>
      </c>
      <c r="AF49" s="370">
        <f t="shared" si="13"/>
        <v>1303926991.497261</v>
      </c>
      <c r="AG49" s="370">
        <f t="shared" si="14"/>
        <v>702288946.65551889</v>
      </c>
      <c r="AH49" s="342">
        <f t="shared" si="15"/>
        <v>-7.7370589742209353E-2</v>
      </c>
      <c r="AI49" s="342">
        <f t="shared" si="16"/>
        <v>0.13728158862602113</v>
      </c>
      <c r="AJ49" s="371">
        <f t="shared" si="17"/>
        <v>0.13728158862602113</v>
      </c>
    </row>
    <row r="50" spans="1:38" x14ac:dyDescent="0.35">
      <c r="A50" s="343">
        <v>109</v>
      </c>
      <c r="B50" s="284"/>
      <c r="C50" s="14"/>
      <c r="D50" s="286" t="s">
        <v>138</v>
      </c>
      <c r="F50" t="s">
        <v>536</v>
      </c>
      <c r="G50">
        <v>60131</v>
      </c>
      <c r="H50" t="s">
        <v>218</v>
      </c>
      <c r="I50" t="s">
        <v>0</v>
      </c>
      <c r="J50" s="373">
        <v>0</v>
      </c>
      <c r="K50" s="373">
        <v>0</v>
      </c>
      <c r="L50" s="373">
        <v>0</v>
      </c>
      <c r="M50" s="368">
        <v>99061723.899999887</v>
      </c>
      <c r="N50" s="368">
        <v>-48907000.8602947</v>
      </c>
      <c r="O50" s="368">
        <v>17927746.257298738</v>
      </c>
      <c r="P50" s="368">
        <v>145586550</v>
      </c>
      <c r="Q50" s="368">
        <v>-13053958</v>
      </c>
      <c r="R50" s="368">
        <v>18701980</v>
      </c>
      <c r="S50" s="369">
        <v>4613796407.9000015</v>
      </c>
      <c r="T50" s="369">
        <v>589771677.34712648</v>
      </c>
      <c r="U50" s="369">
        <v>193745564.91000003</v>
      </c>
      <c r="V50" s="369">
        <v>4684099729.3099995</v>
      </c>
      <c r="W50" s="369">
        <v>203097814.92013457</v>
      </c>
      <c r="X50" s="369">
        <v>253602163.74551889</v>
      </c>
      <c r="Y50" s="369">
        <v>5315978587.2299995</v>
      </c>
      <c r="Z50" s="369">
        <v>511057499.23000002</v>
      </c>
      <c r="AA50" s="369">
        <v>254941218</v>
      </c>
      <c r="AB50" s="370">
        <f t="shared" si="9"/>
        <v>244648273.89999989</v>
      </c>
      <c r="AC50" s="370">
        <f t="shared" si="10"/>
        <v>-61960958.8602947</v>
      </c>
      <c r="AD50" s="370">
        <f t="shared" si="11"/>
        <v>36629726.257298738</v>
      </c>
      <c r="AE50" s="370">
        <f t="shared" si="12"/>
        <v>14613874724.440001</v>
      </c>
      <c r="AF50" s="370">
        <f t="shared" si="13"/>
        <v>1303926991.497261</v>
      </c>
      <c r="AG50" s="370">
        <f t="shared" si="14"/>
        <v>702288946.65551889</v>
      </c>
      <c r="AH50" s="394">
        <f t="shared" si="15"/>
        <v>-0.10354143194711489</v>
      </c>
      <c r="AI50" s="342">
        <f t="shared" si="16"/>
        <v>0.13728158862602113</v>
      </c>
      <c r="AJ50" s="371">
        <f t="shared" si="17"/>
        <v>0.13728158862602113</v>
      </c>
      <c r="AK50" s="162" t="s">
        <v>3652</v>
      </c>
      <c r="AL50" s="151"/>
    </row>
    <row r="51" spans="1:38" x14ac:dyDescent="0.35">
      <c r="A51" s="343">
        <v>110</v>
      </c>
      <c r="B51" s="284"/>
      <c r="C51" s="14"/>
      <c r="D51" s="286" t="s">
        <v>140</v>
      </c>
      <c r="F51" t="s">
        <v>537</v>
      </c>
      <c r="G51">
        <v>60132</v>
      </c>
      <c r="H51" t="s">
        <v>218</v>
      </c>
      <c r="I51" t="s">
        <v>0</v>
      </c>
      <c r="J51" s="368">
        <v>541094.70999998855</v>
      </c>
      <c r="K51" s="368">
        <v>-34707998.014782138</v>
      </c>
      <c r="L51" s="368">
        <v>1883722.5399999998</v>
      </c>
      <c r="M51" s="368">
        <v>107071895.42000002</v>
      </c>
      <c r="N51" s="368">
        <v>-82198225.366176575</v>
      </c>
      <c r="O51" s="368">
        <v>33166011.510071326</v>
      </c>
      <c r="P51" s="368">
        <v>184076740</v>
      </c>
      <c r="Q51" s="368">
        <v>-34702447</v>
      </c>
      <c r="R51" s="368">
        <v>33036801</v>
      </c>
      <c r="S51" s="369">
        <v>4613796407.9000015</v>
      </c>
      <c r="T51" s="369">
        <v>589771677.34712648</v>
      </c>
      <c r="U51" s="369">
        <v>193745564.91000003</v>
      </c>
      <c r="V51" s="369">
        <v>4684099729.3099995</v>
      </c>
      <c r="W51" s="369">
        <v>203097814.92013457</v>
      </c>
      <c r="X51" s="369">
        <v>253602163.74551889</v>
      </c>
      <c r="Y51" s="369">
        <v>5315978587.2299995</v>
      </c>
      <c r="Z51" s="369">
        <v>511057499.23000002</v>
      </c>
      <c r="AA51" s="369">
        <v>254941218</v>
      </c>
      <c r="AB51" s="370">
        <f t="shared" si="9"/>
        <v>291689730.13</v>
      </c>
      <c r="AC51" s="370">
        <f t="shared" si="10"/>
        <v>-151608670.38095871</v>
      </c>
      <c r="AD51" s="370">
        <f t="shared" si="11"/>
        <v>68086535.050071329</v>
      </c>
      <c r="AE51" s="370">
        <f t="shared" si="12"/>
        <v>14613874724.440001</v>
      </c>
      <c r="AF51" s="370">
        <f t="shared" si="13"/>
        <v>1303926991.497261</v>
      </c>
      <c r="AG51" s="370">
        <f t="shared" si="14"/>
        <v>702288946.65551889</v>
      </c>
      <c r="AH51" s="342">
        <f t="shared" si="15"/>
        <v>-0.28633896467202774</v>
      </c>
      <c r="AI51" s="342">
        <f t="shared" si="16"/>
        <v>0.13728158862602113</v>
      </c>
      <c r="AJ51" s="371">
        <f t="shared" si="17"/>
        <v>0.13728158862602113</v>
      </c>
    </row>
    <row r="52" spans="1:38" x14ac:dyDescent="0.35">
      <c r="A52" s="343">
        <v>33</v>
      </c>
      <c r="B52" s="14"/>
      <c r="C52" s="14"/>
      <c r="D52" s="284" t="s">
        <v>142</v>
      </c>
      <c r="F52" t="s">
        <v>3705</v>
      </c>
      <c r="G52">
        <v>61300</v>
      </c>
      <c r="H52" s="286" t="s">
        <v>216</v>
      </c>
      <c r="I52" t="s">
        <v>525</v>
      </c>
      <c r="J52" s="368">
        <v>7821007.0599999996</v>
      </c>
      <c r="K52" s="368">
        <v>-190015.94000000041</v>
      </c>
      <c r="L52" s="368">
        <v>344221</v>
      </c>
      <c r="M52" s="368">
        <v>8792654.6500000004</v>
      </c>
      <c r="N52" s="368">
        <v>-142280.74000000022</v>
      </c>
      <c r="O52" s="368">
        <v>341790.91</v>
      </c>
      <c r="P52" s="368">
        <v>9719170.1999999993</v>
      </c>
      <c r="Q52" s="368">
        <v>-371600.3900000006</v>
      </c>
      <c r="R52" s="368">
        <v>436569.4</v>
      </c>
      <c r="S52" s="369">
        <v>0</v>
      </c>
      <c r="T52" s="369">
        <v>0</v>
      </c>
      <c r="U52" s="369">
        <v>0</v>
      </c>
      <c r="V52" s="369">
        <v>0</v>
      </c>
      <c r="W52" s="369">
        <v>0</v>
      </c>
      <c r="X52" s="369">
        <v>0</v>
      </c>
      <c r="Y52" s="369">
        <v>0</v>
      </c>
      <c r="Z52" s="369">
        <v>0</v>
      </c>
      <c r="AA52" s="369">
        <v>0</v>
      </c>
      <c r="AB52" s="370">
        <f t="shared" si="9"/>
        <v>26332831.91</v>
      </c>
      <c r="AC52" s="370">
        <f t="shared" si="10"/>
        <v>-703897.07000000123</v>
      </c>
      <c r="AD52" s="370">
        <f t="shared" si="11"/>
        <v>1122581.31</v>
      </c>
      <c r="AE52" s="370">
        <f t="shared" si="12"/>
        <v>0</v>
      </c>
      <c r="AF52" s="370">
        <f t="shared" si="13"/>
        <v>0</v>
      </c>
      <c r="AG52" s="370">
        <f t="shared" si="14"/>
        <v>0</v>
      </c>
      <c r="AH52" s="342">
        <f t="shared" si="15"/>
        <v>1.5899704271495455E-2</v>
      </c>
      <c r="AI52" s="342" t="str">
        <f t="shared" si="16"/>
        <v>NA</v>
      </c>
      <c r="AJ52" s="371">
        <f t="shared" si="17"/>
        <v>1.5899704271495455E-2</v>
      </c>
    </row>
    <row r="53" spans="1:38" x14ac:dyDescent="0.35">
      <c r="A53" s="343">
        <v>78</v>
      </c>
      <c r="B53" s="14"/>
      <c r="C53" s="14"/>
      <c r="D53" s="284" t="s">
        <v>145</v>
      </c>
      <c r="F53" t="s">
        <v>3699</v>
      </c>
      <c r="G53">
        <v>61301</v>
      </c>
      <c r="H53" s="286" t="s">
        <v>216</v>
      </c>
      <c r="I53" t="s">
        <v>525</v>
      </c>
      <c r="J53" s="368">
        <v>24053978.759999998</v>
      </c>
      <c r="K53" s="368">
        <v>1019210.7399999946</v>
      </c>
      <c r="L53" s="368">
        <v>1401425.32</v>
      </c>
      <c r="M53" s="368">
        <v>23558317</v>
      </c>
      <c r="N53" s="368">
        <v>872692</v>
      </c>
      <c r="O53" s="368">
        <v>1239183</v>
      </c>
      <c r="P53" s="368">
        <v>24662689</v>
      </c>
      <c r="Q53" s="368">
        <v>-90775</v>
      </c>
      <c r="R53" s="368">
        <v>1250856</v>
      </c>
      <c r="S53" s="369">
        <v>0</v>
      </c>
      <c r="T53" s="369">
        <v>0</v>
      </c>
      <c r="U53" s="369">
        <v>0</v>
      </c>
      <c r="V53" s="369">
        <v>0</v>
      </c>
      <c r="W53" s="369">
        <v>0</v>
      </c>
      <c r="X53" s="369">
        <v>0</v>
      </c>
      <c r="Y53" s="369">
        <v>0</v>
      </c>
      <c r="Z53" s="369">
        <v>0</v>
      </c>
      <c r="AA53" s="369">
        <v>0</v>
      </c>
      <c r="AB53" s="370">
        <f t="shared" si="9"/>
        <v>72274984.75999999</v>
      </c>
      <c r="AC53" s="370">
        <f t="shared" si="10"/>
        <v>1801127.7399999946</v>
      </c>
      <c r="AD53" s="370">
        <f t="shared" si="11"/>
        <v>3891464.3200000003</v>
      </c>
      <c r="AE53" s="370">
        <f t="shared" si="12"/>
        <v>0</v>
      </c>
      <c r="AF53" s="370">
        <f t="shared" si="13"/>
        <v>0</v>
      </c>
      <c r="AG53" s="370">
        <f t="shared" si="14"/>
        <v>0</v>
      </c>
      <c r="AH53" s="342">
        <f t="shared" si="15"/>
        <v>7.8762964515359038E-2</v>
      </c>
      <c r="AI53" s="342" t="str">
        <f t="shared" si="16"/>
        <v>NA</v>
      </c>
      <c r="AJ53" s="371">
        <f t="shared" si="17"/>
        <v>7.8762964515359038E-2</v>
      </c>
    </row>
    <row r="54" spans="1:38" x14ac:dyDescent="0.35">
      <c r="A54" s="343">
        <v>51</v>
      </c>
      <c r="B54" s="14"/>
      <c r="C54" s="14"/>
      <c r="D54" s="284" t="s">
        <v>147</v>
      </c>
      <c r="F54" t="s">
        <v>3682</v>
      </c>
      <c r="G54">
        <v>61302</v>
      </c>
      <c r="H54" s="286" t="s">
        <v>216</v>
      </c>
      <c r="I54" t="s">
        <v>525</v>
      </c>
      <c r="J54" s="368">
        <v>58248320</v>
      </c>
      <c r="K54" s="368">
        <v>11895031.099999979</v>
      </c>
      <c r="L54" s="368">
        <v>2649719.6800000067</v>
      </c>
      <c r="M54" s="368">
        <v>54984042</v>
      </c>
      <c r="N54" s="368">
        <v>6074761</v>
      </c>
      <c r="O54" s="368">
        <v>1960330</v>
      </c>
      <c r="P54" s="368">
        <v>63930925.350000001</v>
      </c>
      <c r="Q54" s="368">
        <v>10759898.910000004</v>
      </c>
      <c r="R54" s="368">
        <v>1988647.95</v>
      </c>
      <c r="S54" s="369">
        <v>0</v>
      </c>
      <c r="T54" s="369">
        <v>0</v>
      </c>
      <c r="U54" s="369">
        <v>0</v>
      </c>
      <c r="V54" s="369">
        <v>0</v>
      </c>
      <c r="W54" s="369">
        <v>0</v>
      </c>
      <c r="X54" s="369">
        <v>0</v>
      </c>
      <c r="Y54" s="369">
        <v>0</v>
      </c>
      <c r="Z54" s="369">
        <v>0</v>
      </c>
      <c r="AA54" s="369">
        <v>0</v>
      </c>
      <c r="AB54" s="370">
        <f t="shared" si="9"/>
        <v>177163287.34999999</v>
      </c>
      <c r="AC54" s="370">
        <f t="shared" si="10"/>
        <v>28729691.009999983</v>
      </c>
      <c r="AD54" s="370">
        <f t="shared" si="11"/>
        <v>6598697.6300000073</v>
      </c>
      <c r="AE54" s="370">
        <f t="shared" si="12"/>
        <v>0</v>
      </c>
      <c r="AF54" s="370">
        <f t="shared" si="13"/>
        <v>0</v>
      </c>
      <c r="AG54" s="370">
        <f t="shared" si="14"/>
        <v>0</v>
      </c>
      <c r="AH54" s="342">
        <f t="shared" si="15"/>
        <v>0.19941145351523076</v>
      </c>
      <c r="AI54" s="342" t="str">
        <f t="shared" si="16"/>
        <v>NA</v>
      </c>
      <c r="AJ54" s="371">
        <f t="shared" si="17"/>
        <v>0.19941145351523076</v>
      </c>
    </row>
    <row r="55" spans="1:38" x14ac:dyDescent="0.35">
      <c r="A55" s="343">
        <v>8</v>
      </c>
      <c r="B55" s="14"/>
      <c r="C55" s="14"/>
      <c r="D55" s="284" t="s">
        <v>149</v>
      </c>
      <c r="F55" t="s">
        <v>542</v>
      </c>
      <c r="G55">
        <v>61303</v>
      </c>
      <c r="H55" t="s">
        <v>217</v>
      </c>
      <c r="I55" t="s">
        <v>525</v>
      </c>
      <c r="J55" s="368">
        <v>34843599</v>
      </c>
      <c r="K55" s="368">
        <v>2705545</v>
      </c>
      <c r="L55" s="368">
        <v>558029</v>
      </c>
      <c r="M55" s="368">
        <v>36711953.057000019</v>
      </c>
      <c r="N55" s="368">
        <v>2581207.0570000187</v>
      </c>
      <c r="O55" s="368">
        <v>569190</v>
      </c>
      <c r="P55" s="368">
        <v>40278405</v>
      </c>
      <c r="Q55" s="368">
        <v>4111539</v>
      </c>
      <c r="R55" s="368">
        <v>556864</v>
      </c>
      <c r="S55" s="369">
        <v>668114719</v>
      </c>
      <c r="T55" s="369">
        <v>64789644</v>
      </c>
      <c r="U55" s="369">
        <v>26538354</v>
      </c>
      <c r="V55" s="369">
        <v>633585942.56699991</v>
      </c>
      <c r="W55" s="369">
        <v>42937294.14700003</v>
      </c>
      <c r="X55" s="369">
        <v>46894465</v>
      </c>
      <c r="Y55" s="369">
        <v>639354872.58999991</v>
      </c>
      <c r="Z55" s="369">
        <v>-10443748.409999996</v>
      </c>
      <c r="AA55" s="369">
        <v>44320700</v>
      </c>
      <c r="AB55" s="370">
        <f t="shared" si="9"/>
        <v>111833957.05700001</v>
      </c>
      <c r="AC55" s="370">
        <f t="shared" si="10"/>
        <v>9398291.0570000187</v>
      </c>
      <c r="AD55" s="370">
        <f t="shared" si="11"/>
        <v>1684083</v>
      </c>
      <c r="AE55" s="370">
        <f t="shared" si="12"/>
        <v>1941055534.1569998</v>
      </c>
      <c r="AF55" s="370">
        <f t="shared" si="13"/>
        <v>97283189.737000033</v>
      </c>
      <c r="AG55" s="370">
        <f t="shared" si="14"/>
        <v>117753519</v>
      </c>
      <c r="AH55" s="342">
        <f t="shared" si="15"/>
        <v>9.9096681800783515E-2</v>
      </c>
      <c r="AI55" s="342">
        <f t="shared" si="16"/>
        <v>0.11078338818904038</v>
      </c>
      <c r="AJ55" s="371">
        <f t="shared" si="17"/>
        <v>0.11078338818904038</v>
      </c>
    </row>
    <row r="56" spans="1:38" x14ac:dyDescent="0.35">
      <c r="A56" s="343">
        <v>12</v>
      </c>
      <c r="B56" s="14"/>
      <c r="C56" s="14"/>
      <c r="D56" s="284" t="s">
        <v>151</v>
      </c>
      <c r="F56" t="s">
        <v>3686</v>
      </c>
      <c r="G56">
        <v>61304</v>
      </c>
      <c r="H56" s="286" t="s">
        <v>216</v>
      </c>
      <c r="I56" t="s">
        <v>525</v>
      </c>
      <c r="J56" s="373">
        <v>0</v>
      </c>
      <c r="K56" s="373">
        <v>0</v>
      </c>
      <c r="L56" s="373">
        <v>0</v>
      </c>
      <c r="M56" s="368">
        <v>12737893</v>
      </c>
      <c r="N56" s="368">
        <v>2061912.0079999994</v>
      </c>
      <c r="O56" s="368">
        <v>344907.49</v>
      </c>
      <c r="P56" s="368">
        <v>15070655</v>
      </c>
      <c r="Q56" s="368">
        <v>2626197.3699999992</v>
      </c>
      <c r="R56" s="368">
        <v>347448</v>
      </c>
      <c r="S56" s="369">
        <v>0</v>
      </c>
      <c r="T56" s="369">
        <v>0</v>
      </c>
      <c r="U56" s="369">
        <v>0</v>
      </c>
      <c r="V56" s="369">
        <v>0</v>
      </c>
      <c r="W56" s="369">
        <v>0</v>
      </c>
      <c r="X56" s="369">
        <v>0</v>
      </c>
      <c r="Y56" s="369">
        <v>0</v>
      </c>
      <c r="Z56" s="369">
        <v>0</v>
      </c>
      <c r="AA56" s="369">
        <v>0</v>
      </c>
      <c r="AB56" s="370">
        <f t="shared" si="9"/>
        <v>27808548</v>
      </c>
      <c r="AC56" s="370">
        <f t="shared" si="10"/>
        <v>4688109.3779999986</v>
      </c>
      <c r="AD56" s="370">
        <f t="shared" si="11"/>
        <v>692355.49</v>
      </c>
      <c r="AE56" s="370">
        <f t="shared" si="12"/>
        <v>0</v>
      </c>
      <c r="AF56" s="370">
        <f t="shared" si="13"/>
        <v>0</v>
      </c>
      <c r="AG56" s="370">
        <f t="shared" si="14"/>
        <v>0</v>
      </c>
      <c r="AH56" s="394">
        <f t="shared" si="15"/>
        <v>0.19348240936563818</v>
      </c>
      <c r="AI56" s="394" t="str">
        <f t="shared" si="16"/>
        <v>NA</v>
      </c>
      <c r="AJ56" s="395">
        <f t="shared" si="17"/>
        <v>0.19348240936563818</v>
      </c>
      <c r="AK56" s="162" t="s">
        <v>3652</v>
      </c>
    </row>
    <row r="57" spans="1:38" x14ac:dyDescent="0.35">
      <c r="A57" s="343">
        <v>18</v>
      </c>
      <c r="B57" s="14"/>
      <c r="C57" s="14"/>
      <c r="D57" s="284" t="s">
        <v>153</v>
      </c>
      <c r="F57" t="s">
        <v>3691</v>
      </c>
      <c r="G57">
        <v>61305</v>
      </c>
      <c r="H57" s="286" t="s">
        <v>216</v>
      </c>
      <c r="I57" t="s">
        <v>525</v>
      </c>
      <c r="J57" s="368">
        <v>16791171</v>
      </c>
      <c r="K57" s="368">
        <v>-1438218</v>
      </c>
      <c r="L57" s="368">
        <v>1239557</v>
      </c>
      <c r="M57" s="368">
        <v>17882108.689999998</v>
      </c>
      <c r="N57" s="368">
        <v>-1419385.3100000024</v>
      </c>
      <c r="O57" s="368">
        <v>1422701</v>
      </c>
      <c r="P57" s="368">
        <v>20867702</v>
      </c>
      <c r="Q57" s="368">
        <v>-974710</v>
      </c>
      <c r="R57" s="368">
        <v>1609668</v>
      </c>
      <c r="S57" s="369">
        <v>0</v>
      </c>
      <c r="T57" s="369">
        <v>0</v>
      </c>
      <c r="U57" s="369">
        <v>0</v>
      </c>
      <c r="V57" s="369">
        <v>0</v>
      </c>
      <c r="W57" s="369">
        <v>0</v>
      </c>
      <c r="X57" s="369">
        <v>0</v>
      </c>
      <c r="Y57" s="369">
        <v>0</v>
      </c>
      <c r="Z57" s="369">
        <v>0</v>
      </c>
      <c r="AA57" s="369">
        <v>0</v>
      </c>
      <c r="AB57" s="370">
        <f t="shared" si="9"/>
        <v>55540981.689999998</v>
      </c>
      <c r="AC57" s="370">
        <f t="shared" si="10"/>
        <v>-3832313.3100000024</v>
      </c>
      <c r="AD57" s="370">
        <f t="shared" si="11"/>
        <v>4271926</v>
      </c>
      <c r="AE57" s="370">
        <f t="shared" si="12"/>
        <v>0</v>
      </c>
      <c r="AF57" s="370">
        <f t="shared" si="13"/>
        <v>0</v>
      </c>
      <c r="AG57" s="370">
        <f t="shared" si="14"/>
        <v>0</v>
      </c>
      <c r="AH57" s="342">
        <f t="shared" si="15"/>
        <v>7.9151047861141556E-3</v>
      </c>
      <c r="AI57" s="342" t="str">
        <f t="shared" si="16"/>
        <v>NA</v>
      </c>
      <c r="AJ57" s="371">
        <f t="shared" si="17"/>
        <v>7.9151047861141556E-3</v>
      </c>
    </row>
    <row r="58" spans="1:38" x14ac:dyDescent="0.35">
      <c r="A58" s="343">
        <v>17</v>
      </c>
      <c r="B58" s="14"/>
      <c r="C58" s="14"/>
      <c r="D58" s="284" t="s">
        <v>155</v>
      </c>
      <c r="F58" t="s">
        <v>3690</v>
      </c>
      <c r="G58">
        <v>61306</v>
      </c>
      <c r="H58" s="286" t="s">
        <v>216</v>
      </c>
      <c r="I58" t="s">
        <v>525</v>
      </c>
      <c r="J58" s="368">
        <v>17408203.489999998</v>
      </c>
      <c r="K58" s="368">
        <v>-1575973.0600000024</v>
      </c>
      <c r="L58" s="368">
        <v>531116</v>
      </c>
      <c r="M58" s="368">
        <v>16221668.400000004</v>
      </c>
      <c r="N58" s="368">
        <v>-3455050.2999999914</v>
      </c>
      <c r="O58" s="368">
        <v>525743.76</v>
      </c>
      <c r="P58" s="368">
        <v>22414625.350000001</v>
      </c>
      <c r="Q58" s="368">
        <v>-1279137.6199999973</v>
      </c>
      <c r="R58" s="368">
        <v>529497.24</v>
      </c>
      <c r="S58" s="369">
        <v>0</v>
      </c>
      <c r="T58" s="369">
        <v>0</v>
      </c>
      <c r="U58" s="369">
        <v>0</v>
      </c>
      <c r="V58" s="369">
        <v>0</v>
      </c>
      <c r="W58" s="369">
        <v>0</v>
      </c>
      <c r="X58" s="369">
        <v>0</v>
      </c>
      <c r="Y58" s="369">
        <v>0</v>
      </c>
      <c r="Z58" s="369">
        <v>0</v>
      </c>
      <c r="AA58" s="369">
        <v>0</v>
      </c>
      <c r="AB58" s="370">
        <f t="shared" si="9"/>
        <v>56044497.240000002</v>
      </c>
      <c r="AC58" s="370">
        <f t="shared" si="10"/>
        <v>-6310160.9799999911</v>
      </c>
      <c r="AD58" s="370">
        <f t="shared" si="11"/>
        <v>1586357</v>
      </c>
      <c r="AE58" s="370">
        <f t="shared" si="12"/>
        <v>0</v>
      </c>
      <c r="AF58" s="370">
        <f t="shared" si="13"/>
        <v>0</v>
      </c>
      <c r="AG58" s="370">
        <f t="shared" si="14"/>
        <v>0</v>
      </c>
      <c r="AH58" s="342">
        <f t="shared" si="15"/>
        <v>-8.4286668854770708E-2</v>
      </c>
      <c r="AI58" s="342" t="str">
        <f t="shared" si="16"/>
        <v>NA</v>
      </c>
      <c r="AJ58" s="371">
        <f t="shared" si="17"/>
        <v>-8.4286668854770708E-2</v>
      </c>
    </row>
    <row r="59" spans="1:38" x14ac:dyDescent="0.35">
      <c r="A59" s="343">
        <v>27</v>
      </c>
      <c r="B59" s="14"/>
      <c r="C59" s="14"/>
      <c r="D59" s="284" t="s">
        <v>157</v>
      </c>
      <c r="F59" t="s">
        <v>3698</v>
      </c>
      <c r="G59">
        <v>61307</v>
      </c>
      <c r="H59" s="286" t="s">
        <v>216</v>
      </c>
      <c r="I59" t="s">
        <v>525</v>
      </c>
      <c r="J59" s="368">
        <v>5811884.7621362591</v>
      </c>
      <c r="K59" s="368">
        <v>-10752117.237863742</v>
      </c>
      <c r="L59" s="389">
        <v>0</v>
      </c>
      <c r="M59" s="368">
        <v>10012991.629999999</v>
      </c>
      <c r="N59" s="368">
        <v>-7331706.1300000027</v>
      </c>
      <c r="O59" s="368">
        <v>2032678</v>
      </c>
      <c r="P59" s="368">
        <v>14163950.619999999</v>
      </c>
      <c r="Q59" s="368">
        <v>-5230673.3800000008</v>
      </c>
      <c r="R59" s="368">
        <v>1966379</v>
      </c>
      <c r="S59" s="369">
        <v>0</v>
      </c>
      <c r="T59" s="369">
        <v>0</v>
      </c>
      <c r="U59" s="369">
        <v>0</v>
      </c>
      <c r="V59" s="369">
        <v>0</v>
      </c>
      <c r="W59" s="369">
        <v>0</v>
      </c>
      <c r="X59" s="369">
        <v>0</v>
      </c>
      <c r="Y59" s="369">
        <v>0</v>
      </c>
      <c r="Z59" s="369">
        <v>0</v>
      </c>
      <c r="AA59" s="369">
        <v>0</v>
      </c>
      <c r="AB59" s="370">
        <f t="shared" si="9"/>
        <v>29988827.012136258</v>
      </c>
      <c r="AC59" s="370">
        <f t="shared" si="10"/>
        <v>-23314496.747863747</v>
      </c>
      <c r="AD59" s="370">
        <f t="shared" si="11"/>
        <v>3999057</v>
      </c>
      <c r="AE59" s="370">
        <f t="shared" si="12"/>
        <v>0</v>
      </c>
      <c r="AF59" s="370">
        <f t="shared" si="13"/>
        <v>0</v>
      </c>
      <c r="AG59" s="370">
        <f t="shared" si="14"/>
        <v>0</v>
      </c>
      <c r="AH59" s="342">
        <f t="shared" si="15"/>
        <v>-0.64408787112770138</v>
      </c>
      <c r="AI59" s="342" t="str">
        <f t="shared" si="16"/>
        <v>NA</v>
      </c>
      <c r="AJ59" s="371">
        <f t="shared" si="17"/>
        <v>-0.64408787112770138</v>
      </c>
    </row>
    <row r="60" spans="1:38" x14ac:dyDescent="0.35">
      <c r="A60" s="343">
        <v>46</v>
      </c>
      <c r="B60" s="14"/>
      <c r="C60" s="14"/>
      <c r="D60" s="284" t="s">
        <v>159</v>
      </c>
      <c r="F60" t="s">
        <v>524</v>
      </c>
      <c r="G60">
        <v>61308</v>
      </c>
      <c r="H60" t="s">
        <v>279</v>
      </c>
      <c r="I60" t="s">
        <v>525</v>
      </c>
      <c r="J60" s="368">
        <v>10502728</v>
      </c>
      <c r="K60" s="368">
        <v>192802</v>
      </c>
      <c r="L60" s="368">
        <v>346027</v>
      </c>
      <c r="M60" s="368">
        <v>11623978</v>
      </c>
      <c r="N60" s="368">
        <v>697046</v>
      </c>
      <c r="O60" s="368">
        <v>460827</v>
      </c>
      <c r="P60" s="368">
        <v>12604825</v>
      </c>
      <c r="Q60" s="368">
        <v>2502569</v>
      </c>
      <c r="R60" s="368">
        <v>553728</v>
      </c>
      <c r="S60" s="369">
        <v>102250204</v>
      </c>
      <c r="T60" s="369">
        <v>3173287</v>
      </c>
      <c r="U60" s="369">
        <v>3038247</v>
      </c>
      <c r="V60" s="369">
        <v>103198958</v>
      </c>
      <c r="W60" s="369">
        <v>-378504</v>
      </c>
      <c r="X60" s="369">
        <v>3641991</v>
      </c>
      <c r="Y60" s="369">
        <v>117630879.29000001</v>
      </c>
      <c r="Z60" s="369">
        <v>8065085.2900000066</v>
      </c>
      <c r="AA60" s="369">
        <v>4326782</v>
      </c>
      <c r="AB60" s="370">
        <f t="shared" si="9"/>
        <v>34731531</v>
      </c>
      <c r="AC60" s="370">
        <f t="shared" si="10"/>
        <v>3392417</v>
      </c>
      <c r="AD60" s="370">
        <f t="shared" si="11"/>
        <v>1360582</v>
      </c>
      <c r="AE60" s="370">
        <f t="shared" si="12"/>
        <v>323080041.29000002</v>
      </c>
      <c r="AF60" s="370">
        <f t="shared" si="13"/>
        <v>10859868.290000007</v>
      </c>
      <c r="AG60" s="370">
        <f t="shared" si="14"/>
        <v>11007020</v>
      </c>
      <c r="AH60" s="342">
        <f t="shared" si="15"/>
        <v>0.13684968278536297</v>
      </c>
      <c r="AI60" s="342">
        <f t="shared" si="16"/>
        <v>6.7682572413602177E-2</v>
      </c>
      <c r="AJ60" s="371">
        <f t="shared" si="17"/>
        <v>0.13684968278536297</v>
      </c>
    </row>
    <row r="61" spans="1:38" x14ac:dyDescent="0.35">
      <c r="A61" s="343">
        <v>34</v>
      </c>
      <c r="B61" s="14"/>
      <c r="C61" s="14"/>
      <c r="D61" s="284" t="s">
        <v>161</v>
      </c>
      <c r="F61" t="s">
        <v>3706</v>
      </c>
      <c r="G61">
        <v>61309</v>
      </c>
      <c r="H61" s="286" t="s">
        <v>216</v>
      </c>
      <c r="I61" t="s">
        <v>525</v>
      </c>
      <c r="J61" s="368">
        <v>22148693</v>
      </c>
      <c r="K61" s="368">
        <v>-1809979</v>
      </c>
      <c r="L61" s="368">
        <v>1057261</v>
      </c>
      <c r="M61" s="368">
        <v>24230907</v>
      </c>
      <c r="N61" s="368">
        <v>-134664</v>
      </c>
      <c r="O61" s="368">
        <v>1028990</v>
      </c>
      <c r="P61" s="368">
        <v>31019354</v>
      </c>
      <c r="Q61" s="368">
        <v>1427948</v>
      </c>
      <c r="R61" s="368">
        <v>1128891</v>
      </c>
      <c r="S61" s="369">
        <v>0</v>
      </c>
      <c r="T61" s="369">
        <v>0</v>
      </c>
      <c r="U61" s="369">
        <v>0</v>
      </c>
      <c r="V61" s="369">
        <v>0</v>
      </c>
      <c r="W61" s="369">
        <v>0</v>
      </c>
      <c r="X61" s="369">
        <v>0</v>
      </c>
      <c r="Y61" s="369">
        <v>0</v>
      </c>
      <c r="Z61" s="369">
        <v>0</v>
      </c>
      <c r="AA61" s="369">
        <v>0</v>
      </c>
      <c r="AB61" s="370">
        <f t="shared" si="9"/>
        <v>77398954</v>
      </c>
      <c r="AC61" s="370">
        <f t="shared" si="10"/>
        <v>-516695</v>
      </c>
      <c r="AD61" s="370">
        <f t="shared" si="11"/>
        <v>3215142</v>
      </c>
      <c r="AE61" s="370">
        <f t="shared" si="12"/>
        <v>0</v>
      </c>
      <c r="AF61" s="370">
        <f t="shared" si="13"/>
        <v>0</v>
      </c>
      <c r="AG61" s="370">
        <f t="shared" si="14"/>
        <v>0</v>
      </c>
      <c r="AH61" s="342">
        <f t="shared" si="15"/>
        <v>3.4864127491955513E-2</v>
      </c>
      <c r="AI61" s="342" t="str">
        <f t="shared" si="16"/>
        <v>NA</v>
      </c>
      <c r="AJ61" s="371">
        <f t="shared" si="17"/>
        <v>3.4864127491955513E-2</v>
      </c>
    </row>
    <row r="62" spans="1:38" x14ac:dyDescent="0.35">
      <c r="A62" s="343">
        <v>28</v>
      </c>
      <c r="B62" s="14"/>
      <c r="C62" s="14"/>
      <c r="D62" s="284" t="s">
        <v>163</v>
      </c>
      <c r="F62" t="s">
        <v>3700</v>
      </c>
      <c r="G62">
        <v>61310</v>
      </c>
      <c r="H62" s="286" t="s">
        <v>216</v>
      </c>
      <c r="I62" t="s">
        <v>525</v>
      </c>
      <c r="J62" s="368">
        <v>13139404</v>
      </c>
      <c r="K62" s="368">
        <v>1139905</v>
      </c>
      <c r="L62" s="368">
        <v>502805</v>
      </c>
      <c r="M62" s="368">
        <v>14844696</v>
      </c>
      <c r="N62" s="368">
        <v>2145804</v>
      </c>
      <c r="O62" s="368">
        <v>563623</v>
      </c>
      <c r="P62" s="368">
        <v>15537664</v>
      </c>
      <c r="Q62" s="368">
        <v>1400338</v>
      </c>
      <c r="R62" s="368">
        <v>787601</v>
      </c>
      <c r="S62" s="369">
        <v>0</v>
      </c>
      <c r="T62" s="369">
        <v>0</v>
      </c>
      <c r="U62" s="369">
        <v>0</v>
      </c>
      <c r="V62" s="369">
        <v>0</v>
      </c>
      <c r="W62" s="369">
        <v>0</v>
      </c>
      <c r="X62" s="369">
        <v>0</v>
      </c>
      <c r="Y62" s="369">
        <v>0</v>
      </c>
      <c r="Z62" s="369">
        <v>0</v>
      </c>
      <c r="AA62" s="369">
        <v>0</v>
      </c>
      <c r="AB62" s="370">
        <f t="shared" si="9"/>
        <v>43521764</v>
      </c>
      <c r="AC62" s="370">
        <f t="shared" si="10"/>
        <v>4686047</v>
      </c>
      <c r="AD62" s="370">
        <f t="shared" si="11"/>
        <v>1854029</v>
      </c>
      <c r="AE62" s="370">
        <f t="shared" si="12"/>
        <v>0</v>
      </c>
      <c r="AF62" s="370">
        <f t="shared" si="13"/>
        <v>0</v>
      </c>
      <c r="AG62" s="370">
        <f t="shared" si="14"/>
        <v>0</v>
      </c>
      <c r="AH62" s="342">
        <f t="shared" si="15"/>
        <v>0.15027139065411044</v>
      </c>
      <c r="AI62" s="342" t="str">
        <f t="shared" si="16"/>
        <v>NA</v>
      </c>
      <c r="AJ62" s="371">
        <f t="shared" si="17"/>
        <v>0.15027139065411044</v>
      </c>
    </row>
    <row r="63" spans="1:38" x14ac:dyDescent="0.35">
      <c r="A63" s="343">
        <v>29</v>
      </c>
      <c r="B63" s="14"/>
      <c r="C63" s="14"/>
      <c r="D63" s="284" t="s">
        <v>165</v>
      </c>
      <c r="F63" t="s">
        <v>3701</v>
      </c>
      <c r="G63">
        <v>61311</v>
      </c>
      <c r="H63" s="286" t="s">
        <v>216</v>
      </c>
      <c r="I63" t="s">
        <v>525</v>
      </c>
      <c r="J63" s="368">
        <v>17114790</v>
      </c>
      <c r="K63" s="368">
        <v>-1088030</v>
      </c>
      <c r="L63" s="368">
        <v>761529</v>
      </c>
      <c r="M63" s="368">
        <v>19647278.630000003</v>
      </c>
      <c r="N63" s="368">
        <v>385507.20000000298</v>
      </c>
      <c r="O63" s="368">
        <v>738305.28</v>
      </c>
      <c r="P63" s="368">
        <v>23515918</v>
      </c>
      <c r="Q63" s="368">
        <v>1928265</v>
      </c>
      <c r="R63" s="368">
        <v>807207</v>
      </c>
      <c r="S63" s="369">
        <v>0</v>
      </c>
      <c r="T63" s="369">
        <v>0</v>
      </c>
      <c r="U63" s="369">
        <v>0</v>
      </c>
      <c r="V63" s="369">
        <v>0</v>
      </c>
      <c r="W63" s="369">
        <v>0</v>
      </c>
      <c r="X63" s="369">
        <v>0</v>
      </c>
      <c r="Y63" s="369">
        <v>0</v>
      </c>
      <c r="Z63" s="369">
        <v>0</v>
      </c>
      <c r="AA63" s="369">
        <v>0</v>
      </c>
      <c r="AB63" s="370">
        <f t="shared" si="9"/>
        <v>60277986.630000003</v>
      </c>
      <c r="AC63" s="370">
        <f t="shared" si="10"/>
        <v>1225742.200000003</v>
      </c>
      <c r="AD63" s="370">
        <f t="shared" si="11"/>
        <v>2307041.2800000003</v>
      </c>
      <c r="AE63" s="370">
        <f t="shared" si="12"/>
        <v>0</v>
      </c>
      <c r="AF63" s="370">
        <f t="shared" si="13"/>
        <v>0</v>
      </c>
      <c r="AG63" s="370">
        <f t="shared" si="14"/>
        <v>0</v>
      </c>
      <c r="AH63" s="342">
        <f t="shared" si="15"/>
        <v>5.8608186462580973E-2</v>
      </c>
      <c r="AI63" s="342" t="str">
        <f t="shared" si="16"/>
        <v>NA</v>
      </c>
      <c r="AJ63" s="371">
        <f t="shared" si="17"/>
        <v>5.8608186462580973E-2</v>
      </c>
    </row>
    <row r="64" spans="1:38" x14ac:dyDescent="0.35">
      <c r="A64" s="343">
        <v>9</v>
      </c>
      <c r="B64" s="14"/>
      <c r="C64" s="14"/>
      <c r="D64" s="284" t="s">
        <v>167</v>
      </c>
      <c r="E64" s="406"/>
      <c r="F64" t="s">
        <v>3683</v>
      </c>
      <c r="G64">
        <v>61312</v>
      </c>
      <c r="H64" s="286" t="s">
        <v>216</v>
      </c>
      <c r="I64" t="s">
        <v>525</v>
      </c>
      <c r="J64" s="368">
        <v>49065313.329999983</v>
      </c>
      <c r="K64" s="368">
        <v>-3622725.6700000167</v>
      </c>
      <c r="L64" s="368">
        <v>2081217</v>
      </c>
      <c r="M64" s="368">
        <v>51662372</v>
      </c>
      <c r="N64" s="368">
        <v>-4049941</v>
      </c>
      <c r="O64" s="368">
        <v>3150456</v>
      </c>
      <c r="P64" s="368">
        <v>51849580</v>
      </c>
      <c r="Q64" s="368">
        <v>-5279019</v>
      </c>
      <c r="R64" s="368">
        <v>3231689</v>
      </c>
      <c r="S64" s="369">
        <v>0</v>
      </c>
      <c r="T64" s="369">
        <v>0</v>
      </c>
      <c r="U64" s="369">
        <v>0</v>
      </c>
      <c r="V64" s="369">
        <v>0</v>
      </c>
      <c r="W64" s="369">
        <v>0</v>
      </c>
      <c r="X64" s="369">
        <v>0</v>
      </c>
      <c r="Y64" s="369">
        <v>0</v>
      </c>
      <c r="Z64" s="369">
        <v>0</v>
      </c>
      <c r="AA64" s="369">
        <v>0</v>
      </c>
      <c r="AB64" s="370">
        <f t="shared" si="9"/>
        <v>152577265.32999998</v>
      </c>
      <c r="AC64" s="370">
        <f t="shared" si="10"/>
        <v>-12951685.670000017</v>
      </c>
      <c r="AD64" s="370">
        <f t="shared" si="11"/>
        <v>8463362</v>
      </c>
      <c r="AE64" s="370">
        <f t="shared" si="12"/>
        <v>0</v>
      </c>
      <c r="AF64" s="370">
        <f t="shared" si="13"/>
        <v>0</v>
      </c>
      <c r="AG64" s="370">
        <f t="shared" si="14"/>
        <v>0</v>
      </c>
      <c r="AH64" s="342">
        <f t="shared" si="15"/>
        <v>-2.941672640607693E-2</v>
      </c>
      <c r="AI64" s="342" t="str">
        <f t="shared" si="16"/>
        <v>NA</v>
      </c>
      <c r="AJ64" s="371">
        <f t="shared" si="17"/>
        <v>-2.941672640607693E-2</v>
      </c>
    </row>
    <row r="65" spans="1:38" x14ac:dyDescent="0.35">
      <c r="A65" s="343">
        <v>15</v>
      </c>
      <c r="B65" s="14"/>
      <c r="C65" s="14"/>
      <c r="D65" s="284" t="s">
        <v>169</v>
      </c>
      <c r="F65" t="s">
        <v>3689</v>
      </c>
      <c r="G65">
        <v>61313</v>
      </c>
      <c r="H65" s="286" t="s">
        <v>216</v>
      </c>
      <c r="I65" t="s">
        <v>525</v>
      </c>
      <c r="J65" s="373">
        <v>0</v>
      </c>
      <c r="K65" s="373">
        <v>0</v>
      </c>
      <c r="L65" s="373">
        <v>0</v>
      </c>
      <c r="M65" s="368">
        <v>17573420.059999999</v>
      </c>
      <c r="N65" s="368">
        <v>-999421.5700000003</v>
      </c>
      <c r="O65" s="368">
        <v>1072029.5900000001</v>
      </c>
      <c r="P65" s="368">
        <v>22234062</v>
      </c>
      <c r="Q65" s="368">
        <v>2016507</v>
      </c>
      <c r="R65" s="368">
        <v>1143931</v>
      </c>
      <c r="S65" s="369">
        <v>0</v>
      </c>
      <c r="T65" s="369">
        <v>0</v>
      </c>
      <c r="U65" s="369">
        <v>0</v>
      </c>
      <c r="V65" s="369">
        <v>0</v>
      </c>
      <c r="W65" s="369">
        <v>0</v>
      </c>
      <c r="X65" s="369">
        <v>0</v>
      </c>
      <c r="Y65" s="369">
        <v>0</v>
      </c>
      <c r="Z65" s="369">
        <v>0</v>
      </c>
      <c r="AA65" s="369">
        <v>0</v>
      </c>
      <c r="AB65" s="370">
        <f t="shared" si="9"/>
        <v>39807482.060000002</v>
      </c>
      <c r="AC65" s="370">
        <f t="shared" si="10"/>
        <v>1017085.4299999997</v>
      </c>
      <c r="AD65" s="370">
        <f t="shared" si="11"/>
        <v>2215960.59</v>
      </c>
      <c r="AE65" s="370">
        <f t="shared" si="12"/>
        <v>0</v>
      </c>
      <c r="AF65" s="370">
        <f t="shared" si="13"/>
        <v>0</v>
      </c>
      <c r="AG65" s="370">
        <f t="shared" si="14"/>
        <v>0</v>
      </c>
      <c r="AH65" s="394">
        <f t="shared" si="15"/>
        <v>8.1217043949852866E-2</v>
      </c>
      <c r="AI65" s="394" t="str">
        <f t="shared" si="16"/>
        <v>NA</v>
      </c>
      <c r="AJ65" s="395">
        <f t="shared" si="17"/>
        <v>8.1217043949852866E-2</v>
      </c>
      <c r="AK65" s="162" t="s">
        <v>3652</v>
      </c>
    </row>
    <row r="66" spans="1:38" x14ac:dyDescent="0.35">
      <c r="A66" s="375">
        <v>20</v>
      </c>
      <c r="B66" s="376"/>
      <c r="C66" s="376"/>
      <c r="D66" s="377" t="s">
        <v>171</v>
      </c>
      <c r="E66" s="400"/>
      <c r="F66" s="162" t="s">
        <v>3692</v>
      </c>
      <c r="G66" s="162">
        <v>61314</v>
      </c>
      <c r="H66" s="416" t="s">
        <v>216</v>
      </c>
      <c r="I66" s="162" t="s">
        <v>525</v>
      </c>
      <c r="J66" s="373">
        <v>0</v>
      </c>
      <c r="K66" s="373">
        <v>0</v>
      </c>
      <c r="L66" s="373">
        <v>0</v>
      </c>
      <c r="M66" s="373">
        <v>59557372.638387576</v>
      </c>
      <c r="N66" s="373">
        <v>-3709214.3616124243</v>
      </c>
      <c r="O66" s="373">
        <v>3697728</v>
      </c>
      <c r="P66" s="373">
        <v>64351586.259999998</v>
      </c>
      <c r="Q66" s="373">
        <v>163834.26999999583</v>
      </c>
      <c r="R66" s="373">
        <v>3887704.72</v>
      </c>
      <c r="S66" s="392">
        <v>0</v>
      </c>
      <c r="T66" s="392">
        <v>0</v>
      </c>
      <c r="U66" s="392">
        <v>0</v>
      </c>
      <c r="V66" s="392">
        <v>0</v>
      </c>
      <c r="W66" s="392">
        <v>0</v>
      </c>
      <c r="X66" s="392">
        <v>0</v>
      </c>
      <c r="Y66" s="392">
        <v>0</v>
      </c>
      <c r="Z66" s="392">
        <v>0</v>
      </c>
      <c r="AA66" s="392">
        <v>0</v>
      </c>
      <c r="AB66" s="393">
        <f t="shared" ref="AB66:AB85" si="18">+J66+M66+P66</f>
        <v>123908958.89838758</v>
      </c>
      <c r="AC66" s="393">
        <f t="shared" ref="AC66:AC85" si="19">+K66+N66+Q66</f>
        <v>-3545380.0916124284</v>
      </c>
      <c r="AD66" s="393">
        <f t="shared" ref="AD66:AD85" si="20">+L66+O66+R66</f>
        <v>7585432.7200000007</v>
      </c>
      <c r="AE66" s="393">
        <f t="shared" ref="AE66:AE85" si="21">+V66+S66+Y66</f>
        <v>0</v>
      </c>
      <c r="AF66" s="393">
        <f t="shared" ref="AF66:AF85" si="22">+W66+T66+Z66</f>
        <v>0</v>
      </c>
      <c r="AG66" s="393">
        <f t="shared" ref="AG66:AG85" si="23">+X66+U66+AA66</f>
        <v>0</v>
      </c>
      <c r="AH66" s="394">
        <f t="shared" ref="AH66:AH85" si="24">IFERROR((AC66+AD66)/AB66,"NA")</f>
        <v>3.2605008260142399E-2</v>
      </c>
      <c r="AI66" s="394" t="str">
        <f t="shared" ref="AI66:AI85" si="25">IFERROR((AF66+AG66)/AE66,"NA")</f>
        <v>NA</v>
      </c>
      <c r="AJ66" s="395">
        <f t="shared" ref="AJ66" si="26">IFERROR(MAX(AI66,AH66),"NA")</f>
        <v>3.2605008260142399E-2</v>
      </c>
      <c r="AK66" s="162" t="s">
        <v>3652</v>
      </c>
      <c r="AL66" s="145"/>
    </row>
    <row r="67" spans="1:38" x14ac:dyDescent="0.35">
      <c r="A67" s="375">
        <v>35</v>
      </c>
      <c r="B67" s="376"/>
      <c r="C67" s="376"/>
      <c r="D67" s="377" t="s">
        <v>173</v>
      </c>
      <c r="E67" s="400"/>
      <c r="F67" s="162" t="s">
        <v>3707</v>
      </c>
      <c r="G67" s="162">
        <v>61315</v>
      </c>
      <c r="H67" s="416" t="s">
        <v>216</v>
      </c>
      <c r="I67" s="162" t="s">
        <v>525</v>
      </c>
      <c r="J67" s="373">
        <v>0</v>
      </c>
      <c r="K67" s="373">
        <v>0</v>
      </c>
      <c r="L67" s="373">
        <v>0</v>
      </c>
      <c r="M67" s="373">
        <v>0</v>
      </c>
      <c r="N67" s="373">
        <v>0</v>
      </c>
      <c r="O67" s="373">
        <v>0</v>
      </c>
      <c r="P67" s="373">
        <v>0</v>
      </c>
      <c r="Q67" s="373">
        <v>0</v>
      </c>
      <c r="R67" s="373">
        <v>0</v>
      </c>
      <c r="S67" s="392">
        <v>0</v>
      </c>
      <c r="T67" s="392">
        <v>0</v>
      </c>
      <c r="U67" s="392">
        <v>0</v>
      </c>
      <c r="V67" s="392">
        <v>0</v>
      </c>
      <c r="W67" s="392">
        <v>0</v>
      </c>
      <c r="X67" s="392">
        <v>0</v>
      </c>
      <c r="Y67" s="392">
        <v>0</v>
      </c>
      <c r="Z67" s="392">
        <v>0</v>
      </c>
      <c r="AA67" s="392">
        <v>0</v>
      </c>
      <c r="AB67" s="393">
        <f t="shared" si="18"/>
        <v>0</v>
      </c>
      <c r="AC67" s="393">
        <f t="shared" si="19"/>
        <v>0</v>
      </c>
      <c r="AD67" s="393">
        <f t="shared" si="20"/>
        <v>0</v>
      </c>
      <c r="AE67" s="393">
        <f t="shared" si="21"/>
        <v>0</v>
      </c>
      <c r="AF67" s="393">
        <f t="shared" si="22"/>
        <v>0</v>
      </c>
      <c r="AG67" s="393">
        <f t="shared" si="23"/>
        <v>0</v>
      </c>
      <c r="AH67" s="394" t="str">
        <f t="shared" si="24"/>
        <v>NA</v>
      </c>
      <c r="AI67" s="394" t="str">
        <f t="shared" si="25"/>
        <v>NA</v>
      </c>
      <c r="AJ67" s="395" t="s">
        <v>144</v>
      </c>
      <c r="AK67" s="162" t="s">
        <v>281</v>
      </c>
      <c r="AL67" s="162" t="s">
        <v>281</v>
      </c>
    </row>
    <row r="68" spans="1:38" x14ac:dyDescent="0.35">
      <c r="A68" s="343">
        <v>31</v>
      </c>
      <c r="B68" s="14"/>
      <c r="C68" s="14"/>
      <c r="D68" s="284" t="s">
        <v>175</v>
      </c>
      <c r="F68" t="s">
        <v>3703</v>
      </c>
      <c r="G68">
        <v>61316</v>
      </c>
      <c r="H68" s="286" t="s">
        <v>216</v>
      </c>
      <c r="I68" t="s">
        <v>525</v>
      </c>
      <c r="J68" s="368">
        <v>18061516</v>
      </c>
      <c r="K68" s="368">
        <v>948651.82999999821</v>
      </c>
      <c r="L68" s="368">
        <v>754900.11</v>
      </c>
      <c r="M68" s="368">
        <v>14420802</v>
      </c>
      <c r="N68" s="368">
        <v>-2313495</v>
      </c>
      <c r="O68" s="368">
        <v>872931</v>
      </c>
      <c r="P68" s="368">
        <v>22242312.759999998</v>
      </c>
      <c r="Q68" s="368">
        <v>3814953.2199999988</v>
      </c>
      <c r="R68" s="368">
        <v>978830.52</v>
      </c>
      <c r="S68" s="369">
        <v>0</v>
      </c>
      <c r="T68" s="369">
        <v>0</v>
      </c>
      <c r="U68" s="369">
        <v>0</v>
      </c>
      <c r="V68" s="369">
        <v>0</v>
      </c>
      <c r="W68" s="369">
        <v>0</v>
      </c>
      <c r="X68" s="369">
        <v>0</v>
      </c>
      <c r="Y68" s="369">
        <v>0</v>
      </c>
      <c r="Z68" s="369">
        <v>0</v>
      </c>
      <c r="AA68" s="369">
        <v>0</v>
      </c>
      <c r="AB68" s="370">
        <f t="shared" si="18"/>
        <v>54724630.759999998</v>
      </c>
      <c r="AC68" s="370">
        <f t="shared" si="19"/>
        <v>2450110.049999997</v>
      </c>
      <c r="AD68" s="370">
        <f t="shared" si="20"/>
        <v>2606661.63</v>
      </c>
      <c r="AE68" s="370">
        <f t="shared" si="21"/>
        <v>0</v>
      </c>
      <c r="AF68" s="370">
        <f t="shared" si="22"/>
        <v>0</v>
      </c>
      <c r="AG68" s="370">
        <f t="shared" si="23"/>
        <v>0</v>
      </c>
      <c r="AH68" s="342">
        <f t="shared" si="24"/>
        <v>9.2403943339096128E-2</v>
      </c>
      <c r="AI68" s="342" t="str">
        <f t="shared" si="25"/>
        <v>NA</v>
      </c>
      <c r="AJ68" s="371">
        <f>IFERROR(MAX(AI68,AH68),"NA")</f>
        <v>9.2403943339096128E-2</v>
      </c>
    </row>
    <row r="69" spans="1:38" x14ac:dyDescent="0.35">
      <c r="A69" s="343">
        <v>10</v>
      </c>
      <c r="B69" s="14"/>
      <c r="C69" s="14"/>
      <c r="D69" s="284" t="s">
        <v>177</v>
      </c>
      <c r="F69" t="s">
        <v>3684</v>
      </c>
      <c r="G69">
        <v>61317</v>
      </c>
      <c r="H69" s="286" t="s">
        <v>216</v>
      </c>
      <c r="I69" t="s">
        <v>525</v>
      </c>
      <c r="J69" s="368">
        <v>55929598.890000001</v>
      </c>
      <c r="K69" s="368">
        <v>-3136658.1099999994</v>
      </c>
      <c r="L69" s="368">
        <v>4687790</v>
      </c>
      <c r="M69" s="368">
        <v>52246706.449999988</v>
      </c>
      <c r="N69" s="368">
        <v>-8226748.5500000119</v>
      </c>
      <c r="O69" s="368">
        <v>4915837</v>
      </c>
      <c r="P69" s="368">
        <v>82115142</v>
      </c>
      <c r="Q69" s="368">
        <v>-20599114</v>
      </c>
      <c r="R69" s="368">
        <v>10069908</v>
      </c>
      <c r="S69" s="369">
        <v>0</v>
      </c>
      <c r="T69" s="369">
        <v>0</v>
      </c>
      <c r="U69" s="369">
        <v>0</v>
      </c>
      <c r="V69" s="369">
        <v>0</v>
      </c>
      <c r="W69" s="369">
        <v>0</v>
      </c>
      <c r="X69" s="369">
        <v>0</v>
      </c>
      <c r="Y69" s="369">
        <v>0</v>
      </c>
      <c r="Z69" s="369">
        <v>0</v>
      </c>
      <c r="AA69" s="369">
        <v>0</v>
      </c>
      <c r="AB69" s="370">
        <f t="shared" si="18"/>
        <v>190291447.33999997</v>
      </c>
      <c r="AC69" s="370">
        <f t="shared" si="19"/>
        <v>-31962520.660000011</v>
      </c>
      <c r="AD69" s="370">
        <f t="shared" si="20"/>
        <v>19673535</v>
      </c>
      <c r="AE69" s="370">
        <f t="shared" si="21"/>
        <v>0</v>
      </c>
      <c r="AF69" s="370">
        <f t="shared" si="22"/>
        <v>0</v>
      </c>
      <c r="AG69" s="370">
        <f t="shared" si="23"/>
        <v>0</v>
      </c>
      <c r="AH69" s="342">
        <f t="shared" si="24"/>
        <v>-6.457981076807344E-2</v>
      </c>
      <c r="AI69" s="342" t="str">
        <f t="shared" si="25"/>
        <v>NA</v>
      </c>
      <c r="AJ69" s="371">
        <f>IFERROR(MAX(AI69,AH69),"NA")</f>
        <v>-6.457981076807344E-2</v>
      </c>
    </row>
    <row r="70" spans="1:38" s="14" customFormat="1" x14ac:dyDescent="0.35">
      <c r="A70" s="550">
        <v>16</v>
      </c>
      <c r="B70" s="376"/>
      <c r="C70" s="376"/>
      <c r="D70" s="551" t="s">
        <v>179</v>
      </c>
      <c r="E70" s="400"/>
      <c r="F70" s="376" t="s">
        <v>3693</v>
      </c>
      <c r="G70" s="376">
        <v>61318</v>
      </c>
      <c r="H70" s="552" t="s">
        <v>216</v>
      </c>
      <c r="I70" s="376" t="s">
        <v>525</v>
      </c>
      <c r="J70" s="373">
        <v>0</v>
      </c>
      <c r="K70" s="373">
        <v>0</v>
      </c>
      <c r="L70" s="373">
        <v>0</v>
      </c>
      <c r="M70" s="373">
        <v>0</v>
      </c>
      <c r="N70" s="373">
        <v>0</v>
      </c>
      <c r="O70" s="373">
        <v>0</v>
      </c>
      <c r="P70" s="373">
        <v>0</v>
      </c>
      <c r="Q70" s="373">
        <v>0</v>
      </c>
      <c r="R70" s="373">
        <v>0</v>
      </c>
      <c r="S70" s="373">
        <v>0</v>
      </c>
      <c r="T70" s="373">
        <v>0</v>
      </c>
      <c r="U70" s="373">
        <v>0</v>
      </c>
      <c r="V70" s="373">
        <v>0</v>
      </c>
      <c r="W70" s="373">
        <v>0</v>
      </c>
      <c r="X70" s="373">
        <v>0</v>
      </c>
      <c r="Y70" s="373">
        <v>0</v>
      </c>
      <c r="Z70" s="373">
        <v>0</v>
      </c>
      <c r="AA70" s="373">
        <v>0</v>
      </c>
      <c r="AB70" s="553">
        <f t="shared" si="18"/>
        <v>0</v>
      </c>
      <c r="AC70" s="553">
        <f t="shared" si="19"/>
        <v>0</v>
      </c>
      <c r="AD70" s="553">
        <f t="shared" si="20"/>
        <v>0</v>
      </c>
      <c r="AE70" s="553">
        <f t="shared" si="21"/>
        <v>0</v>
      </c>
      <c r="AF70" s="553">
        <f t="shared" si="22"/>
        <v>0</v>
      </c>
      <c r="AG70" s="553">
        <f t="shared" si="23"/>
        <v>0</v>
      </c>
      <c r="AH70" s="546" t="str">
        <f t="shared" si="24"/>
        <v>NA</v>
      </c>
      <c r="AI70" s="546" t="str">
        <f t="shared" si="25"/>
        <v>NA</v>
      </c>
      <c r="AJ70" s="547" t="s">
        <v>144</v>
      </c>
      <c r="AK70" s="376" t="s">
        <v>281</v>
      </c>
      <c r="AL70" s="376" t="s">
        <v>281</v>
      </c>
    </row>
    <row r="71" spans="1:38" s="14" customFormat="1" x14ac:dyDescent="0.35">
      <c r="A71" s="581">
        <v>32</v>
      </c>
      <c r="B71" s="149"/>
      <c r="C71" s="149"/>
      <c r="D71" s="582" t="s">
        <v>181</v>
      </c>
      <c r="E71" s="164"/>
      <c r="F71" s="14" t="s">
        <v>3704</v>
      </c>
      <c r="G71" s="14">
        <v>61319</v>
      </c>
      <c r="H71" s="378" t="s">
        <v>216</v>
      </c>
      <c r="I71" s="14" t="s">
        <v>525</v>
      </c>
      <c r="J71" s="368">
        <v>7676838.8500000015</v>
      </c>
      <c r="K71" s="368">
        <v>-3545510.1499999985</v>
      </c>
      <c r="L71" s="368">
        <v>419677</v>
      </c>
      <c r="M71" s="368">
        <v>12356221.890000001</v>
      </c>
      <c r="N71" s="368">
        <v>-716556.1099999994</v>
      </c>
      <c r="O71" s="368">
        <v>352613</v>
      </c>
      <c r="P71" s="373">
        <v>0</v>
      </c>
      <c r="Q71" s="373">
        <v>0</v>
      </c>
      <c r="R71" s="373">
        <v>0</v>
      </c>
      <c r="S71" s="368">
        <v>0</v>
      </c>
      <c r="T71" s="368">
        <v>0</v>
      </c>
      <c r="U71" s="368">
        <v>0</v>
      </c>
      <c r="V71" s="368">
        <v>0</v>
      </c>
      <c r="W71" s="368">
        <v>0</v>
      </c>
      <c r="X71" s="368">
        <v>0</v>
      </c>
      <c r="Y71" s="368">
        <v>0</v>
      </c>
      <c r="Z71" s="368">
        <v>0</v>
      </c>
      <c r="AA71" s="368">
        <v>0</v>
      </c>
      <c r="AB71" s="549">
        <f>+J71+M71+P71</f>
        <v>20033060.740000002</v>
      </c>
      <c r="AC71" s="549">
        <f t="shared" si="19"/>
        <v>-4262066.2599999979</v>
      </c>
      <c r="AD71" s="549">
        <f t="shared" si="20"/>
        <v>772290</v>
      </c>
      <c r="AE71" s="549">
        <f t="shared" si="21"/>
        <v>0</v>
      </c>
      <c r="AF71" s="549">
        <f t="shared" si="22"/>
        <v>0</v>
      </c>
      <c r="AG71" s="549">
        <f t="shared" si="23"/>
        <v>0</v>
      </c>
      <c r="AH71" s="546">
        <f t="shared" si="24"/>
        <v>-0.17420085254531092</v>
      </c>
      <c r="AI71" s="546" t="str">
        <f t="shared" si="25"/>
        <v>NA</v>
      </c>
      <c r="AJ71" s="547">
        <f t="shared" ref="AJ71:AJ85" si="27">IFERROR(MAX(AI71,AH71),"NA")</f>
        <v>-0.17420085254531092</v>
      </c>
      <c r="AK71" s="376" t="s">
        <v>3722</v>
      </c>
    </row>
    <row r="72" spans="1:38" x14ac:dyDescent="0.35">
      <c r="A72" s="343">
        <v>11</v>
      </c>
      <c r="B72" s="14"/>
      <c r="C72" s="14"/>
      <c r="D72" s="284" t="s">
        <v>183</v>
      </c>
      <c r="F72" t="s">
        <v>3685</v>
      </c>
      <c r="G72">
        <v>61320</v>
      </c>
      <c r="H72" s="286" t="s">
        <v>216</v>
      </c>
      <c r="I72" t="s">
        <v>525</v>
      </c>
      <c r="J72" s="368">
        <v>54104852</v>
      </c>
      <c r="K72" s="368">
        <v>8758272</v>
      </c>
      <c r="L72" s="368">
        <v>1868017</v>
      </c>
      <c r="M72" s="368">
        <v>55323568</v>
      </c>
      <c r="N72" s="368">
        <v>4003496</v>
      </c>
      <c r="O72" s="368">
        <v>1901457</v>
      </c>
      <c r="P72" s="368">
        <v>62718016</v>
      </c>
      <c r="Q72" s="368">
        <v>5489595</v>
      </c>
      <c r="R72" s="368">
        <v>2086375</v>
      </c>
      <c r="S72" s="369">
        <v>0</v>
      </c>
      <c r="T72" s="369">
        <v>0</v>
      </c>
      <c r="U72" s="369">
        <v>0</v>
      </c>
      <c r="V72" s="369">
        <v>0</v>
      </c>
      <c r="W72" s="369">
        <v>0</v>
      </c>
      <c r="X72" s="369">
        <v>0</v>
      </c>
      <c r="Y72" s="369">
        <v>0</v>
      </c>
      <c r="Z72" s="369">
        <v>0</v>
      </c>
      <c r="AA72" s="369">
        <v>0</v>
      </c>
      <c r="AB72" s="370">
        <f t="shared" si="18"/>
        <v>172146436</v>
      </c>
      <c r="AC72" s="370">
        <f t="shared" si="19"/>
        <v>18251363</v>
      </c>
      <c r="AD72" s="370">
        <f t="shared" si="20"/>
        <v>5855849</v>
      </c>
      <c r="AE72" s="370">
        <f t="shared" si="21"/>
        <v>0</v>
      </c>
      <c r="AF72" s="370">
        <f t="shared" si="22"/>
        <v>0</v>
      </c>
      <c r="AG72" s="370">
        <f t="shared" si="23"/>
        <v>0</v>
      </c>
      <c r="AH72" s="342">
        <f t="shared" si="24"/>
        <v>0.14003898401939613</v>
      </c>
      <c r="AI72" s="342" t="str">
        <f t="shared" si="25"/>
        <v>NA</v>
      </c>
      <c r="AJ72" s="371">
        <f t="shared" si="27"/>
        <v>0.14003898401939613</v>
      </c>
    </row>
    <row r="73" spans="1:38" x14ac:dyDescent="0.35">
      <c r="A73" s="343">
        <v>64</v>
      </c>
      <c r="B73" s="14"/>
      <c r="C73" s="14"/>
      <c r="D73" s="284" t="s">
        <v>185</v>
      </c>
      <c r="F73" t="s">
        <v>3694</v>
      </c>
      <c r="G73">
        <v>61321</v>
      </c>
      <c r="H73" s="286" t="s">
        <v>216</v>
      </c>
      <c r="I73" t="s">
        <v>525</v>
      </c>
      <c r="J73" s="368">
        <v>36621225</v>
      </c>
      <c r="K73" s="368">
        <v>2673309</v>
      </c>
      <c r="L73" s="368">
        <v>1248893</v>
      </c>
      <c r="M73" s="368">
        <v>47474114.689999998</v>
      </c>
      <c r="N73" s="368">
        <v>11470437.68999999</v>
      </c>
      <c r="O73" s="368">
        <v>1087812</v>
      </c>
      <c r="P73" s="368">
        <v>34960504</v>
      </c>
      <c r="Q73" s="368">
        <v>-2381738</v>
      </c>
      <c r="R73" s="368">
        <v>2219602</v>
      </c>
      <c r="S73" s="369">
        <v>0</v>
      </c>
      <c r="T73" s="369">
        <v>0</v>
      </c>
      <c r="U73" s="369">
        <v>0</v>
      </c>
      <c r="V73" s="369">
        <v>0</v>
      </c>
      <c r="W73" s="369">
        <v>0</v>
      </c>
      <c r="X73" s="369">
        <v>0</v>
      </c>
      <c r="Y73" s="369">
        <v>0</v>
      </c>
      <c r="Z73" s="369">
        <v>0</v>
      </c>
      <c r="AA73" s="369">
        <v>0</v>
      </c>
      <c r="AB73" s="370">
        <f t="shared" si="18"/>
        <v>119055843.69</v>
      </c>
      <c r="AC73" s="370">
        <f t="shared" si="19"/>
        <v>11762008.68999999</v>
      </c>
      <c r="AD73" s="370">
        <f t="shared" si="20"/>
        <v>4556307</v>
      </c>
      <c r="AE73" s="370">
        <f t="shared" si="21"/>
        <v>0</v>
      </c>
      <c r="AF73" s="370">
        <f t="shared" si="22"/>
        <v>0</v>
      </c>
      <c r="AG73" s="370">
        <f t="shared" si="23"/>
        <v>0</v>
      </c>
      <c r="AH73" s="342">
        <f t="shared" si="24"/>
        <v>0.13706438242955926</v>
      </c>
      <c r="AI73" s="342" t="str">
        <f t="shared" si="25"/>
        <v>NA</v>
      </c>
      <c r="AJ73" s="371">
        <f t="shared" si="27"/>
        <v>0.13706438242955926</v>
      </c>
    </row>
    <row r="74" spans="1:38" x14ac:dyDescent="0.35">
      <c r="A74" s="343">
        <v>13</v>
      </c>
      <c r="B74" s="14"/>
      <c r="C74" s="14"/>
      <c r="D74" s="284" t="s">
        <v>187</v>
      </c>
      <c r="F74" t="s">
        <v>3687</v>
      </c>
      <c r="G74">
        <v>61322</v>
      </c>
      <c r="H74" s="286" t="s">
        <v>216</v>
      </c>
      <c r="I74" t="s">
        <v>525</v>
      </c>
      <c r="J74" s="368">
        <v>83421294.459999993</v>
      </c>
      <c r="K74" s="368">
        <v>7603530.4599999934</v>
      </c>
      <c r="L74" s="368">
        <v>4271417</v>
      </c>
      <c r="M74" s="368">
        <v>87412697</v>
      </c>
      <c r="N74" s="368">
        <v>1331984</v>
      </c>
      <c r="O74" s="368">
        <v>4991569</v>
      </c>
      <c r="P74" s="368">
        <v>106133040</v>
      </c>
      <c r="Q74" s="368">
        <v>9151266</v>
      </c>
      <c r="R74" s="368">
        <v>5767482</v>
      </c>
      <c r="S74" s="369">
        <v>0</v>
      </c>
      <c r="T74" s="369">
        <v>0</v>
      </c>
      <c r="U74" s="369">
        <v>0</v>
      </c>
      <c r="V74" s="369">
        <v>0</v>
      </c>
      <c r="W74" s="369">
        <v>0</v>
      </c>
      <c r="X74" s="369">
        <v>0</v>
      </c>
      <c r="Y74" s="369">
        <v>0</v>
      </c>
      <c r="Z74" s="369">
        <v>0</v>
      </c>
      <c r="AA74" s="369">
        <v>0</v>
      </c>
      <c r="AB74" s="370">
        <f t="shared" si="18"/>
        <v>276967031.45999998</v>
      </c>
      <c r="AC74" s="370">
        <f t="shared" si="19"/>
        <v>18086780.459999993</v>
      </c>
      <c r="AD74" s="370">
        <f t="shared" si="20"/>
        <v>15030468</v>
      </c>
      <c r="AE74" s="370">
        <f t="shared" si="21"/>
        <v>0</v>
      </c>
      <c r="AF74" s="370">
        <f t="shared" si="22"/>
        <v>0</v>
      </c>
      <c r="AG74" s="370">
        <f t="shared" si="23"/>
        <v>0</v>
      </c>
      <c r="AH74" s="342">
        <f t="shared" si="24"/>
        <v>0.11957108499674568</v>
      </c>
      <c r="AI74" s="342" t="str">
        <f t="shared" si="25"/>
        <v>NA</v>
      </c>
      <c r="AJ74" s="371">
        <f t="shared" si="27"/>
        <v>0.11957108499674568</v>
      </c>
    </row>
    <row r="75" spans="1:38" x14ac:dyDescent="0.35">
      <c r="A75" s="343">
        <v>26</v>
      </c>
      <c r="B75" s="14"/>
      <c r="C75" s="14"/>
      <c r="D75" s="284" t="s">
        <v>189</v>
      </c>
      <c r="F75" t="s">
        <v>3697</v>
      </c>
      <c r="G75">
        <v>61323</v>
      </c>
      <c r="H75" s="286" t="s">
        <v>216</v>
      </c>
      <c r="I75" t="s">
        <v>525</v>
      </c>
      <c r="J75" s="368">
        <v>32762352.000000004</v>
      </c>
      <c r="K75" s="368">
        <v>253150.00000000373</v>
      </c>
      <c r="L75" s="368">
        <v>1561448</v>
      </c>
      <c r="M75" s="368">
        <v>33023214</v>
      </c>
      <c r="N75" s="368">
        <v>23649</v>
      </c>
      <c r="O75" s="368">
        <v>1667935</v>
      </c>
      <c r="P75" s="368">
        <v>33448307.390000001</v>
      </c>
      <c r="Q75" s="368">
        <v>482520</v>
      </c>
      <c r="R75" s="368">
        <v>1959917</v>
      </c>
      <c r="S75" s="369">
        <v>0</v>
      </c>
      <c r="T75" s="369">
        <v>0</v>
      </c>
      <c r="U75" s="369">
        <v>0</v>
      </c>
      <c r="V75" s="369">
        <v>0</v>
      </c>
      <c r="W75" s="369">
        <v>0</v>
      </c>
      <c r="X75" s="369">
        <v>0</v>
      </c>
      <c r="Y75" s="369">
        <v>0</v>
      </c>
      <c r="Z75" s="369">
        <v>0</v>
      </c>
      <c r="AA75" s="369">
        <v>0</v>
      </c>
      <c r="AB75" s="370">
        <f t="shared" si="18"/>
        <v>99233873.390000001</v>
      </c>
      <c r="AC75" s="370">
        <f t="shared" si="19"/>
        <v>759319.00000000373</v>
      </c>
      <c r="AD75" s="370">
        <f t="shared" si="20"/>
        <v>5189300</v>
      </c>
      <c r="AE75" s="370">
        <f t="shared" si="21"/>
        <v>0</v>
      </c>
      <c r="AF75" s="370">
        <f t="shared" si="22"/>
        <v>0</v>
      </c>
      <c r="AG75" s="370">
        <f t="shared" si="23"/>
        <v>0</v>
      </c>
      <c r="AH75" s="342">
        <f t="shared" si="24"/>
        <v>5.9945448028832643E-2</v>
      </c>
      <c r="AI75" s="342" t="str">
        <f t="shared" si="25"/>
        <v>NA</v>
      </c>
      <c r="AJ75" s="371">
        <f t="shared" si="27"/>
        <v>5.9945448028832643E-2</v>
      </c>
    </row>
    <row r="76" spans="1:38" x14ac:dyDescent="0.35">
      <c r="A76" s="343">
        <v>5</v>
      </c>
      <c r="B76" s="14"/>
      <c r="C76" s="14"/>
      <c r="D76" s="284" t="s">
        <v>191</v>
      </c>
      <c r="F76" t="s">
        <v>3681</v>
      </c>
      <c r="G76">
        <v>61324</v>
      </c>
      <c r="H76" s="286" t="s">
        <v>216</v>
      </c>
      <c r="I76" t="s">
        <v>525</v>
      </c>
      <c r="J76" s="368">
        <v>95113287</v>
      </c>
      <c r="K76" s="368">
        <v>-12171354</v>
      </c>
      <c r="L76" s="368">
        <v>12767409</v>
      </c>
      <c r="M76" s="368">
        <v>92435659</v>
      </c>
      <c r="N76" s="368">
        <v>-7130100</v>
      </c>
      <c r="O76" s="368">
        <v>12521504</v>
      </c>
      <c r="P76" s="368">
        <v>108399772</v>
      </c>
      <c r="Q76" s="368">
        <v>6018447</v>
      </c>
      <c r="R76" s="368">
        <v>12637999</v>
      </c>
      <c r="S76" s="369">
        <v>0</v>
      </c>
      <c r="T76" s="369">
        <v>0</v>
      </c>
      <c r="U76" s="369">
        <v>0</v>
      </c>
      <c r="V76" s="369">
        <v>0</v>
      </c>
      <c r="W76" s="369">
        <v>0</v>
      </c>
      <c r="X76" s="369">
        <v>0</v>
      </c>
      <c r="Y76" s="369">
        <v>0</v>
      </c>
      <c r="Z76" s="369">
        <v>0</v>
      </c>
      <c r="AA76" s="369">
        <v>0</v>
      </c>
      <c r="AB76" s="370">
        <f t="shared" si="18"/>
        <v>295948718</v>
      </c>
      <c r="AC76" s="370">
        <f t="shared" si="19"/>
        <v>-13283007</v>
      </c>
      <c r="AD76" s="370">
        <f t="shared" si="20"/>
        <v>37926912</v>
      </c>
      <c r="AE76" s="370">
        <f t="shared" si="21"/>
        <v>0</v>
      </c>
      <c r="AF76" s="370">
        <f t="shared" si="22"/>
        <v>0</v>
      </c>
      <c r="AG76" s="370">
        <f t="shared" si="23"/>
        <v>0</v>
      </c>
      <c r="AH76" s="342">
        <f t="shared" si="24"/>
        <v>8.327086248773681E-2</v>
      </c>
      <c r="AI76" s="342" t="str">
        <f t="shared" si="25"/>
        <v>NA</v>
      </c>
      <c r="AJ76" s="371">
        <f t="shared" si="27"/>
        <v>8.327086248773681E-2</v>
      </c>
    </row>
    <row r="77" spans="1:38" x14ac:dyDescent="0.35">
      <c r="A77" s="343">
        <v>24</v>
      </c>
      <c r="B77" s="14"/>
      <c r="C77" s="14"/>
      <c r="D77" s="284" t="s">
        <v>193</v>
      </c>
      <c r="F77" t="s">
        <v>3696</v>
      </c>
      <c r="G77">
        <v>61325</v>
      </c>
      <c r="H77" s="286" t="s">
        <v>216</v>
      </c>
      <c r="I77" t="s">
        <v>525</v>
      </c>
      <c r="J77" s="368">
        <v>23840896.540000003</v>
      </c>
      <c r="K77" s="368">
        <v>-3938982.6099999957</v>
      </c>
      <c r="L77" s="368">
        <v>4031150.77</v>
      </c>
      <c r="M77" s="368">
        <v>31677134</v>
      </c>
      <c r="N77" s="368">
        <v>-4103827</v>
      </c>
      <c r="O77" s="368">
        <v>4574733</v>
      </c>
      <c r="P77" s="368">
        <v>43365429.880000003</v>
      </c>
      <c r="Q77" s="368">
        <v>854575.88000000268</v>
      </c>
      <c r="R77" s="368">
        <v>5012830</v>
      </c>
      <c r="S77" s="369">
        <v>0</v>
      </c>
      <c r="T77" s="369">
        <v>0</v>
      </c>
      <c r="U77" s="369">
        <v>0</v>
      </c>
      <c r="V77" s="369">
        <v>0</v>
      </c>
      <c r="W77" s="369">
        <v>0</v>
      </c>
      <c r="X77" s="369">
        <v>0</v>
      </c>
      <c r="Y77" s="369">
        <v>0</v>
      </c>
      <c r="Z77" s="369">
        <v>0</v>
      </c>
      <c r="AA77" s="369">
        <v>0</v>
      </c>
      <c r="AB77" s="370">
        <f t="shared" si="18"/>
        <v>98883460.420000017</v>
      </c>
      <c r="AC77" s="370">
        <f t="shared" si="19"/>
        <v>-7188233.729999993</v>
      </c>
      <c r="AD77" s="370">
        <f t="shared" si="20"/>
        <v>13618713.77</v>
      </c>
      <c r="AE77" s="370">
        <f t="shared" si="21"/>
        <v>0</v>
      </c>
      <c r="AF77" s="370">
        <f t="shared" si="22"/>
        <v>0</v>
      </c>
      <c r="AG77" s="370">
        <f t="shared" si="23"/>
        <v>0</v>
      </c>
      <c r="AH77" s="342">
        <f t="shared" si="24"/>
        <v>6.5030896094119578E-2</v>
      </c>
      <c r="AI77" s="342" t="str">
        <f t="shared" si="25"/>
        <v>NA</v>
      </c>
      <c r="AJ77" s="371">
        <f t="shared" si="27"/>
        <v>6.5030896094119578E-2</v>
      </c>
    </row>
    <row r="78" spans="1:38" x14ac:dyDescent="0.35">
      <c r="A78" s="343">
        <v>73</v>
      </c>
      <c r="B78" s="14"/>
      <c r="C78" s="14"/>
      <c r="D78" s="284" t="s">
        <v>195</v>
      </c>
      <c r="F78" t="s">
        <v>538</v>
      </c>
      <c r="G78">
        <v>61326</v>
      </c>
      <c r="H78" t="s">
        <v>218</v>
      </c>
      <c r="I78" t="s">
        <v>525</v>
      </c>
      <c r="J78" s="368">
        <v>19352271.699999992</v>
      </c>
      <c r="K78" s="368">
        <v>-3753905.4885245711</v>
      </c>
      <c r="L78" s="368">
        <v>1967121.2800000003</v>
      </c>
      <c r="M78" s="368">
        <v>21652807.239999998</v>
      </c>
      <c r="N78" s="368">
        <v>-715254.22103463113</v>
      </c>
      <c r="O78" s="368">
        <v>2269911.2718743091</v>
      </c>
      <c r="P78" s="368">
        <v>26081231</v>
      </c>
      <c r="Q78" s="368">
        <v>-291389</v>
      </c>
      <c r="R78" s="368">
        <v>2728548</v>
      </c>
      <c r="S78" s="369">
        <v>4613796407.9000015</v>
      </c>
      <c r="T78" s="369">
        <v>589771677.34712648</v>
      </c>
      <c r="U78" s="369">
        <v>193745564.91000003</v>
      </c>
      <c r="V78" s="369">
        <v>4684099729.3099995</v>
      </c>
      <c r="W78" s="369">
        <v>203097814.92013457</v>
      </c>
      <c r="X78" s="369">
        <v>253602163.74551889</v>
      </c>
      <c r="Y78" s="369">
        <v>5315978587.2299995</v>
      </c>
      <c r="Z78" s="369">
        <v>511057499.23000002</v>
      </c>
      <c r="AA78" s="369">
        <v>254941218</v>
      </c>
      <c r="AB78" s="370">
        <f t="shared" si="18"/>
        <v>67086309.93999999</v>
      </c>
      <c r="AC78" s="370">
        <f t="shared" si="19"/>
        <v>-4760548.7095592022</v>
      </c>
      <c r="AD78" s="370">
        <f t="shared" si="20"/>
        <v>6965580.5518743098</v>
      </c>
      <c r="AE78" s="370">
        <f t="shared" si="21"/>
        <v>14613874724.440001</v>
      </c>
      <c r="AF78" s="370">
        <f t="shared" si="22"/>
        <v>1303926991.497261</v>
      </c>
      <c r="AG78" s="370">
        <f t="shared" si="23"/>
        <v>702288946.65551889</v>
      </c>
      <c r="AH78" s="342">
        <f t="shared" si="24"/>
        <v>3.2868581448096082E-2</v>
      </c>
      <c r="AI78" s="342">
        <f t="shared" si="25"/>
        <v>0.13728158862602113</v>
      </c>
      <c r="AJ78" s="371">
        <f t="shared" si="27"/>
        <v>0.13728158862602113</v>
      </c>
    </row>
    <row r="79" spans="1:38" s="14" customFormat="1" x14ac:dyDescent="0.35">
      <c r="A79" s="347">
        <v>30</v>
      </c>
      <c r="D79" s="548" t="s">
        <v>197</v>
      </c>
      <c r="E79" s="414"/>
      <c r="F79" s="14" t="s">
        <v>3702</v>
      </c>
      <c r="G79" s="14">
        <v>61327</v>
      </c>
      <c r="H79" s="378" t="s">
        <v>216</v>
      </c>
      <c r="I79" s="14" t="s">
        <v>525</v>
      </c>
      <c r="J79" s="373">
        <v>0</v>
      </c>
      <c r="K79" s="373">
        <v>0</v>
      </c>
      <c r="L79" s="373">
        <v>0</v>
      </c>
      <c r="M79" s="368">
        <v>65706874.336406007</v>
      </c>
      <c r="N79" s="368">
        <v>-2012737.6435938776</v>
      </c>
      <c r="O79" s="368">
        <v>4441794.55</v>
      </c>
      <c r="P79" s="368">
        <v>70766669.200000003</v>
      </c>
      <c r="Q79" s="368">
        <v>-1145758.8900000006</v>
      </c>
      <c r="R79" s="368">
        <v>4214097.74</v>
      </c>
      <c r="S79" s="368">
        <v>0</v>
      </c>
      <c r="T79" s="368">
        <v>0</v>
      </c>
      <c r="U79" s="368">
        <v>0</v>
      </c>
      <c r="V79" s="368">
        <v>0</v>
      </c>
      <c r="W79" s="368">
        <v>0</v>
      </c>
      <c r="X79" s="368">
        <v>0</v>
      </c>
      <c r="Y79" s="368">
        <v>0</v>
      </c>
      <c r="Z79" s="368">
        <v>0</v>
      </c>
      <c r="AA79" s="368">
        <v>0</v>
      </c>
      <c r="AB79" s="549">
        <f t="shared" si="18"/>
        <v>136473543.53640601</v>
      </c>
      <c r="AC79" s="549">
        <f t="shared" si="19"/>
        <v>-3158496.5335938781</v>
      </c>
      <c r="AD79" s="549">
        <f t="shared" si="20"/>
        <v>8655892.2899999991</v>
      </c>
      <c r="AE79" s="549">
        <f t="shared" si="21"/>
        <v>0</v>
      </c>
      <c r="AF79" s="549">
        <f t="shared" si="22"/>
        <v>0</v>
      </c>
      <c r="AG79" s="549">
        <f t="shared" si="23"/>
        <v>0</v>
      </c>
      <c r="AH79" s="546">
        <f t="shared" si="24"/>
        <v>4.028176900777565E-2</v>
      </c>
      <c r="AI79" s="546" t="str">
        <f t="shared" si="25"/>
        <v>NA</v>
      </c>
      <c r="AJ79" s="547">
        <f t="shared" si="27"/>
        <v>4.028176900777565E-2</v>
      </c>
      <c r="AK79" s="376" t="s">
        <v>3652</v>
      </c>
    </row>
    <row r="80" spans="1:38" x14ac:dyDescent="0.35">
      <c r="A80" s="343">
        <v>23</v>
      </c>
      <c r="B80" s="14"/>
      <c r="C80" s="14"/>
      <c r="D80" s="284" t="s">
        <v>199</v>
      </c>
      <c r="F80" t="s">
        <v>3695</v>
      </c>
      <c r="G80">
        <v>61328</v>
      </c>
      <c r="H80" s="286" t="s">
        <v>216</v>
      </c>
      <c r="I80" t="s">
        <v>525</v>
      </c>
      <c r="J80" s="368">
        <v>34888232.010000005</v>
      </c>
      <c r="K80" s="368">
        <v>-682665.98999999464</v>
      </c>
      <c r="L80" s="368">
        <v>1858800</v>
      </c>
      <c r="M80" s="368">
        <v>34220540</v>
      </c>
      <c r="N80" s="368">
        <v>-2279541</v>
      </c>
      <c r="O80" s="368">
        <v>1774630</v>
      </c>
      <c r="P80" s="368">
        <v>47960638.359999999</v>
      </c>
      <c r="Q80" s="368">
        <v>8757564.3599999994</v>
      </c>
      <c r="R80" s="368">
        <v>1802311</v>
      </c>
      <c r="S80" s="369">
        <v>0</v>
      </c>
      <c r="T80" s="369">
        <v>0</v>
      </c>
      <c r="U80" s="369">
        <v>0</v>
      </c>
      <c r="V80" s="369">
        <v>0</v>
      </c>
      <c r="W80" s="369">
        <v>0</v>
      </c>
      <c r="X80" s="369">
        <v>0</v>
      </c>
      <c r="Y80" s="369">
        <v>0</v>
      </c>
      <c r="Z80" s="369">
        <v>0</v>
      </c>
      <c r="AA80" s="369">
        <v>0</v>
      </c>
      <c r="AB80" s="370">
        <f t="shared" si="18"/>
        <v>117069410.37</v>
      </c>
      <c r="AC80" s="370">
        <f t="shared" si="19"/>
        <v>5795357.3700000048</v>
      </c>
      <c r="AD80" s="370">
        <f t="shared" si="20"/>
        <v>5435741</v>
      </c>
      <c r="AE80" s="370">
        <f t="shared" si="21"/>
        <v>0</v>
      </c>
      <c r="AF80" s="370">
        <f t="shared" si="22"/>
        <v>0</v>
      </c>
      <c r="AG80" s="370">
        <f t="shared" si="23"/>
        <v>0</v>
      </c>
      <c r="AH80" s="342">
        <f t="shared" si="24"/>
        <v>9.5935379998104656E-2</v>
      </c>
      <c r="AI80" s="342" t="str">
        <f t="shared" si="25"/>
        <v>NA</v>
      </c>
      <c r="AJ80" s="371">
        <f t="shared" si="27"/>
        <v>9.5935379998104656E-2</v>
      </c>
    </row>
    <row r="81" spans="1:36" x14ac:dyDescent="0.35">
      <c r="A81" s="343">
        <v>4</v>
      </c>
      <c r="B81" s="14"/>
      <c r="C81" s="14"/>
      <c r="D81" s="284" t="s">
        <v>201</v>
      </c>
      <c r="F81" t="s">
        <v>3680</v>
      </c>
      <c r="G81">
        <v>61336</v>
      </c>
      <c r="H81" s="286" t="s">
        <v>216</v>
      </c>
      <c r="I81" t="s">
        <v>525</v>
      </c>
      <c r="J81" s="368">
        <v>35905387</v>
      </c>
      <c r="K81" s="368">
        <v>-2638826</v>
      </c>
      <c r="L81" s="368">
        <v>1741747</v>
      </c>
      <c r="M81" s="368">
        <v>33090470</v>
      </c>
      <c r="N81" s="368">
        <v>158992.4299999997</v>
      </c>
      <c r="O81" s="368">
        <v>1604179</v>
      </c>
      <c r="P81" s="368">
        <v>28724384</v>
      </c>
      <c r="Q81" s="368">
        <v>-4738509</v>
      </c>
      <c r="R81" s="368">
        <v>2055707</v>
      </c>
      <c r="S81" s="369">
        <v>0</v>
      </c>
      <c r="T81" s="369">
        <v>0</v>
      </c>
      <c r="U81" s="369">
        <v>0</v>
      </c>
      <c r="V81" s="369">
        <v>0</v>
      </c>
      <c r="W81" s="369">
        <v>0</v>
      </c>
      <c r="X81" s="369">
        <v>0</v>
      </c>
      <c r="Y81" s="369">
        <v>0</v>
      </c>
      <c r="Z81" s="369">
        <v>0</v>
      </c>
      <c r="AA81" s="369">
        <v>0</v>
      </c>
      <c r="AB81" s="370">
        <f t="shared" si="18"/>
        <v>97720241</v>
      </c>
      <c r="AC81" s="370">
        <f t="shared" si="19"/>
        <v>-7218342.5700000003</v>
      </c>
      <c r="AD81" s="370">
        <f t="shared" si="20"/>
        <v>5401633</v>
      </c>
      <c r="AE81" s="370">
        <f t="shared" si="21"/>
        <v>0</v>
      </c>
      <c r="AF81" s="370">
        <f t="shared" si="22"/>
        <v>0</v>
      </c>
      <c r="AG81" s="370">
        <f t="shared" si="23"/>
        <v>0</v>
      </c>
      <c r="AH81" s="342">
        <f t="shared" si="24"/>
        <v>-1.8590923962211681E-2</v>
      </c>
      <c r="AI81" s="342" t="str">
        <f t="shared" si="25"/>
        <v>NA</v>
      </c>
      <c r="AJ81" s="371">
        <f t="shared" si="27"/>
        <v>-1.8590923962211681E-2</v>
      </c>
    </row>
    <row r="82" spans="1:36" x14ac:dyDescent="0.35">
      <c r="A82" s="343">
        <v>14</v>
      </c>
      <c r="B82" s="14"/>
      <c r="C82" s="14"/>
      <c r="D82" s="284" t="s">
        <v>203</v>
      </c>
      <c r="F82" s="372" t="s">
        <v>3688</v>
      </c>
      <c r="G82" s="374">
        <v>61343</v>
      </c>
      <c r="H82" s="286" t="s">
        <v>216</v>
      </c>
      <c r="I82" t="s">
        <v>525</v>
      </c>
      <c r="J82" s="368">
        <v>6991494.0500000017</v>
      </c>
      <c r="K82" s="368">
        <v>2918185.4400000018</v>
      </c>
      <c r="L82" s="368">
        <v>448569.78</v>
      </c>
      <c r="M82" s="368">
        <v>6080138.3100000005</v>
      </c>
      <c r="N82" s="368">
        <v>-785323.68999999948</v>
      </c>
      <c r="O82" s="368">
        <v>472700</v>
      </c>
      <c r="P82" s="368">
        <v>7634978.21</v>
      </c>
      <c r="Q82" s="368">
        <v>-1469210.79</v>
      </c>
      <c r="R82" s="368">
        <v>566631</v>
      </c>
      <c r="S82" s="369">
        <v>0</v>
      </c>
      <c r="T82" s="369">
        <v>0</v>
      </c>
      <c r="U82" s="369">
        <v>0</v>
      </c>
      <c r="V82" s="369">
        <v>0</v>
      </c>
      <c r="W82" s="369">
        <v>0</v>
      </c>
      <c r="X82" s="369">
        <v>0</v>
      </c>
      <c r="Y82" s="369">
        <v>0</v>
      </c>
      <c r="Z82" s="369">
        <v>0</v>
      </c>
      <c r="AA82" s="369">
        <v>0</v>
      </c>
      <c r="AB82" s="370">
        <f t="shared" si="18"/>
        <v>20706610.570000004</v>
      </c>
      <c r="AC82" s="370">
        <f t="shared" si="19"/>
        <v>663650.96000000229</v>
      </c>
      <c r="AD82" s="370">
        <f t="shared" si="20"/>
        <v>1487900.78</v>
      </c>
      <c r="AE82" s="370">
        <f t="shared" si="21"/>
        <v>0</v>
      </c>
      <c r="AF82" s="370">
        <f t="shared" si="22"/>
        <v>0</v>
      </c>
      <c r="AG82" s="370">
        <f t="shared" si="23"/>
        <v>0</v>
      </c>
      <c r="AH82" s="342">
        <f t="shared" si="24"/>
        <v>0.10390651491351255</v>
      </c>
      <c r="AI82" s="342" t="str">
        <f t="shared" si="25"/>
        <v>NA</v>
      </c>
      <c r="AJ82" s="371">
        <f t="shared" si="27"/>
        <v>0.10390651491351255</v>
      </c>
    </row>
    <row r="83" spans="1:36" x14ac:dyDescent="0.35">
      <c r="A83" s="343">
        <v>41</v>
      </c>
      <c r="B83" s="14"/>
      <c r="C83" s="14"/>
      <c r="D83" s="287" t="s">
        <v>205</v>
      </c>
      <c r="F83" s="286" t="s">
        <v>553</v>
      </c>
      <c r="G83">
        <v>61344</v>
      </c>
      <c r="H83" t="s">
        <v>223</v>
      </c>
      <c r="I83" t="s">
        <v>525</v>
      </c>
      <c r="J83" s="368">
        <v>72824406.780000046</v>
      </c>
      <c r="K83" s="368">
        <v>6099138.7636000365</v>
      </c>
      <c r="L83" s="368">
        <v>2759587.24</v>
      </c>
      <c r="M83" s="368">
        <v>85194829.299999997</v>
      </c>
      <c r="N83" s="368">
        <v>15467004.820000008</v>
      </c>
      <c r="O83" s="368">
        <v>3684282.9699999997</v>
      </c>
      <c r="P83" s="368">
        <v>97318919.210000008</v>
      </c>
      <c r="Q83" s="368">
        <v>22865393.050000012</v>
      </c>
      <c r="R83" s="368">
        <v>3206471.09</v>
      </c>
      <c r="S83" s="369">
        <v>2199179997.5199981</v>
      </c>
      <c r="T83" s="369">
        <v>228635496.50274026</v>
      </c>
      <c r="U83" s="369">
        <v>122011455.96000002</v>
      </c>
      <c r="V83" s="369">
        <v>2373892346.1700001</v>
      </c>
      <c r="W83" s="369">
        <v>312336534.33000034</v>
      </c>
      <c r="X83" s="369">
        <v>130369316.09999999</v>
      </c>
      <c r="Y83" s="369">
        <v>2561469913.9053001</v>
      </c>
      <c r="Z83" s="369">
        <v>376557681.68529993</v>
      </c>
      <c r="AA83" s="369">
        <v>133102210.90000001</v>
      </c>
      <c r="AB83" s="370">
        <f t="shared" si="18"/>
        <v>255338155.29000005</v>
      </c>
      <c r="AC83" s="370">
        <f t="shared" si="19"/>
        <v>44431536.633600056</v>
      </c>
      <c r="AD83" s="370">
        <f t="shared" si="20"/>
        <v>9650341.3000000007</v>
      </c>
      <c r="AE83" s="370">
        <f t="shared" si="21"/>
        <v>7134542257.5952988</v>
      </c>
      <c r="AF83" s="370">
        <f t="shared" si="22"/>
        <v>917529712.51804042</v>
      </c>
      <c r="AG83" s="370">
        <f t="shared" si="23"/>
        <v>385482982.96000004</v>
      </c>
      <c r="AH83" s="342">
        <f t="shared" si="24"/>
        <v>0.21180492148608426</v>
      </c>
      <c r="AI83" s="342">
        <f t="shared" si="25"/>
        <v>0.18263437911393374</v>
      </c>
      <c r="AJ83" s="371">
        <f t="shared" si="27"/>
        <v>0.21180492148608426</v>
      </c>
    </row>
    <row r="84" spans="1:36" x14ac:dyDescent="0.35">
      <c r="A84" s="343">
        <v>42</v>
      </c>
      <c r="B84" s="14"/>
      <c r="C84" s="14"/>
      <c r="D84" s="284" t="s">
        <v>207</v>
      </c>
      <c r="F84" t="s">
        <v>531</v>
      </c>
      <c r="G84">
        <v>63301</v>
      </c>
      <c r="H84" t="s">
        <v>276</v>
      </c>
      <c r="I84" t="s">
        <v>527</v>
      </c>
      <c r="J84" s="368">
        <v>1268055407.5180006</v>
      </c>
      <c r="K84" s="368">
        <v>107313435.15000081</v>
      </c>
      <c r="L84" s="368">
        <v>64936555.05999998</v>
      </c>
      <c r="M84" s="368">
        <v>1249137243.9830003</v>
      </c>
      <c r="N84" s="368">
        <v>42277890.111000538</v>
      </c>
      <c r="O84" s="368">
        <v>77971208.638000026</v>
      </c>
      <c r="P84" s="368">
        <v>1386444354.2320001</v>
      </c>
      <c r="Q84" s="368">
        <v>86295513.594000101</v>
      </c>
      <c r="R84" s="368">
        <v>74894244.923999995</v>
      </c>
      <c r="S84" s="369">
        <v>1346808782.2790005</v>
      </c>
      <c r="T84" s="369">
        <v>93072712.33600083</v>
      </c>
      <c r="U84" s="369">
        <v>70134331.329999983</v>
      </c>
      <c r="V84" s="369">
        <v>1424427979.1480002</v>
      </c>
      <c r="W84" s="369">
        <v>39146822.453000486</v>
      </c>
      <c r="X84" s="369">
        <v>89264226.670000032</v>
      </c>
      <c r="Y84" s="369">
        <v>1579057811.1720002</v>
      </c>
      <c r="Z84" s="369">
        <v>96133377.549000084</v>
      </c>
      <c r="AA84" s="369">
        <v>85755157.311999992</v>
      </c>
      <c r="AB84" s="370">
        <f t="shared" si="18"/>
        <v>3903637005.7330008</v>
      </c>
      <c r="AC84" s="370">
        <f t="shared" si="19"/>
        <v>235886838.85500145</v>
      </c>
      <c r="AD84" s="370">
        <f t="shared" si="20"/>
        <v>217802008.62200001</v>
      </c>
      <c r="AE84" s="370">
        <f t="shared" si="21"/>
        <v>4350294572.5990009</v>
      </c>
      <c r="AF84" s="370">
        <f t="shared" si="22"/>
        <v>228352912.3380014</v>
      </c>
      <c r="AG84" s="370">
        <f t="shared" si="23"/>
        <v>245153715.31199998</v>
      </c>
      <c r="AH84" s="342">
        <f t="shared" si="24"/>
        <v>0.1162220889930852</v>
      </c>
      <c r="AI84" s="342">
        <f t="shared" si="25"/>
        <v>0.10884472758062309</v>
      </c>
      <c r="AJ84" s="371">
        <f t="shared" si="27"/>
        <v>0.1162220889930852</v>
      </c>
    </row>
    <row r="85" spans="1:36" x14ac:dyDescent="0.35">
      <c r="A85" s="343">
        <v>111</v>
      </c>
      <c r="B85" s="284"/>
      <c r="C85" s="14"/>
      <c r="D85" s="285" t="s">
        <v>209</v>
      </c>
      <c r="F85" t="s">
        <v>526</v>
      </c>
      <c r="G85">
        <v>63303</v>
      </c>
      <c r="H85" t="s">
        <v>276</v>
      </c>
      <c r="I85" t="s">
        <v>527</v>
      </c>
      <c r="J85" s="368">
        <v>78753374.761000007</v>
      </c>
      <c r="K85" s="368">
        <v>-14240722.813999981</v>
      </c>
      <c r="L85" s="368">
        <v>5197776.2699999996</v>
      </c>
      <c r="M85" s="368">
        <v>175290735.16499996</v>
      </c>
      <c r="N85" s="368">
        <v>-3131067.658000052</v>
      </c>
      <c r="O85" s="368">
        <v>11293018.032000002</v>
      </c>
      <c r="P85" s="368">
        <v>192613456.94</v>
      </c>
      <c r="Q85" s="368">
        <v>9837863.9549999833</v>
      </c>
      <c r="R85" s="368">
        <v>10860912.388</v>
      </c>
      <c r="S85" s="369">
        <v>1346808782.2790005</v>
      </c>
      <c r="T85" s="369">
        <v>93072712.33600083</v>
      </c>
      <c r="U85" s="369">
        <v>70134331.329999983</v>
      </c>
      <c r="V85" s="369">
        <v>1424427979.1480002</v>
      </c>
      <c r="W85" s="369">
        <v>39146822.453000486</v>
      </c>
      <c r="X85" s="369">
        <v>89264226.670000032</v>
      </c>
      <c r="Y85" s="369">
        <v>1579057811.1720002</v>
      </c>
      <c r="Z85" s="369">
        <v>96133377.549000084</v>
      </c>
      <c r="AA85" s="369">
        <v>85755157.311999992</v>
      </c>
      <c r="AB85" s="370">
        <f t="shared" si="18"/>
        <v>446657566.86599994</v>
      </c>
      <c r="AC85" s="370">
        <f t="shared" si="19"/>
        <v>-7533926.5170000494</v>
      </c>
      <c r="AD85" s="370">
        <f t="shared" si="20"/>
        <v>27351706.690000001</v>
      </c>
      <c r="AE85" s="370">
        <f t="shared" si="21"/>
        <v>4350294572.5990009</v>
      </c>
      <c r="AF85" s="370">
        <f t="shared" si="22"/>
        <v>228352912.3380014</v>
      </c>
      <c r="AG85" s="370">
        <f t="shared" si="23"/>
        <v>245153715.31199998</v>
      </c>
      <c r="AH85" s="342">
        <f t="shared" si="24"/>
        <v>4.4369068483609525E-2</v>
      </c>
      <c r="AI85" s="342">
        <f t="shared" si="25"/>
        <v>0.10884472758062309</v>
      </c>
      <c r="AJ85" s="371">
        <f t="shared" si="27"/>
        <v>0.10884472758062309</v>
      </c>
    </row>
    <row r="86" spans="1:36" x14ac:dyDescent="0.35">
      <c r="AB86" s="370"/>
      <c r="AC86" s="370"/>
      <c r="AD86" s="370"/>
      <c r="AE86" s="370"/>
      <c r="AF86" s="370"/>
      <c r="AG86" s="370"/>
    </row>
    <row r="87" spans="1:36" x14ac:dyDescent="0.35">
      <c r="AB87" s="486"/>
      <c r="AC87" s="693"/>
      <c r="AD87" s="693"/>
      <c r="AF87" s="693"/>
      <c r="AG87" s="693"/>
    </row>
    <row r="88" spans="1:36" x14ac:dyDescent="0.35">
      <c r="AB88" s="486"/>
      <c r="AC88" s="487"/>
      <c r="AD88" s="487"/>
      <c r="AE88" s="488"/>
      <c r="AG88" s="488"/>
    </row>
    <row r="116" spans="7:37" x14ac:dyDescent="0.35">
      <c r="G116" s="152">
        <v>1</v>
      </c>
      <c r="H116" s="152">
        <v>2</v>
      </c>
      <c r="I116" s="152">
        <v>3</v>
      </c>
      <c r="J116" s="346">
        <v>4</v>
      </c>
      <c r="K116" s="152">
        <v>5</v>
      </c>
      <c r="L116" s="152">
        <v>6</v>
      </c>
      <c r="M116" s="152">
        <v>7</v>
      </c>
      <c r="N116" s="152">
        <v>8</v>
      </c>
      <c r="O116" s="152">
        <v>9</v>
      </c>
      <c r="P116" s="346">
        <v>10</v>
      </c>
      <c r="Q116" s="152">
        <v>11</v>
      </c>
      <c r="R116" s="152">
        <v>12</v>
      </c>
      <c r="S116" s="152">
        <v>13</v>
      </c>
      <c r="T116" s="152">
        <v>14</v>
      </c>
      <c r="U116" s="152">
        <v>15</v>
      </c>
      <c r="V116" s="346">
        <v>16</v>
      </c>
      <c r="W116" s="152">
        <v>17</v>
      </c>
      <c r="X116" s="152">
        <v>18</v>
      </c>
      <c r="Y116" s="152">
        <v>19</v>
      </c>
      <c r="Z116" s="152">
        <v>20</v>
      </c>
      <c r="AA116" s="152">
        <v>21</v>
      </c>
      <c r="AB116" s="346">
        <v>22</v>
      </c>
      <c r="AC116" s="152">
        <v>23</v>
      </c>
      <c r="AD116" s="152">
        <v>24</v>
      </c>
      <c r="AE116" s="152">
        <v>25</v>
      </c>
      <c r="AF116" s="152">
        <v>26</v>
      </c>
      <c r="AG116" s="152">
        <v>27</v>
      </c>
      <c r="AH116" s="346">
        <v>28</v>
      </c>
      <c r="AI116" s="152">
        <v>29</v>
      </c>
      <c r="AJ116" s="152">
        <v>30</v>
      </c>
      <c r="AK116" s="152">
        <v>31</v>
      </c>
    </row>
  </sheetData>
  <autoFilter ref="A1:AK85" xr:uid="{F2A1478B-8FA7-4A74-A39D-384E19089491}"/>
  <sortState xmlns:xlrd2="http://schemas.microsoft.com/office/spreadsheetml/2017/richdata2" ref="A2:AL85">
    <sortCondition ref="D2:D85"/>
  </sortState>
  <mergeCells count="2">
    <mergeCell ref="AC87:AD87"/>
    <mergeCell ref="AF87:AG87"/>
  </mergeCells>
  <conditionalFormatting sqref="A1:A85">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ED22-C808-45A2-8FDA-D6063F3042B9}">
  <sheetPr>
    <tabColor rgb="FF00B0F0"/>
  </sheetPr>
  <dimension ref="A1:C30"/>
  <sheetViews>
    <sheetView zoomScale="96" zoomScaleNormal="96" workbookViewId="0">
      <pane xSplit="1" ySplit="2" topLeftCell="B3" activePane="bottomRight" state="frozen"/>
      <selection pane="topRight" activeCell="B1" sqref="B1"/>
      <selection pane="bottomLeft" activeCell="A3" sqref="A3"/>
      <selection pane="bottomRight" activeCell="A22" sqref="A22"/>
    </sheetView>
  </sheetViews>
  <sheetFormatPr defaultColWidth="105.08984375" defaultRowHeight="14.5" x14ac:dyDescent="0.35"/>
  <cols>
    <col min="1" max="1" width="35.90625" style="282" customWidth="1"/>
    <col min="2" max="2" width="148.81640625" style="281" customWidth="1"/>
    <col min="3" max="3" width="30.1796875" style="9" customWidth="1"/>
    <col min="4" max="16384" width="105.08984375" style="9"/>
  </cols>
  <sheetData>
    <row r="1" spans="1:3" ht="26" x14ac:dyDescent="0.6">
      <c r="A1" s="604" t="s">
        <v>3740</v>
      </c>
      <c r="B1" s="604"/>
    </row>
    <row r="2" spans="1:3" s="143" customFormat="1" ht="52" thickBot="1" x14ac:dyDescent="0.4">
      <c r="A2" s="496" t="s">
        <v>3763</v>
      </c>
      <c r="B2" s="495" t="s">
        <v>3741</v>
      </c>
    </row>
    <row r="3" spans="1:3" ht="15.5" x14ac:dyDescent="0.35">
      <c r="A3" s="606" t="s">
        <v>571</v>
      </c>
      <c r="B3" s="517" t="s">
        <v>3746</v>
      </c>
    </row>
    <row r="4" spans="1:3" ht="15.5" x14ac:dyDescent="0.35">
      <c r="A4" s="606"/>
      <c r="B4" s="518" t="s">
        <v>3747</v>
      </c>
    </row>
    <row r="5" spans="1:3" ht="15.5" x14ac:dyDescent="0.35">
      <c r="A5" s="606"/>
      <c r="B5" s="519" t="s">
        <v>3748</v>
      </c>
    </row>
    <row r="6" spans="1:3" ht="15.5" x14ac:dyDescent="0.35">
      <c r="A6" s="606"/>
      <c r="B6" s="518" t="s">
        <v>3749</v>
      </c>
    </row>
    <row r="7" spans="1:3" ht="31" x14ac:dyDescent="0.35">
      <c r="A7" s="606"/>
      <c r="B7" s="518" t="s">
        <v>3769</v>
      </c>
    </row>
    <row r="8" spans="1:3" ht="15.5" x14ac:dyDescent="0.35">
      <c r="A8" s="606"/>
      <c r="B8" s="520" t="s">
        <v>3750</v>
      </c>
    </row>
    <row r="9" spans="1:3" ht="15.5" x14ac:dyDescent="0.35">
      <c r="A9" s="606"/>
      <c r="B9" s="520" t="s">
        <v>3751</v>
      </c>
    </row>
    <row r="10" spans="1:3" ht="31" x14ac:dyDescent="0.35">
      <c r="A10" s="606"/>
      <c r="B10" s="521" t="s">
        <v>3752</v>
      </c>
    </row>
    <row r="11" spans="1:3" ht="31" x14ac:dyDescent="0.35">
      <c r="A11" s="606"/>
      <c r="B11" s="522" t="s">
        <v>3753</v>
      </c>
    </row>
    <row r="12" spans="1:3" ht="15.5" x14ac:dyDescent="0.35">
      <c r="A12" s="606"/>
      <c r="B12" s="523" t="s">
        <v>3754</v>
      </c>
    </row>
    <row r="13" spans="1:3" ht="62" x14ac:dyDescent="0.35">
      <c r="A13" s="606"/>
      <c r="B13" s="524" t="s">
        <v>3755</v>
      </c>
      <c r="C13" s="314"/>
    </row>
    <row r="14" spans="1:3" ht="62.5" thickBot="1" x14ac:dyDescent="0.4">
      <c r="A14" s="606"/>
      <c r="B14" s="525" t="s">
        <v>3756</v>
      </c>
      <c r="C14" s="314"/>
    </row>
    <row r="15" spans="1:3" ht="47" thickBot="1" x14ac:dyDescent="0.4">
      <c r="A15" s="490" t="s">
        <v>3640</v>
      </c>
      <c r="B15" s="516" t="s">
        <v>3768</v>
      </c>
      <c r="C15" s="334"/>
    </row>
    <row r="16" spans="1:3" ht="31.5" thickBot="1" x14ac:dyDescent="0.4">
      <c r="A16" s="537" t="s">
        <v>521</v>
      </c>
      <c r="B16" s="526" t="s">
        <v>3757</v>
      </c>
    </row>
    <row r="17" spans="1:2" ht="15.5" x14ac:dyDescent="0.35">
      <c r="A17" s="605" t="s">
        <v>575</v>
      </c>
      <c r="B17" s="527" t="s">
        <v>3758</v>
      </c>
    </row>
    <row r="18" spans="1:2" ht="15.5" x14ac:dyDescent="0.35">
      <c r="A18" s="605"/>
      <c r="B18" s="528" t="s">
        <v>3759</v>
      </c>
    </row>
    <row r="19" spans="1:2" ht="62" x14ac:dyDescent="0.35">
      <c r="A19" s="605"/>
      <c r="B19" s="529" t="s">
        <v>3772</v>
      </c>
    </row>
    <row r="20" spans="1:2" ht="16" thickBot="1" x14ac:dyDescent="0.4">
      <c r="A20" s="605"/>
      <c r="B20" s="530" t="s">
        <v>3760</v>
      </c>
    </row>
    <row r="21" spans="1:2" ht="62" x14ac:dyDescent="0.35">
      <c r="A21" s="538" t="s">
        <v>570</v>
      </c>
      <c r="B21" s="545" t="s">
        <v>3771</v>
      </c>
    </row>
    <row r="22" spans="1:2" ht="78" thickBot="1" x14ac:dyDescent="0.4">
      <c r="A22" s="544" t="s">
        <v>578</v>
      </c>
      <c r="B22" s="531" t="s">
        <v>3770</v>
      </c>
    </row>
    <row r="23" spans="1:2" ht="232.5" x14ac:dyDescent="0.35">
      <c r="A23" s="491" t="s">
        <v>576</v>
      </c>
      <c r="B23" s="532" t="s">
        <v>3761</v>
      </c>
    </row>
    <row r="24" spans="1:2" ht="31" x14ac:dyDescent="0.35">
      <c r="A24" s="492" t="s">
        <v>572</v>
      </c>
      <c r="B24" s="533" t="s">
        <v>3762</v>
      </c>
    </row>
    <row r="25" spans="1:2" ht="15.5" x14ac:dyDescent="0.35">
      <c r="A25" s="492" t="s">
        <v>579</v>
      </c>
      <c r="B25" s="534" t="s">
        <v>3786</v>
      </c>
    </row>
    <row r="26" spans="1:2" ht="31" x14ac:dyDescent="0.35">
      <c r="A26" s="493" t="s">
        <v>3736</v>
      </c>
      <c r="B26" s="535" t="s">
        <v>3737</v>
      </c>
    </row>
    <row r="27" spans="1:2" ht="46.5" x14ac:dyDescent="0.35">
      <c r="A27" s="493" t="s">
        <v>3738</v>
      </c>
      <c r="B27" s="535" t="s">
        <v>3739</v>
      </c>
    </row>
    <row r="28" spans="1:2" ht="242" customHeight="1" x14ac:dyDescent="0.35">
      <c r="A28" s="494" t="s">
        <v>3780</v>
      </c>
      <c r="B28" s="535" t="s">
        <v>3779</v>
      </c>
    </row>
    <row r="29" spans="1:2" ht="46.5" x14ac:dyDescent="0.35">
      <c r="A29" s="493" t="s">
        <v>3743</v>
      </c>
      <c r="B29" s="535" t="s">
        <v>3744</v>
      </c>
    </row>
    <row r="30" spans="1:2" ht="37" x14ac:dyDescent="0.35">
      <c r="A30" s="489" t="s">
        <v>3742</v>
      </c>
      <c r="B30" s="536" t="s">
        <v>3745</v>
      </c>
    </row>
  </sheetData>
  <mergeCells count="3">
    <mergeCell ref="A1:B1"/>
    <mergeCell ref="A17:A20"/>
    <mergeCell ref="A3:A14"/>
  </mergeCells>
  <hyperlinks>
    <hyperlink ref="A3:A6" r:id="rId1" display="Sources:  FY 2022 CMS Impact File CN / Table 1A-1E Final Rule &amp; Correcting Amendment" xr:uid="{D6ED2D54-CED5-4F1F-A509-342B41B5A976}"/>
    <hyperlink ref="A3:A11" r:id="rId2" display="Sources:  FY 2023 CMS Impact File CN / Table 1A-1E, Tables 15 &amp; 16B Final Rule &amp; Correcting Amendment" xr:uid="{2E08092C-8F54-46FB-810E-A24F4787D841}"/>
    <hyperlink ref="A23" r:id="rId3" xr:uid="{E512FE6E-E44F-4169-9CD3-23B553F1BB62}"/>
    <hyperlink ref="A15" location="'FY 2023 IMPACT FILE CA'!A1" display="'FY 2023 IMPACT FILE CA'!A1" xr:uid="{F7A92A4F-FD80-4589-A8DA-73C4260CBDF0}"/>
    <hyperlink ref="B24" r:id="rId4" xr:uid="{CB693174-57A9-44EC-885D-B4D7803D57E1}"/>
    <hyperlink ref="A16" r:id="rId5" xr:uid="{5888BAF7-C2F6-41B2-8DA5-D7DC7E7FD651}"/>
    <hyperlink ref="B10" location="'Table 16B'!A1" display="Value Based Purchasing (VBP) Adjustment Factor (Table 16B)   Hospital Value-Based Purchasing (VBP) Program Adjustment Factors: Note, this table is not necessary for FY 2023." xr:uid="{D8E38C27-D8CF-4DE0-A2CB-1E82433348B6}"/>
    <hyperlink ref="B11" location="'Table 15'!A1" display="Readmission Factor (Table 15) FY 2023 Hospital Readmissions Reduction Program Payment Adjustment Factors: This table contains the final FY 2023 payment adjustment factors CMS applies to discharges occurring on or after October 1, 2022." xr:uid="{B4D009DC-9C62-4BFB-918D-B8A5719129D5}"/>
    <hyperlink ref="A24" location="'New Rates'!A1" display="Volume Inflator/Expected Caseload Growth Rate" xr:uid="{18773417-6634-426A-8ABB-F39E6D8E41E2}"/>
    <hyperlink ref="A25" r:id="rId6" xr:uid="{6BDE1356-562D-4038-A1A6-B316E90F6957}"/>
    <hyperlink ref="B19" location="Characteristics!A1" display="Characteristics!A1" xr:uid="{E3810BC1-675E-4BCE-8301-FED419668620}"/>
    <hyperlink ref="B21" location="Characteristics!A1" display="Characteristics!A1" xr:uid="{8B2BC47A-290E-439C-AF86-57E6F41F349C}"/>
    <hyperlink ref="B30" r:id="rId7" display="PLEASE GO TO POSTED RATE DOCUMENT TO REVIEW ACTUAL INPATIENT HOSPITAL BASE RATES FOR FY 23-24" xr:uid="{6E8C26C9-BC03-461A-8E31-C246A43A49F9}"/>
    <hyperlink ref="A22" location="'Solvency Metric'!A1" display="Link to Solvency Metric Calculations which contains System hospital list." xr:uid="{8FF48A79-68CD-4058-9A16-46C8383685D0}"/>
  </hyperlinks>
  <pageMargins left="0.7" right="0.7" top="0.75" bottom="0.75" header="0.3" footer="0.3"/>
  <pageSetup orientation="portrait" horizontalDpi="1200" verticalDpi="1200"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102DC-79D5-4CD4-8903-35D8E3973002}">
  <sheetPr>
    <tabColor rgb="FF00B0F0"/>
  </sheetPr>
  <dimension ref="A1:AG273"/>
  <sheetViews>
    <sheetView zoomScale="99" zoomScaleNormal="99" workbookViewId="0">
      <pane ySplit="4" topLeftCell="A5" activePane="bottomLeft" state="frozen"/>
      <selection activeCell="L2" sqref="L2"/>
      <selection pane="bottomLeft" activeCell="M54" sqref="M54"/>
    </sheetView>
  </sheetViews>
  <sheetFormatPr defaultRowHeight="14.5" x14ac:dyDescent="0.35"/>
  <cols>
    <col min="1" max="1" width="15.6328125" style="15" customWidth="1"/>
    <col min="2" max="2" width="14.36328125" style="16" customWidth="1"/>
    <col min="3" max="3" width="10.36328125" style="17" customWidth="1"/>
    <col min="4" max="4" width="13.36328125" style="16" hidden="1" customWidth="1"/>
    <col min="5" max="5" width="14.6328125" style="16" hidden="1" customWidth="1"/>
    <col min="6" max="7" width="8.81640625" style="347"/>
    <col min="8" max="9" width="0" hidden="1" customWidth="1"/>
    <col min="10" max="10" width="14.36328125" style="16" hidden="1" customWidth="1"/>
    <col min="11" max="11" width="29.36328125" style="42" customWidth="1"/>
    <col min="12" max="12" width="28.6328125" style="42" hidden="1" customWidth="1"/>
    <col min="13" max="13" width="28.7265625" style="42" customWidth="1"/>
    <col min="14" max="14" width="19.6328125" style="42" customWidth="1"/>
    <col min="15" max="15" width="27.81640625" style="42" customWidth="1"/>
    <col min="16" max="20" width="19.6328125" style="42" customWidth="1"/>
    <col min="21" max="21" width="23.7265625" style="45" customWidth="1"/>
    <col min="22" max="25" width="19.6328125" style="42" customWidth="1"/>
    <col min="26" max="26" width="19.6328125" customWidth="1"/>
    <col min="27" max="28" width="19" style="30" customWidth="1"/>
    <col min="29" max="30" width="16" style="30" customWidth="1"/>
    <col min="31" max="31" width="21.453125" style="30" customWidth="1"/>
    <col min="32" max="32" width="21.453125" style="49" customWidth="1"/>
    <col min="33" max="33" width="21.453125" customWidth="1"/>
  </cols>
  <sheetData>
    <row r="1" spans="1:33" ht="30.9" customHeight="1" x14ac:dyDescent="0.35">
      <c r="K1" s="430" t="s">
        <v>5</v>
      </c>
      <c r="L1" s="18" t="s">
        <v>4</v>
      </c>
      <c r="M1" s="608" t="s">
        <v>507</v>
      </c>
      <c r="N1" s="608"/>
      <c r="O1" s="608"/>
      <c r="P1" s="608"/>
      <c r="Q1" s="608" t="s">
        <v>5</v>
      </c>
      <c r="R1" s="608"/>
      <c r="S1" s="608"/>
      <c r="T1" s="608"/>
      <c r="U1" s="127" t="s">
        <v>6</v>
      </c>
      <c r="V1" s="608" t="s">
        <v>3767</v>
      </c>
      <c r="W1" s="608"/>
      <c r="X1" s="608"/>
      <c r="Y1" s="608"/>
      <c r="Z1" s="608"/>
      <c r="AA1" s="607" t="s">
        <v>514</v>
      </c>
      <c r="AB1" s="607"/>
      <c r="AC1" s="607"/>
      <c r="AD1" s="607"/>
      <c r="AE1" s="607" t="s">
        <v>573</v>
      </c>
      <c r="AF1" s="607"/>
      <c r="AG1" s="607"/>
    </row>
    <row r="2" spans="1:33" ht="122.15" customHeight="1" x14ac:dyDescent="0.35">
      <c r="A2" s="50" t="s">
        <v>522</v>
      </c>
      <c r="B2" s="51" t="s">
        <v>7</v>
      </c>
      <c r="C2" s="51" t="s">
        <v>8</v>
      </c>
      <c r="D2" s="51" t="s">
        <v>9</v>
      </c>
      <c r="E2" s="51" t="s">
        <v>10</v>
      </c>
      <c r="F2" s="150" t="s">
        <v>215</v>
      </c>
      <c r="G2" s="150" t="s">
        <v>225</v>
      </c>
      <c r="H2" s="144" t="s">
        <v>3637</v>
      </c>
      <c r="I2" s="144" t="s">
        <v>3637</v>
      </c>
      <c r="J2" s="51" t="s">
        <v>3630</v>
      </c>
      <c r="K2" s="150" t="s">
        <v>574</v>
      </c>
      <c r="L2" s="11"/>
      <c r="M2" s="326" t="s">
        <v>3632</v>
      </c>
      <c r="N2" s="114" t="s">
        <v>519</v>
      </c>
      <c r="O2" s="326" t="s">
        <v>3631</v>
      </c>
      <c r="P2" s="114" t="s">
        <v>520</v>
      </c>
      <c r="Q2" s="114" t="s">
        <v>501</v>
      </c>
      <c r="R2" s="114" t="s">
        <v>509</v>
      </c>
      <c r="S2" s="114" t="s">
        <v>508</v>
      </c>
      <c r="T2" s="114" t="s">
        <v>11</v>
      </c>
      <c r="U2" s="332" t="s">
        <v>3636</v>
      </c>
      <c r="V2" s="113" t="s">
        <v>512</v>
      </c>
      <c r="W2" s="113" t="s">
        <v>513</v>
      </c>
      <c r="X2" s="113" t="s">
        <v>510</v>
      </c>
      <c r="Y2" s="113" t="s">
        <v>511</v>
      </c>
      <c r="Z2" s="331" t="s">
        <v>3635</v>
      </c>
      <c r="AA2" s="514" t="s">
        <v>3764</v>
      </c>
      <c r="AB2" s="279" t="s">
        <v>515</v>
      </c>
      <c r="AC2" s="515" t="s">
        <v>3765</v>
      </c>
      <c r="AD2" s="280" t="s">
        <v>516</v>
      </c>
      <c r="AE2" s="278" t="s">
        <v>518</v>
      </c>
      <c r="AF2" s="268" t="s">
        <v>517</v>
      </c>
      <c r="AG2" s="331" t="s">
        <v>3766</v>
      </c>
    </row>
    <row r="3" spans="1:33" x14ac:dyDescent="0.35">
      <c r="A3" s="20"/>
      <c r="B3" s="21"/>
      <c r="C3" s="112" t="s">
        <v>12</v>
      </c>
      <c r="D3" s="112" t="s">
        <v>13</v>
      </c>
      <c r="E3" s="112" t="s">
        <v>14</v>
      </c>
      <c r="F3" s="412"/>
      <c r="G3" s="412"/>
      <c r="H3" s="311"/>
      <c r="I3" s="311"/>
      <c r="J3" s="112" t="s">
        <v>15</v>
      </c>
      <c r="K3" s="112" t="s">
        <v>16</v>
      </c>
      <c r="L3" s="112" t="s">
        <v>17</v>
      </c>
      <c r="M3" s="112" t="s">
        <v>18</v>
      </c>
      <c r="N3" s="112" t="s">
        <v>19</v>
      </c>
      <c r="O3" s="112" t="s">
        <v>20</v>
      </c>
      <c r="P3" s="112" t="s">
        <v>21</v>
      </c>
      <c r="Q3" s="112" t="s">
        <v>22</v>
      </c>
      <c r="R3" s="112" t="s">
        <v>23</v>
      </c>
      <c r="S3" s="112" t="s">
        <v>24</v>
      </c>
      <c r="T3" s="112" t="s">
        <v>25</v>
      </c>
      <c r="U3" s="112" t="s">
        <v>26</v>
      </c>
      <c r="V3" s="112" t="s">
        <v>27</v>
      </c>
      <c r="W3" s="112" t="s">
        <v>28</v>
      </c>
      <c r="X3" s="112" t="s">
        <v>29</v>
      </c>
      <c r="Y3" s="112" t="s">
        <v>30</v>
      </c>
      <c r="Z3" s="112" t="s">
        <v>31</v>
      </c>
      <c r="AA3" s="112" t="s">
        <v>32</v>
      </c>
      <c r="AB3" s="112" t="s">
        <v>33</v>
      </c>
      <c r="AC3" s="112" t="s">
        <v>34</v>
      </c>
      <c r="AD3" s="112" t="s">
        <v>35</v>
      </c>
      <c r="AE3" s="112" t="s">
        <v>36</v>
      </c>
      <c r="AF3" s="112" t="s">
        <v>37</v>
      </c>
      <c r="AG3" s="112" t="s">
        <v>38</v>
      </c>
    </row>
    <row r="4" spans="1:33" ht="28.75" customHeight="1" x14ac:dyDescent="0.35">
      <c r="A4" s="22"/>
      <c r="B4" s="23">
        <v>1</v>
      </c>
      <c r="C4" s="24" t="s">
        <v>39</v>
      </c>
      <c r="D4" s="23">
        <v>3</v>
      </c>
      <c r="E4" s="23">
        <v>4</v>
      </c>
      <c r="F4" s="23">
        <v>5</v>
      </c>
      <c r="G4" s="23">
        <v>6</v>
      </c>
      <c r="H4" s="23">
        <v>7</v>
      </c>
      <c r="I4" s="23">
        <v>8</v>
      </c>
      <c r="J4" s="23">
        <v>9</v>
      </c>
      <c r="K4" s="23">
        <v>10</v>
      </c>
      <c r="L4" s="23">
        <v>11</v>
      </c>
      <c r="M4" s="23">
        <v>12</v>
      </c>
      <c r="N4" s="23">
        <v>13</v>
      </c>
      <c r="O4" s="23">
        <v>14</v>
      </c>
      <c r="P4" s="23">
        <v>15</v>
      </c>
      <c r="Q4" s="23">
        <v>16</v>
      </c>
      <c r="R4" s="23">
        <v>17</v>
      </c>
      <c r="S4" s="23">
        <v>18</v>
      </c>
      <c r="T4" s="23">
        <v>19</v>
      </c>
      <c r="U4" s="23">
        <v>20</v>
      </c>
      <c r="V4" s="23">
        <v>21</v>
      </c>
      <c r="W4" s="23">
        <v>22</v>
      </c>
      <c r="X4" s="23">
        <v>23</v>
      </c>
      <c r="Y4" s="23">
        <v>24</v>
      </c>
      <c r="Z4" s="23">
        <v>25</v>
      </c>
      <c r="AA4" s="23">
        <v>26</v>
      </c>
      <c r="AB4" s="23">
        <v>27</v>
      </c>
      <c r="AC4" s="23">
        <v>28</v>
      </c>
      <c r="AD4" s="23">
        <v>29</v>
      </c>
      <c r="AE4" s="23">
        <v>30</v>
      </c>
      <c r="AF4" s="23">
        <v>31</v>
      </c>
      <c r="AG4" s="23">
        <v>32</v>
      </c>
    </row>
    <row r="5" spans="1:33" x14ac:dyDescent="0.35">
      <c r="A5" s="19">
        <v>0</v>
      </c>
      <c r="B5" s="25">
        <v>60001</v>
      </c>
      <c r="C5" s="26" t="s">
        <v>40</v>
      </c>
      <c r="D5" s="27" t="s">
        <v>41</v>
      </c>
      <c r="E5" s="27">
        <v>1720004450</v>
      </c>
      <c r="F5" s="381" t="s">
        <v>216</v>
      </c>
      <c r="G5" s="380">
        <v>0</v>
      </c>
      <c r="H5" s="311"/>
      <c r="I5" s="311"/>
      <c r="J5" s="25">
        <v>60001</v>
      </c>
      <c r="K5" s="438" t="str">
        <f>IFERROR(VLOOKUP(C5,'FY 2023 IMPACT FILE CA'!$A$3:$BH$52,58,FALSE),0)</f>
        <v>0</v>
      </c>
      <c r="L5" s="28"/>
      <c r="M5" s="441">
        <f>IF(AND(N5&lt;=1,K5=0),' FY 2023 CN Tables 1A-1E'!$C$5,' FY 2023 CN Tables 1A-1E'!$B$5)</f>
        <v>4310</v>
      </c>
      <c r="N5" s="442">
        <f>IFERROR(VLOOKUP($C5,'FY 2023 IMPACT FILE CA'!$A$3:$BG$52,12,FALSE),1)</f>
        <v>1.0192999999999999</v>
      </c>
      <c r="O5" s="441">
        <f>IF(N5&lt;=1,' FY 2023 CN Tables 1A-1E'!$C$6,' FY 2023 CN Tables 1A-1E'!$B$6)</f>
        <v>2065.7399999999998</v>
      </c>
      <c r="P5" s="441">
        <f t="shared" ref="P5:P68" si="0">IFERROR((M5*N5)+O5," ")</f>
        <v>6458.9229999999989</v>
      </c>
      <c r="Q5" s="443">
        <f>' FY 2023 CN Tables 1A-1E'!$B$33</f>
        <v>483.79</v>
      </c>
      <c r="R5" s="442">
        <f>IFERROR(VLOOKUP(C5,'FY 2023 IMPACT FILE CA'!$A$3:$BG$52,48,FALSE),1)</f>
        <v>1.0132000000000001</v>
      </c>
      <c r="S5" s="441">
        <f>IFERROR(Q5*R5," ")</f>
        <v>490.17602800000009</v>
      </c>
      <c r="T5" s="444">
        <f t="shared" ref="T5:T68" si="1">P5+S5</f>
        <v>6949.0990279999987</v>
      </c>
      <c r="U5" s="445">
        <v>104.43775988462926</v>
      </c>
      <c r="V5" s="449">
        <f>IFERROR(VLOOKUP(C5,'FY 2023 IMPACT FILE CA'!$A$3:$BG$53,23,FALSE),0)</f>
        <v>7.9829999999999998E-2</v>
      </c>
      <c r="W5" s="449">
        <f>IFERROR(VLOOKUP(C5,'FY 2023 IMPACT FILE CA'!$A$3:$BG$53,24,FALSE),0)</f>
        <v>7.9200000000000007E-2</v>
      </c>
      <c r="X5" s="441">
        <f t="shared" ref="X5:X36" si="2">IFERROR((P5*V5),0)</f>
        <v>515.61582308999994</v>
      </c>
      <c r="Y5" s="441">
        <f t="shared" ref="Y5:Y36" si="3">IFERROR(S5*W5,0)</f>
        <v>38.821941417600009</v>
      </c>
      <c r="Z5" s="451">
        <f>X5+Y5</f>
        <v>554.43776450759992</v>
      </c>
      <c r="AA5" s="449">
        <v>0</v>
      </c>
      <c r="AB5" s="452">
        <f>IF(AA5=0,0,P5*(AA5-1))</f>
        <v>0</v>
      </c>
      <c r="AC5" s="449">
        <f>IFERROR(VLOOKUP(C5,'Table 15'!$A$479:$B$528,2,FALSE),0)</f>
        <v>0.99629999999999996</v>
      </c>
      <c r="AD5" s="452">
        <f>IF(AC5=0,0,P5*(AC5-1))</f>
        <v>-23.898015100000233</v>
      </c>
      <c r="AE5" s="19" t="s">
        <v>144</v>
      </c>
      <c r="AF5" s="453">
        <f t="shared" ref="AF5:AF68" si="4">IF(AE5="Yes",-0.01,0)</f>
        <v>0</v>
      </c>
      <c r="AG5" s="454">
        <f t="shared" ref="AG5:AG36" si="5">T5*AF5</f>
        <v>0</v>
      </c>
    </row>
    <row r="6" spans="1:33" x14ac:dyDescent="0.35">
      <c r="A6" s="19">
        <v>0</v>
      </c>
      <c r="B6" s="25">
        <v>60003</v>
      </c>
      <c r="C6" s="26" t="s">
        <v>42</v>
      </c>
      <c r="D6" s="27" t="s">
        <v>43</v>
      </c>
      <c r="E6" s="27">
        <v>1366465866</v>
      </c>
      <c r="F6" s="381" t="s">
        <v>216</v>
      </c>
      <c r="G6" s="380">
        <v>0</v>
      </c>
      <c r="H6" s="311"/>
      <c r="I6" s="311"/>
      <c r="J6" s="25">
        <v>60003</v>
      </c>
      <c r="K6" s="438" t="str">
        <f>IFERROR(VLOOKUP(C6,'FY 2023 IMPACT FILE CA'!$A$3:$BH$52,58,FALSE),0)</f>
        <v>0</v>
      </c>
      <c r="L6" s="29"/>
      <c r="M6" s="441">
        <f>IF(N6&lt;=1,' FY 2023 CN Tables 1A-1E'!$C$5,' FY 2023 CN Tables 1A-1E'!$B$5)</f>
        <v>4310</v>
      </c>
      <c r="N6" s="442">
        <f>IFERROR(VLOOKUP($C6,'FY 2023 IMPACT FILE CA'!$A$3:$BG$52,12,FALSE),1)</f>
        <v>1.0126999999999999</v>
      </c>
      <c r="O6" s="441">
        <f>IF(N6&lt;=1,' FY 2023 CN Tables 1A-1E'!$C$6,' FY 2023 CN Tables 1A-1E'!$B$6)</f>
        <v>2065.7399999999998</v>
      </c>
      <c r="P6" s="441">
        <f t="shared" si="0"/>
        <v>6430.4769999999999</v>
      </c>
      <c r="Q6" s="443">
        <f>' FY 2023 CN Tables 1A-1E'!$B$33</f>
        <v>483.79</v>
      </c>
      <c r="R6" s="442">
        <f>IFERROR(VLOOKUP(C6,'FY 2023 IMPACT FILE CA'!$A$3:$BG$52,48,FALSE),1)</f>
        <v>1.0086999999999999</v>
      </c>
      <c r="S6" s="441">
        <f t="shared" ref="S6:S68" si="6">IFERROR(Q6*R6," ")</f>
        <v>487.99897299999998</v>
      </c>
      <c r="T6" s="444">
        <f t="shared" si="1"/>
        <v>6918.4759729999996</v>
      </c>
      <c r="U6" s="445">
        <v>0</v>
      </c>
      <c r="V6" s="449">
        <f>IFERROR(VLOOKUP(C6,'FY 2023 IMPACT FILE CA'!$A$3:$BG$53,23,FALSE),0)</f>
        <v>0</v>
      </c>
      <c r="W6" s="449">
        <f>IFERROR(VLOOKUP(C6,'FY 2023 IMPACT FILE CA'!$A$3:$BG$53,24,FALSE),0)</f>
        <v>0</v>
      </c>
      <c r="X6" s="441">
        <f t="shared" si="2"/>
        <v>0</v>
      </c>
      <c r="Y6" s="441">
        <f t="shared" si="3"/>
        <v>0</v>
      </c>
      <c r="Z6" s="451">
        <f t="shared" ref="Z6:Z69" si="7">X6+Y6</f>
        <v>0</v>
      </c>
      <c r="AA6" s="449">
        <v>0</v>
      </c>
      <c r="AB6" s="452">
        <f t="shared" ref="AB6:AB71" si="8">IF(AA6=0,0,P6*(AA6-1))</f>
        <v>0</v>
      </c>
      <c r="AC6" s="449">
        <f>IFERROR(VLOOKUP(C6,'Table 15'!$A$479:$B$528,2,FALSE),0)</f>
        <v>0.99550000000000005</v>
      </c>
      <c r="AD6" s="452">
        <f t="shared" ref="AD6:AD69" si="9">IF(AC6=0,0,P6*(AC6-1))</f>
        <v>-28.937146499999667</v>
      </c>
      <c r="AE6" s="19" t="s">
        <v>144</v>
      </c>
      <c r="AF6" s="455">
        <f t="shared" si="4"/>
        <v>0</v>
      </c>
      <c r="AG6" s="454">
        <f t="shared" si="5"/>
        <v>0</v>
      </c>
    </row>
    <row r="7" spans="1:33" x14ac:dyDescent="0.35">
      <c r="A7" s="19">
        <v>0</v>
      </c>
      <c r="B7" s="25">
        <v>60004</v>
      </c>
      <c r="C7" s="26" t="s">
        <v>44</v>
      </c>
      <c r="D7" s="27" t="s">
        <v>45</v>
      </c>
      <c r="E7" s="27">
        <v>1629071758</v>
      </c>
      <c r="F7" s="381" t="s">
        <v>216</v>
      </c>
      <c r="G7" s="380">
        <v>0</v>
      </c>
      <c r="H7" s="311"/>
      <c r="I7" s="311"/>
      <c r="J7" s="25">
        <v>60004</v>
      </c>
      <c r="K7" s="438" t="str">
        <f>IFERROR(VLOOKUP(C7,'FY 2023 IMPACT FILE CA'!$A$3:$BH$52,58,FALSE),0)</f>
        <v>0</v>
      </c>
      <c r="L7" s="29"/>
      <c r="M7" s="441">
        <f>IF(N7&lt;=1,' FY 2023 CN Tables 1A-1E'!$C$5,' FY 2023 CN Tables 1A-1E'!$B$5)</f>
        <v>4310</v>
      </c>
      <c r="N7" s="442">
        <f>IFERROR(VLOOKUP($C7,'FY 2023 IMPACT FILE CA'!$A$3:$BG$52,12,FALSE),1)</f>
        <v>1.0126999999999999</v>
      </c>
      <c r="O7" s="441">
        <f>IF(N7&lt;=1,' FY 2023 CN Tables 1A-1E'!$C$6,' FY 2023 CN Tables 1A-1E'!$B$6)</f>
        <v>2065.7399999999998</v>
      </c>
      <c r="P7" s="441">
        <f t="shared" si="0"/>
        <v>6430.4769999999999</v>
      </c>
      <c r="Q7" s="443">
        <f>' FY 2023 CN Tables 1A-1E'!$B$33</f>
        <v>483.79</v>
      </c>
      <c r="R7" s="442">
        <f>IFERROR(VLOOKUP(C7,'FY 2023 IMPACT FILE CA'!$A$3:$BG$52,48,FALSE),1)</f>
        <v>1.0086999999999999</v>
      </c>
      <c r="S7" s="441">
        <f t="shared" si="6"/>
        <v>487.99897299999998</v>
      </c>
      <c r="T7" s="444">
        <f t="shared" si="1"/>
        <v>6918.4759729999996</v>
      </c>
      <c r="U7" s="445">
        <v>0</v>
      </c>
      <c r="V7" s="449">
        <f>IFERROR(VLOOKUP(C7,'FY 2023 IMPACT FILE CA'!$A$3:$BG$53,23,FALSE),0)</f>
        <v>0</v>
      </c>
      <c r="W7" s="449">
        <f>IFERROR(VLOOKUP(C7,'FY 2023 IMPACT FILE CA'!$A$3:$BG$53,24,FALSE),0)</f>
        <v>0</v>
      </c>
      <c r="X7" s="441">
        <f t="shared" si="2"/>
        <v>0</v>
      </c>
      <c r="Y7" s="441">
        <f t="shared" si="3"/>
        <v>0</v>
      </c>
      <c r="Z7" s="451">
        <f t="shared" si="7"/>
        <v>0</v>
      </c>
      <c r="AA7" s="449">
        <v>0</v>
      </c>
      <c r="AB7" s="452">
        <f t="shared" si="8"/>
        <v>0</v>
      </c>
      <c r="AC7" s="449">
        <f>IFERROR(VLOOKUP(C7,'Table 15'!$A$479:$B$528,2,FALSE),0)</f>
        <v>0.99819999999999998</v>
      </c>
      <c r="AD7" s="452">
        <f t="shared" si="9"/>
        <v>-11.574858600000153</v>
      </c>
      <c r="AE7" s="19" t="s">
        <v>144</v>
      </c>
      <c r="AF7" s="455">
        <f t="shared" si="4"/>
        <v>0</v>
      </c>
      <c r="AG7" s="454">
        <f t="shared" si="5"/>
        <v>0</v>
      </c>
    </row>
    <row r="8" spans="1:33" x14ac:dyDescent="0.35">
      <c r="A8" s="19">
        <v>0</v>
      </c>
      <c r="B8" s="25">
        <v>60006</v>
      </c>
      <c r="C8" s="26" t="s">
        <v>46</v>
      </c>
      <c r="D8" s="27" t="s">
        <v>47</v>
      </c>
      <c r="E8" s="27">
        <v>1205822186</v>
      </c>
      <c r="F8" s="381" t="s">
        <v>219</v>
      </c>
      <c r="G8" s="380">
        <v>1</v>
      </c>
      <c r="H8" s="311"/>
      <c r="I8" s="311"/>
      <c r="J8" s="25">
        <v>60006</v>
      </c>
      <c r="K8" s="438" t="str">
        <f>IFERROR(VLOOKUP(C8,'FY 2023 IMPACT FILE CA'!$A$3:$BH$52,58,FALSE),0)</f>
        <v>0</v>
      </c>
      <c r="L8" s="29"/>
      <c r="M8" s="441">
        <f>IF(N8&lt;=1,' FY 2023 CN Tables 1A-1E'!$C$5,' FY 2023 CN Tables 1A-1E'!$B$5)</f>
        <v>4310</v>
      </c>
      <c r="N8" s="442">
        <f>IFERROR(VLOOKUP($C8,'FY 2023 IMPACT FILE CA'!$A$3:$BG$52,12,FALSE),1)</f>
        <v>1.0126999999999999</v>
      </c>
      <c r="O8" s="441">
        <f>IF(N8&lt;=1,' FY 2023 CN Tables 1A-1E'!$C$6,' FY 2023 CN Tables 1A-1E'!$B$6)</f>
        <v>2065.7399999999998</v>
      </c>
      <c r="P8" s="441">
        <f t="shared" si="0"/>
        <v>6430.4769999999999</v>
      </c>
      <c r="Q8" s="443">
        <f>' FY 2023 CN Tables 1A-1E'!$B$33</f>
        <v>483.79</v>
      </c>
      <c r="R8" s="442">
        <f>IFERROR(VLOOKUP(C8,'FY 2023 IMPACT FILE CA'!$A$3:$BG$52,48,FALSE),1)</f>
        <v>1.0086999999999999</v>
      </c>
      <c r="S8" s="441">
        <f t="shared" si="6"/>
        <v>487.99897299999998</v>
      </c>
      <c r="T8" s="444">
        <f t="shared" si="1"/>
        <v>6918.4759729999996</v>
      </c>
      <c r="U8" s="445">
        <v>0</v>
      </c>
      <c r="V8" s="449">
        <f>IFERROR(VLOOKUP(C8,'FY 2023 IMPACT FILE CA'!$A$3:$BG$53,23,FALSE),0)</f>
        <v>0</v>
      </c>
      <c r="W8" s="449">
        <f>IFERROR(VLOOKUP(C8,'FY 2023 IMPACT FILE CA'!$A$3:$BG$53,24,FALSE),0)</f>
        <v>0</v>
      </c>
      <c r="X8" s="441">
        <f t="shared" si="2"/>
        <v>0</v>
      </c>
      <c r="Y8" s="441">
        <f t="shared" si="3"/>
        <v>0</v>
      </c>
      <c r="Z8" s="451">
        <f t="shared" si="7"/>
        <v>0</v>
      </c>
      <c r="AA8" s="449">
        <v>0</v>
      </c>
      <c r="AB8" s="452">
        <f t="shared" si="8"/>
        <v>0</v>
      </c>
      <c r="AC8" s="449">
        <f>IFERROR(VLOOKUP(C8,'Table 15'!$A$479:$B$528,2,FALSE),0)</f>
        <v>0.99990000000000001</v>
      </c>
      <c r="AD8" s="452">
        <f t="shared" si="9"/>
        <v>-0.64304769999992917</v>
      </c>
      <c r="AE8" s="19" t="s">
        <v>144</v>
      </c>
      <c r="AF8" s="455">
        <f t="shared" si="4"/>
        <v>0</v>
      </c>
      <c r="AG8" s="454">
        <f t="shared" si="5"/>
        <v>0</v>
      </c>
    </row>
    <row r="9" spans="1:33" x14ac:dyDescent="0.35">
      <c r="A9" s="19">
        <v>0</v>
      </c>
      <c r="B9" s="25">
        <v>60008</v>
      </c>
      <c r="C9" s="26" t="s">
        <v>48</v>
      </c>
      <c r="D9" s="30" t="s">
        <v>49</v>
      </c>
      <c r="E9" s="19" t="s">
        <v>50</v>
      </c>
      <c r="F9" s="381" t="s">
        <v>219</v>
      </c>
      <c r="G9" s="382">
        <v>1</v>
      </c>
      <c r="H9" s="311"/>
      <c r="I9" s="311"/>
      <c r="J9" s="25">
        <v>60008</v>
      </c>
      <c r="K9" s="438" t="str">
        <f>IFERROR(VLOOKUP(C9,'FY 2023 IMPACT FILE CA'!$A$3:$BH$52,58,FALSE),0)</f>
        <v>0</v>
      </c>
      <c r="L9" s="29"/>
      <c r="M9" s="441">
        <f>IF(N9&lt;=1,' FY 2023 CN Tables 1A-1E'!$C$5,' FY 2023 CN Tables 1A-1E'!$B$5)</f>
        <v>4310</v>
      </c>
      <c r="N9" s="442">
        <f>IFERROR(VLOOKUP($C9,'FY 2023 IMPACT FILE CA'!$A$3:$BG$52,12,FALSE),1)</f>
        <v>1.0126999999999999</v>
      </c>
      <c r="O9" s="441">
        <f>IF(N9&lt;=1,' FY 2023 CN Tables 1A-1E'!$C$6,' FY 2023 CN Tables 1A-1E'!$B$6)</f>
        <v>2065.7399999999998</v>
      </c>
      <c r="P9" s="441">
        <f t="shared" si="0"/>
        <v>6430.4769999999999</v>
      </c>
      <c r="Q9" s="443">
        <f>' FY 2023 CN Tables 1A-1E'!$B$33</f>
        <v>483.79</v>
      </c>
      <c r="R9" s="442">
        <f>IFERROR(VLOOKUP(C9,'FY 2023 IMPACT FILE CA'!$A$3:$BG$52,48,FALSE),1)</f>
        <v>1.0086999999999999</v>
      </c>
      <c r="S9" s="441">
        <f t="shared" si="6"/>
        <v>487.99897299999998</v>
      </c>
      <c r="T9" s="444">
        <f t="shared" si="1"/>
        <v>6918.4759729999996</v>
      </c>
      <c r="U9" s="445">
        <v>0</v>
      </c>
      <c r="V9" s="449">
        <f>IFERROR(VLOOKUP(C9,'FY 2023 IMPACT FILE CA'!$A$3:$BG$53,23,FALSE),0)</f>
        <v>0</v>
      </c>
      <c r="W9" s="449">
        <f>IFERROR(VLOOKUP(C9,'FY 2023 IMPACT FILE CA'!$A$3:$BG$53,24,FALSE),0)</f>
        <v>0</v>
      </c>
      <c r="X9" s="441">
        <f t="shared" si="2"/>
        <v>0</v>
      </c>
      <c r="Y9" s="441">
        <f t="shared" si="3"/>
        <v>0</v>
      </c>
      <c r="Z9" s="451">
        <f t="shared" si="7"/>
        <v>0</v>
      </c>
      <c r="AA9" s="449">
        <v>0</v>
      </c>
      <c r="AB9" s="452">
        <f t="shared" si="8"/>
        <v>0</v>
      </c>
      <c r="AC9" s="449">
        <f>IFERROR(VLOOKUP(C9,'Table 15'!$A$479:$B$528,2,FALSE),0)</f>
        <v>0.99019999999999997</v>
      </c>
      <c r="AD9" s="452">
        <f t="shared" si="9"/>
        <v>-63.018674600000196</v>
      </c>
      <c r="AE9" s="19" t="s">
        <v>144</v>
      </c>
      <c r="AF9" s="455">
        <f t="shared" si="4"/>
        <v>0</v>
      </c>
      <c r="AG9" s="454">
        <f t="shared" si="5"/>
        <v>0</v>
      </c>
    </row>
    <row r="10" spans="1:33" x14ac:dyDescent="0.35">
      <c r="A10" s="19">
        <v>0</v>
      </c>
      <c r="B10" s="25">
        <v>60009</v>
      </c>
      <c r="C10" s="26" t="s">
        <v>51</v>
      </c>
      <c r="D10" s="27" t="s">
        <v>52</v>
      </c>
      <c r="E10" s="27">
        <v>1669461281</v>
      </c>
      <c r="F10" s="381" t="s">
        <v>216</v>
      </c>
      <c r="G10" s="380">
        <v>0</v>
      </c>
      <c r="H10" s="311"/>
      <c r="I10" s="311"/>
      <c r="J10" s="25">
        <v>60009</v>
      </c>
      <c r="K10" s="438" t="str">
        <f>IFERROR(VLOOKUP(C10,'FY 2023 IMPACT FILE CA'!$A$3:$BH$52,58,FALSE),0)</f>
        <v>0</v>
      </c>
      <c r="L10" s="29"/>
      <c r="M10" s="441">
        <f>IF(N10&lt;=1,' FY 2023 CN Tables 1A-1E'!$C$5,' FY 2023 CN Tables 1A-1E'!$B$5)</f>
        <v>4310</v>
      </c>
      <c r="N10" s="442">
        <f>IFERROR(VLOOKUP($C10,'FY 2023 IMPACT FILE CA'!$A$3:$BG$52,12,FALSE),1)</f>
        <v>1.0126999999999999</v>
      </c>
      <c r="O10" s="441">
        <f>IF(N10&lt;=1,' FY 2023 CN Tables 1A-1E'!$C$6,' FY 2023 CN Tables 1A-1E'!$B$6)</f>
        <v>2065.7399999999998</v>
      </c>
      <c r="P10" s="441">
        <f t="shared" si="0"/>
        <v>6430.4769999999999</v>
      </c>
      <c r="Q10" s="443">
        <f>' FY 2023 CN Tables 1A-1E'!$B$33</f>
        <v>483.79</v>
      </c>
      <c r="R10" s="442">
        <f>IFERROR(VLOOKUP(C10,'FY 2023 IMPACT FILE CA'!$A$3:$BG$52,48,FALSE),1)</f>
        <v>1.0086999999999999</v>
      </c>
      <c r="S10" s="441">
        <f t="shared" si="6"/>
        <v>487.99897299999998</v>
      </c>
      <c r="T10" s="444">
        <f t="shared" si="1"/>
        <v>6918.4759729999996</v>
      </c>
      <c r="U10" s="445">
        <v>0</v>
      </c>
      <c r="V10" s="449">
        <f>IFERROR(VLOOKUP(C10,'FY 2023 IMPACT FILE CA'!$A$3:$BG$53,23,FALSE),0)</f>
        <v>0</v>
      </c>
      <c r="W10" s="449">
        <f>IFERROR(VLOOKUP(C10,'FY 2023 IMPACT FILE CA'!$A$3:$BG$53,24,FALSE),0)</f>
        <v>0</v>
      </c>
      <c r="X10" s="441">
        <f t="shared" si="2"/>
        <v>0</v>
      </c>
      <c r="Y10" s="441">
        <f t="shared" si="3"/>
        <v>0</v>
      </c>
      <c r="Z10" s="451">
        <f t="shared" si="7"/>
        <v>0</v>
      </c>
      <c r="AA10" s="449">
        <v>0</v>
      </c>
      <c r="AB10" s="452">
        <f t="shared" si="8"/>
        <v>0</v>
      </c>
      <c r="AC10" s="449">
        <f>IFERROR(VLOOKUP(C10,'Table 15'!$A$479:$B$528,2,FALSE),0)</f>
        <v>1</v>
      </c>
      <c r="AD10" s="452">
        <f t="shared" si="9"/>
        <v>0</v>
      </c>
      <c r="AE10" s="19" t="s">
        <v>144</v>
      </c>
      <c r="AF10" s="455">
        <f t="shared" si="4"/>
        <v>0</v>
      </c>
      <c r="AG10" s="454">
        <f t="shared" si="5"/>
        <v>0</v>
      </c>
    </row>
    <row r="11" spans="1:33" x14ac:dyDescent="0.35">
      <c r="A11" s="19">
        <v>0</v>
      </c>
      <c r="B11" s="25">
        <v>60010</v>
      </c>
      <c r="C11" s="26" t="s">
        <v>53</v>
      </c>
      <c r="D11" s="27" t="s">
        <v>54</v>
      </c>
      <c r="E11" s="27">
        <v>1760492714</v>
      </c>
      <c r="F11" s="381" t="s">
        <v>216</v>
      </c>
      <c r="G11" s="380">
        <v>0</v>
      </c>
      <c r="H11" s="311"/>
      <c r="I11" s="311"/>
      <c r="J11" s="25">
        <v>60010</v>
      </c>
      <c r="K11" s="438" t="str">
        <f>IFERROR(VLOOKUP(C11,'FY 2023 IMPACT FILE CA'!$A$3:$BH$52,58,FALSE),0)</f>
        <v>0</v>
      </c>
      <c r="L11" s="29"/>
      <c r="M11" s="441">
        <f>IF(N11&lt;=1,' FY 2023 CN Tables 1A-1E'!$C$5,' FY 2023 CN Tables 1A-1E'!$B$5)</f>
        <v>4310</v>
      </c>
      <c r="N11" s="442">
        <f>IFERROR(VLOOKUP($C11,'FY 2023 IMPACT FILE CA'!$A$3:$BG$52,12,FALSE),1)</f>
        <v>1.0126999999999999</v>
      </c>
      <c r="O11" s="441">
        <f>IF(N11&lt;=1,' FY 2023 CN Tables 1A-1E'!$C$6,' FY 2023 CN Tables 1A-1E'!$B$6)</f>
        <v>2065.7399999999998</v>
      </c>
      <c r="P11" s="441">
        <f>IFERROR((M11*N11)+O11," ")</f>
        <v>6430.4769999999999</v>
      </c>
      <c r="Q11" s="443">
        <f>' FY 2023 CN Tables 1A-1E'!$B$33</f>
        <v>483.79</v>
      </c>
      <c r="R11" s="442">
        <f>IFERROR(VLOOKUP(C11,'FY 2023 IMPACT FILE CA'!$A$3:$BG$52,48,FALSE),1)</f>
        <v>1.0086999999999999</v>
      </c>
      <c r="S11" s="441">
        <f t="shared" si="6"/>
        <v>487.99897299999998</v>
      </c>
      <c r="T11" s="444">
        <f t="shared" si="1"/>
        <v>6918.4759729999996</v>
      </c>
      <c r="U11" s="445">
        <v>53.242385042861613</v>
      </c>
      <c r="V11" s="583">
        <v>3.6450000000000003E-2</v>
      </c>
      <c r="W11" s="450">
        <f>IFERROR(VLOOKUP(C11,'FY 2023 IMPACT FILE CA'!$A$3:$BG$53,24,FALSE),0)</f>
        <v>3.6639999999999999E-2</v>
      </c>
      <c r="X11" s="441">
        <f t="shared" si="2"/>
        <v>234.39088665000003</v>
      </c>
      <c r="Y11" s="441">
        <f t="shared" si="3"/>
        <v>17.88028237072</v>
      </c>
      <c r="Z11" s="451">
        <f t="shared" si="7"/>
        <v>252.27116902072004</v>
      </c>
      <c r="AA11" s="449">
        <v>0</v>
      </c>
      <c r="AB11" s="452">
        <f t="shared" si="8"/>
        <v>0</v>
      </c>
      <c r="AC11" s="449">
        <f>IFERROR(VLOOKUP(C11,'Table 15'!$A$479:$B$528,2,FALSE),0)</f>
        <v>1</v>
      </c>
      <c r="AD11" s="452">
        <f t="shared" si="9"/>
        <v>0</v>
      </c>
      <c r="AE11" s="19" t="s">
        <v>144</v>
      </c>
      <c r="AF11" s="455">
        <f t="shared" si="4"/>
        <v>0</v>
      </c>
      <c r="AG11" s="454">
        <f t="shared" si="5"/>
        <v>0</v>
      </c>
    </row>
    <row r="12" spans="1:33" x14ac:dyDescent="0.35">
      <c r="A12" s="19">
        <v>0</v>
      </c>
      <c r="B12" s="25">
        <v>60011</v>
      </c>
      <c r="C12" s="26" t="s">
        <v>55</v>
      </c>
      <c r="D12" s="27" t="s">
        <v>56</v>
      </c>
      <c r="E12" s="27">
        <v>1477569838</v>
      </c>
      <c r="F12" s="381" t="s">
        <v>216</v>
      </c>
      <c r="G12" s="380">
        <v>0</v>
      </c>
      <c r="H12" s="311"/>
      <c r="I12" s="311"/>
      <c r="J12" s="25">
        <v>60011</v>
      </c>
      <c r="K12" s="438" t="str">
        <f>IFERROR(VLOOKUP(C12,'FY 2023 IMPACT FILE CA'!$A$3:$BH$52,58,FALSE),0)</f>
        <v>0</v>
      </c>
      <c r="L12" s="29"/>
      <c r="M12" s="441">
        <f>IF(N12&lt;=1,' FY 2023 CN Tables 1A-1E'!$C$5,' FY 2023 CN Tables 1A-1E'!$B$5)</f>
        <v>4310</v>
      </c>
      <c r="N12" s="442">
        <f>IFERROR(VLOOKUP($C12,'FY 2023 IMPACT FILE CA'!$A$3:$BG$52,12,FALSE),1)</f>
        <v>1.0126999999999999</v>
      </c>
      <c r="O12" s="441">
        <f>IF(N12&lt;=1,' FY 2023 CN Tables 1A-1E'!$C$6,' FY 2023 CN Tables 1A-1E'!$B$6)</f>
        <v>2065.7399999999998</v>
      </c>
      <c r="P12" s="441">
        <f t="shared" si="0"/>
        <v>6430.4769999999999</v>
      </c>
      <c r="Q12" s="443">
        <f>' FY 2023 CN Tables 1A-1E'!$B$33</f>
        <v>483.79</v>
      </c>
      <c r="R12" s="442">
        <f>IFERROR(VLOOKUP(C12,'FY 2023 IMPACT FILE CA'!$A$3:$BG$52,48,FALSE),1)</f>
        <v>1.0086999999999999</v>
      </c>
      <c r="S12" s="441">
        <f t="shared" si="6"/>
        <v>487.99897299999998</v>
      </c>
      <c r="T12" s="444">
        <f t="shared" si="1"/>
        <v>6918.4759729999996</v>
      </c>
      <c r="U12" s="597">
        <v>0</v>
      </c>
      <c r="V12" s="449">
        <f>IFERROR(VLOOKUP(C12,'FY 2023 IMPACT FILE CA'!$A$3:$BG$53,23,FALSE),0)</f>
        <v>0.20365</v>
      </c>
      <c r="W12" s="449">
        <f>IFERROR(VLOOKUP(C12,'FY 2023 IMPACT FILE CA'!$A$3:$BG$53,24,FALSE),0)</f>
        <v>0.17213000000000001</v>
      </c>
      <c r="X12" s="441">
        <f t="shared" si="2"/>
        <v>1309.56664105</v>
      </c>
      <c r="Y12" s="441">
        <f t="shared" si="3"/>
        <v>83.999263222490001</v>
      </c>
      <c r="Z12" s="451">
        <f t="shared" si="7"/>
        <v>1393.5659042724901</v>
      </c>
      <c r="AA12" s="449">
        <v>0</v>
      </c>
      <c r="AB12" s="452">
        <f t="shared" si="8"/>
        <v>0</v>
      </c>
      <c r="AC12" s="449">
        <f>IFERROR(VLOOKUP(C12,'Table 15'!$A$479:$B$528,2,FALSE),0)</f>
        <v>0.99990000000000001</v>
      </c>
      <c r="AD12" s="452">
        <f t="shared" si="9"/>
        <v>-0.64304769999992917</v>
      </c>
      <c r="AE12" s="19" t="s">
        <v>144</v>
      </c>
      <c r="AF12" s="455">
        <f t="shared" si="4"/>
        <v>0</v>
      </c>
      <c r="AG12" s="454">
        <f t="shared" si="5"/>
        <v>0</v>
      </c>
    </row>
    <row r="13" spans="1:33" x14ac:dyDescent="0.35">
      <c r="A13" s="19">
        <v>0</v>
      </c>
      <c r="B13" s="25">
        <v>60012</v>
      </c>
      <c r="C13" s="26" t="s">
        <v>57</v>
      </c>
      <c r="D13" s="27" t="s">
        <v>58</v>
      </c>
      <c r="E13" s="27">
        <v>1306857974</v>
      </c>
      <c r="F13" s="381" t="s">
        <v>216</v>
      </c>
      <c r="G13" s="380">
        <v>0</v>
      </c>
      <c r="H13" s="311"/>
      <c r="I13" s="311"/>
      <c r="J13" s="25">
        <v>60012</v>
      </c>
      <c r="K13" s="438" t="str">
        <f>IFERROR(VLOOKUP(C13,'FY 2023 IMPACT FILE CA'!$A$3:$BH$52,58,FALSE),0)</f>
        <v>0</v>
      </c>
      <c r="L13" s="29"/>
      <c r="M13" s="441">
        <f>IF(N13&lt;=1,' FY 2023 CN Tables 1A-1E'!$C$5,' FY 2023 CN Tables 1A-1E'!$B$5)</f>
        <v>4310</v>
      </c>
      <c r="N13" s="442">
        <f>IFERROR(VLOOKUP($C13,'FY 2023 IMPACT FILE CA'!$A$3:$BG$52,12,FALSE),1)</f>
        <v>1.0126999999999999</v>
      </c>
      <c r="O13" s="441">
        <f>IF(N13&lt;=1,' FY 2023 CN Tables 1A-1E'!$C$6,' FY 2023 CN Tables 1A-1E'!$B$6)</f>
        <v>2065.7399999999998</v>
      </c>
      <c r="P13" s="441">
        <f t="shared" si="0"/>
        <v>6430.4769999999999</v>
      </c>
      <c r="Q13" s="443">
        <f>' FY 2023 CN Tables 1A-1E'!$B$33</f>
        <v>483.79</v>
      </c>
      <c r="R13" s="442">
        <f>IFERROR(VLOOKUP(C13,'FY 2023 IMPACT FILE CA'!$A$3:$BG$52,48,FALSE),1)</f>
        <v>1.0086999999999999</v>
      </c>
      <c r="S13" s="441">
        <f t="shared" si="6"/>
        <v>487.99897299999998</v>
      </c>
      <c r="T13" s="444">
        <f t="shared" si="1"/>
        <v>6918.4759729999996</v>
      </c>
      <c r="U13" s="445">
        <v>246.43778937331132</v>
      </c>
      <c r="V13" s="449">
        <f>IFERROR(VLOOKUP(C13,'FY 2023 IMPACT FILE CA'!$A$3:$BG$53,23,FALSE),0)</f>
        <v>0.12678</v>
      </c>
      <c r="W13" s="449">
        <f>IFERROR(VLOOKUP(C13,'FY 2023 IMPACT FILE CA'!$A$3:$BG$53,24,FALSE),0)</f>
        <v>0.14348</v>
      </c>
      <c r="X13" s="441">
        <f t="shared" si="2"/>
        <v>815.25587406</v>
      </c>
      <c r="Y13" s="441">
        <f t="shared" si="3"/>
        <v>70.018092646039989</v>
      </c>
      <c r="Z13" s="451">
        <f t="shared" si="7"/>
        <v>885.27396670604003</v>
      </c>
      <c r="AA13" s="449">
        <v>0</v>
      </c>
      <c r="AB13" s="452">
        <f t="shared" si="8"/>
        <v>0</v>
      </c>
      <c r="AC13" s="449">
        <f>IFERROR(VLOOKUP(C13,'Table 15'!$A$479:$B$528,2,FALSE),0)</f>
        <v>0.99960000000000004</v>
      </c>
      <c r="AD13" s="452">
        <f t="shared" si="9"/>
        <v>-2.5721907999997167</v>
      </c>
      <c r="AE13" s="19" t="s">
        <v>144</v>
      </c>
      <c r="AF13" s="455">
        <f t="shared" si="4"/>
        <v>0</v>
      </c>
      <c r="AG13" s="454">
        <f t="shared" si="5"/>
        <v>0</v>
      </c>
    </row>
    <row r="14" spans="1:33" x14ac:dyDescent="0.35">
      <c r="A14" s="19">
        <v>0</v>
      </c>
      <c r="B14" s="25">
        <v>60013</v>
      </c>
      <c r="C14" s="26" t="s">
        <v>59</v>
      </c>
      <c r="D14" s="27" t="s">
        <v>60</v>
      </c>
      <c r="E14" s="27">
        <v>1083611644</v>
      </c>
      <c r="F14" s="381" t="s">
        <v>219</v>
      </c>
      <c r="G14" s="380">
        <v>1</v>
      </c>
      <c r="H14" s="311"/>
      <c r="I14" s="311"/>
      <c r="J14" s="25">
        <v>60013</v>
      </c>
      <c r="K14" s="438" t="str">
        <f>IFERROR(VLOOKUP(C14,'FY 2023 IMPACT FILE CA'!$A$3:$BH$52,58,FALSE),0)</f>
        <v>0</v>
      </c>
      <c r="L14" s="29"/>
      <c r="M14" s="441">
        <f>IF(N14&lt;=1,' FY 2023 CN Tables 1A-1E'!$C$5,' FY 2023 CN Tables 1A-1E'!$B$5)</f>
        <v>4310</v>
      </c>
      <c r="N14" s="442">
        <f>IFERROR(VLOOKUP($C14,'FY 2023 IMPACT FILE CA'!$A$3:$BG$52,12,FALSE),1)</f>
        <v>1.0126999999999999</v>
      </c>
      <c r="O14" s="441">
        <f>IF(N14&lt;=1,' FY 2023 CN Tables 1A-1E'!$C$6,' FY 2023 CN Tables 1A-1E'!$B$6)</f>
        <v>2065.7399999999998</v>
      </c>
      <c r="P14" s="441">
        <f t="shared" si="0"/>
        <v>6430.4769999999999</v>
      </c>
      <c r="Q14" s="443">
        <f>' FY 2023 CN Tables 1A-1E'!$B$33</f>
        <v>483.79</v>
      </c>
      <c r="R14" s="442">
        <f>IFERROR(VLOOKUP(C14,'FY 2023 IMPACT FILE CA'!$A$3:$BG$52,48,FALSE),1)</f>
        <v>1.0086999999999999</v>
      </c>
      <c r="S14" s="441">
        <f t="shared" si="6"/>
        <v>487.99897299999998</v>
      </c>
      <c r="T14" s="444">
        <f t="shared" si="1"/>
        <v>6918.4759729999996</v>
      </c>
      <c r="U14" s="445">
        <v>0</v>
      </c>
      <c r="V14" s="449">
        <f>IFERROR(VLOOKUP(C14,'FY 2023 IMPACT FILE CA'!$A$3:$BG$53,23,FALSE),0)</f>
        <v>0</v>
      </c>
      <c r="W14" s="449">
        <f>IFERROR(VLOOKUP(C14,'FY 2023 IMPACT FILE CA'!$A$3:$BG$53,24,FALSE),0)</f>
        <v>0</v>
      </c>
      <c r="X14" s="441">
        <f t="shared" si="2"/>
        <v>0</v>
      </c>
      <c r="Y14" s="441">
        <f t="shared" si="3"/>
        <v>0</v>
      </c>
      <c r="Z14" s="451">
        <f t="shared" si="7"/>
        <v>0</v>
      </c>
      <c r="AA14" s="449">
        <v>0</v>
      </c>
      <c r="AB14" s="452">
        <f t="shared" si="8"/>
        <v>0</v>
      </c>
      <c r="AC14" s="449">
        <f>IFERROR(VLOOKUP(C14,'Table 15'!$A$479:$B$528,2,FALSE),0)</f>
        <v>1</v>
      </c>
      <c r="AD14" s="452">
        <f t="shared" si="9"/>
        <v>0</v>
      </c>
      <c r="AE14" s="19" t="s">
        <v>144</v>
      </c>
      <c r="AF14" s="455">
        <f t="shared" si="4"/>
        <v>0</v>
      </c>
      <c r="AG14" s="454">
        <f t="shared" si="5"/>
        <v>0</v>
      </c>
    </row>
    <row r="15" spans="1:33" x14ac:dyDescent="0.35">
      <c r="A15" s="19">
        <v>0</v>
      </c>
      <c r="B15" s="25">
        <v>60014</v>
      </c>
      <c r="C15" s="26" t="s">
        <v>61</v>
      </c>
      <c r="D15" s="27" t="s">
        <v>62</v>
      </c>
      <c r="E15" s="27">
        <v>1720038946</v>
      </c>
      <c r="F15" s="381" t="s">
        <v>216</v>
      </c>
      <c r="G15" s="380">
        <v>0</v>
      </c>
      <c r="H15" s="311"/>
      <c r="I15" s="311"/>
      <c r="J15" s="25">
        <v>60014</v>
      </c>
      <c r="K15" s="438" t="str">
        <f>IFERROR(VLOOKUP(C15,'FY 2023 IMPACT FILE CA'!$A$3:$BH$52,58,FALSE),0)</f>
        <v>0</v>
      </c>
      <c r="L15" s="29"/>
      <c r="M15" s="441">
        <f>IF(N15&lt;=1,' FY 2023 CN Tables 1A-1E'!$C$5,' FY 2023 CN Tables 1A-1E'!$B$5)</f>
        <v>4310</v>
      </c>
      <c r="N15" s="442">
        <f>IFERROR(VLOOKUP($C15,'FY 2023 IMPACT FILE CA'!$A$3:$BG$52,12,FALSE),1)</f>
        <v>1.0126999999999999</v>
      </c>
      <c r="O15" s="441">
        <f>IF(N15&lt;=1,' FY 2023 CN Tables 1A-1E'!$C$6,' FY 2023 CN Tables 1A-1E'!$B$6)</f>
        <v>2065.7399999999998</v>
      </c>
      <c r="P15" s="441">
        <f t="shared" si="0"/>
        <v>6430.4769999999999</v>
      </c>
      <c r="Q15" s="443">
        <f>' FY 2023 CN Tables 1A-1E'!$B$33</f>
        <v>483.79</v>
      </c>
      <c r="R15" s="442">
        <f>IFERROR(VLOOKUP(C15,'FY 2023 IMPACT FILE CA'!$A$3:$BG$52,48,FALSE),1)</f>
        <v>1.0086999999999999</v>
      </c>
      <c r="S15" s="441">
        <f t="shared" si="6"/>
        <v>487.99897299999998</v>
      </c>
      <c r="T15" s="444">
        <f t="shared" si="1"/>
        <v>6918.4759729999996</v>
      </c>
      <c r="U15" s="445">
        <v>8.4770709676312261</v>
      </c>
      <c r="V15" s="449">
        <f>IFERROR(VLOOKUP(C15,'FY 2023 IMPACT FILE CA'!$A$3:$BG$53,23,FALSE),0)</f>
        <v>2.5669999999999998E-2</v>
      </c>
      <c r="W15" s="449">
        <f>IFERROR(VLOOKUP(C15,'FY 2023 IMPACT FILE CA'!$A$3:$BG$53,24,FALSE),0)</f>
        <v>2.9729999999999999E-2</v>
      </c>
      <c r="X15" s="441">
        <f t="shared" si="2"/>
        <v>165.07034458999999</v>
      </c>
      <c r="Y15" s="441">
        <f t="shared" si="3"/>
        <v>14.508209467289999</v>
      </c>
      <c r="Z15" s="451">
        <f t="shared" si="7"/>
        <v>179.57855405728998</v>
      </c>
      <c r="AA15" s="449">
        <v>0</v>
      </c>
      <c r="AB15" s="452">
        <f t="shared" si="8"/>
        <v>0</v>
      </c>
      <c r="AC15" s="449">
        <f>IFERROR(VLOOKUP(C15,'Table 15'!$A$479:$B$528,2,FALSE),0)</f>
        <v>0.99719999999999998</v>
      </c>
      <c r="AD15" s="452">
        <f t="shared" si="9"/>
        <v>-18.005335600000159</v>
      </c>
      <c r="AE15" s="19" t="s">
        <v>144</v>
      </c>
      <c r="AF15" s="455">
        <f t="shared" si="4"/>
        <v>0</v>
      </c>
      <c r="AG15" s="454">
        <f t="shared" si="5"/>
        <v>0</v>
      </c>
    </row>
    <row r="16" spans="1:33" x14ac:dyDescent="0.35">
      <c r="A16" s="19">
        <v>0</v>
      </c>
      <c r="B16" s="25">
        <v>60015</v>
      </c>
      <c r="C16" s="26" t="s">
        <v>63</v>
      </c>
      <c r="D16" s="27" t="s">
        <v>64</v>
      </c>
      <c r="E16" s="27">
        <v>1164430567</v>
      </c>
      <c r="F16" s="381" t="s">
        <v>216</v>
      </c>
      <c r="G16" s="380">
        <v>0</v>
      </c>
      <c r="H16" s="311"/>
      <c r="I16" s="311"/>
      <c r="J16" s="25">
        <v>60015</v>
      </c>
      <c r="K16" s="438" t="str">
        <f>IFERROR(VLOOKUP(C16,'FY 2023 IMPACT FILE CA'!$A$3:$BH$52,58,FALSE),0)</f>
        <v>0</v>
      </c>
      <c r="L16" s="29"/>
      <c r="M16" s="441">
        <f>IF(N16&lt;=1,' FY 2023 CN Tables 1A-1E'!$C$5,' FY 2023 CN Tables 1A-1E'!$B$5)</f>
        <v>4310</v>
      </c>
      <c r="N16" s="442">
        <f>IFERROR(VLOOKUP($C16,'FY 2023 IMPACT FILE CA'!$A$3:$BG$52,12,FALSE),1)</f>
        <v>1.0126999999999999</v>
      </c>
      <c r="O16" s="441">
        <f>IF(N16&lt;=1,' FY 2023 CN Tables 1A-1E'!$C$6,' FY 2023 CN Tables 1A-1E'!$B$6)</f>
        <v>2065.7399999999998</v>
      </c>
      <c r="P16" s="441">
        <f t="shared" si="0"/>
        <v>6430.4769999999999</v>
      </c>
      <c r="Q16" s="443">
        <f>' FY 2023 CN Tables 1A-1E'!$B$33</f>
        <v>483.79</v>
      </c>
      <c r="R16" s="442">
        <f>IFERROR(VLOOKUP(C16,'FY 2023 IMPACT FILE CA'!$A$3:$BG$52,48,FALSE),1)</f>
        <v>1.0086999999999999</v>
      </c>
      <c r="S16" s="441">
        <f t="shared" si="6"/>
        <v>487.99897299999998</v>
      </c>
      <c r="T16" s="444">
        <f t="shared" si="1"/>
        <v>6918.4759729999996</v>
      </c>
      <c r="U16" s="445">
        <v>2.7492828259980389</v>
      </c>
      <c r="V16" s="583">
        <v>2.8745E-2</v>
      </c>
      <c r="W16" s="584">
        <v>1.7448999999999999E-2</v>
      </c>
      <c r="X16" s="441">
        <f t="shared" si="2"/>
        <v>184.84406136499999</v>
      </c>
      <c r="Y16" s="441">
        <f t="shared" si="3"/>
        <v>8.5150940798769987</v>
      </c>
      <c r="Z16" s="451">
        <f t="shared" si="7"/>
        <v>193.35915544487699</v>
      </c>
      <c r="AA16" s="449">
        <v>0</v>
      </c>
      <c r="AB16" s="452">
        <f t="shared" si="8"/>
        <v>0</v>
      </c>
      <c r="AC16" s="449">
        <f>IFERROR(VLOOKUP(C16,'Table 15'!$A$479:$B$528,2,FALSE),0)</f>
        <v>1</v>
      </c>
      <c r="AD16" s="452">
        <f t="shared" si="9"/>
        <v>0</v>
      </c>
      <c r="AE16" s="19" t="s">
        <v>144</v>
      </c>
      <c r="AF16" s="455">
        <f t="shared" si="4"/>
        <v>0</v>
      </c>
      <c r="AG16" s="454">
        <f t="shared" si="5"/>
        <v>0</v>
      </c>
    </row>
    <row r="17" spans="1:33" x14ac:dyDescent="0.35">
      <c r="A17" s="19">
        <v>0</v>
      </c>
      <c r="B17" s="25">
        <v>60020</v>
      </c>
      <c r="C17" s="26" t="s">
        <v>65</v>
      </c>
      <c r="D17" s="27" t="s">
        <v>66</v>
      </c>
      <c r="E17" s="27">
        <v>1104881507</v>
      </c>
      <c r="F17" s="381" t="s">
        <v>216</v>
      </c>
      <c r="G17" s="380">
        <v>0</v>
      </c>
      <c r="H17" s="311"/>
      <c r="I17" s="311"/>
      <c r="J17" s="25">
        <v>60020</v>
      </c>
      <c r="K17" s="438" t="str">
        <f>IFERROR(VLOOKUP(C17,'FY 2023 IMPACT FILE CA'!$A$3:$BH$52,58,FALSE),0)</f>
        <v>0</v>
      </c>
      <c r="L17" s="29"/>
      <c r="M17" s="441">
        <f>IF(N17&lt;=1,' FY 2023 CN Tables 1A-1E'!$C$5,' FY 2023 CN Tables 1A-1E'!$B$5)</f>
        <v>4310</v>
      </c>
      <c r="N17" s="442">
        <f>IFERROR(VLOOKUP($C17,'FY 2023 IMPACT FILE CA'!$A$3:$BG$52,12,FALSE),1)</f>
        <v>1.0126999999999999</v>
      </c>
      <c r="O17" s="441">
        <f>IF(N17&lt;=1,' FY 2023 CN Tables 1A-1E'!$C$6,' FY 2023 CN Tables 1A-1E'!$B$6)</f>
        <v>2065.7399999999998</v>
      </c>
      <c r="P17" s="441">
        <f t="shared" si="0"/>
        <v>6430.4769999999999</v>
      </c>
      <c r="Q17" s="443">
        <f>' FY 2023 CN Tables 1A-1E'!$B$33</f>
        <v>483.79</v>
      </c>
      <c r="R17" s="442">
        <f>IFERROR(VLOOKUP(C17,'FY 2023 IMPACT FILE CA'!$A$3:$BG$52,48,FALSE),1)</f>
        <v>1.0086999999999999</v>
      </c>
      <c r="S17" s="441">
        <f t="shared" si="6"/>
        <v>487.99897299999998</v>
      </c>
      <c r="T17" s="444">
        <f t="shared" si="1"/>
        <v>6918.4759729999996</v>
      </c>
      <c r="U17" s="445">
        <v>61.800565632538536</v>
      </c>
      <c r="V17" s="449">
        <f>IFERROR(VLOOKUP(C17,'FY 2023 IMPACT FILE CA'!$A$3:$BG$53,23,FALSE),0)</f>
        <v>0.11375</v>
      </c>
      <c r="W17" s="449">
        <f>IFERROR(VLOOKUP(C17,'FY 2023 IMPACT FILE CA'!$A$3:$BG$53,24,FALSE),0)</f>
        <v>8.6080000000000004E-2</v>
      </c>
      <c r="X17" s="441">
        <f t="shared" si="2"/>
        <v>731.46675875000005</v>
      </c>
      <c r="Y17" s="441">
        <f t="shared" si="3"/>
        <v>42.00695159584</v>
      </c>
      <c r="Z17" s="451">
        <f t="shared" si="7"/>
        <v>773.47371034584</v>
      </c>
      <c r="AA17" s="449">
        <v>0</v>
      </c>
      <c r="AB17" s="452">
        <f t="shared" si="8"/>
        <v>0</v>
      </c>
      <c r="AC17" s="449">
        <f>IFERROR(VLOOKUP(C17,'Table 15'!$A$479:$B$528,2,FALSE),0)</f>
        <v>0.99790000000000001</v>
      </c>
      <c r="AD17" s="452">
        <f t="shared" si="9"/>
        <v>-13.504001699999939</v>
      </c>
      <c r="AE17" s="19" t="s">
        <v>144</v>
      </c>
      <c r="AF17" s="455">
        <f t="shared" si="4"/>
        <v>0</v>
      </c>
      <c r="AG17" s="454">
        <f t="shared" si="5"/>
        <v>0</v>
      </c>
    </row>
    <row r="18" spans="1:33" x14ac:dyDescent="0.35">
      <c r="A18" s="19">
        <v>0</v>
      </c>
      <c r="B18" s="25">
        <v>60022</v>
      </c>
      <c r="C18" s="26" t="s">
        <v>67</v>
      </c>
      <c r="D18" s="27" t="s">
        <v>68</v>
      </c>
      <c r="E18" s="27">
        <v>1144397134</v>
      </c>
      <c r="F18" s="381" t="s">
        <v>216</v>
      </c>
      <c r="G18" s="380">
        <v>0</v>
      </c>
      <c r="H18" s="311"/>
      <c r="I18" s="311"/>
      <c r="J18" s="25">
        <v>60022</v>
      </c>
      <c r="K18" s="438" t="str">
        <f>IFERROR(VLOOKUP(C18,'FY 2023 IMPACT FILE CA'!$A$3:$BH$52,58,FALSE),0)</f>
        <v>0</v>
      </c>
      <c r="L18" s="29"/>
      <c r="M18" s="441">
        <f>IF(N18&lt;=1,' FY 2023 CN Tables 1A-1E'!$C$5,' FY 2023 CN Tables 1A-1E'!$B$5)</f>
        <v>4310</v>
      </c>
      <c r="N18" s="442">
        <f>IFERROR(VLOOKUP($C18,'FY 2023 IMPACT FILE CA'!$A$3:$BG$52,12,FALSE),1)</f>
        <v>1.0126999999999999</v>
      </c>
      <c r="O18" s="441">
        <f>IF(N18&lt;=1,' FY 2023 CN Tables 1A-1E'!$C$6,' FY 2023 CN Tables 1A-1E'!$B$6)</f>
        <v>2065.7399999999998</v>
      </c>
      <c r="P18" s="441">
        <f t="shared" si="0"/>
        <v>6430.4769999999999</v>
      </c>
      <c r="Q18" s="443">
        <f>' FY 2023 CN Tables 1A-1E'!$B$33</f>
        <v>483.79</v>
      </c>
      <c r="R18" s="442">
        <f>IFERROR(VLOOKUP(C18,'FY 2023 IMPACT FILE CA'!$A$3:$BG$52,48,FALSE),1)</f>
        <v>1.0086999999999999</v>
      </c>
      <c r="S18" s="441">
        <f t="shared" si="6"/>
        <v>487.99897299999998</v>
      </c>
      <c r="T18" s="444">
        <f t="shared" si="1"/>
        <v>6918.4759729999996</v>
      </c>
      <c r="U18" s="445">
        <v>2.3900285455359938</v>
      </c>
      <c r="V18" s="583">
        <v>2.6800000000000001E-3</v>
      </c>
      <c r="W18" s="584">
        <v>1.81E-3</v>
      </c>
      <c r="X18" s="441">
        <f t="shared" si="2"/>
        <v>17.233678359999999</v>
      </c>
      <c r="Y18" s="441">
        <f t="shared" si="3"/>
        <v>0.88327814112999992</v>
      </c>
      <c r="Z18" s="451">
        <f t="shared" si="7"/>
        <v>18.116956501129998</v>
      </c>
      <c r="AA18" s="449">
        <v>0</v>
      </c>
      <c r="AB18" s="452">
        <f t="shared" si="8"/>
        <v>0</v>
      </c>
      <c r="AC18" s="449">
        <f>IFERROR(VLOOKUP(C18,'Table 15'!$A$479:$B$528,2,FALSE),0)</f>
        <v>1</v>
      </c>
      <c r="AD18" s="452">
        <f t="shared" si="9"/>
        <v>0</v>
      </c>
      <c r="AE18" s="19" t="s">
        <v>144</v>
      </c>
      <c r="AF18" s="455">
        <f t="shared" si="4"/>
        <v>0</v>
      </c>
      <c r="AG18" s="454">
        <f t="shared" si="5"/>
        <v>0</v>
      </c>
    </row>
    <row r="19" spans="1:33" x14ac:dyDescent="0.35">
      <c r="A19" s="19">
        <v>0</v>
      </c>
      <c r="B19" s="25">
        <v>60023</v>
      </c>
      <c r="C19" s="26" t="s">
        <v>69</v>
      </c>
      <c r="D19" s="27" t="s">
        <v>70</v>
      </c>
      <c r="E19" s="27">
        <v>1699716027</v>
      </c>
      <c r="F19" s="381" t="s">
        <v>219</v>
      </c>
      <c r="G19" s="380">
        <v>0</v>
      </c>
      <c r="H19" s="311"/>
      <c r="I19" s="311"/>
      <c r="J19" s="25">
        <v>60023</v>
      </c>
      <c r="K19" s="438" t="str">
        <f>IFERROR(VLOOKUP(C19,'FY 2023 IMPACT FILE CA'!$A$3:$BH$52,58,FALSE),0)</f>
        <v>0</v>
      </c>
      <c r="L19" s="29"/>
      <c r="M19" s="441">
        <f>IF(N19&lt;=1,' FY 2023 CN Tables 1A-1E'!$C$5,' FY 2023 CN Tables 1A-1E'!$B$5)</f>
        <v>4310</v>
      </c>
      <c r="N19" s="442">
        <f>IFERROR(VLOOKUP($C19,'FY 2023 IMPACT FILE CA'!$A$3:$BG$52,12,FALSE),1)</f>
        <v>1.0126999999999999</v>
      </c>
      <c r="O19" s="441">
        <f>IF(N19&lt;=1,' FY 2023 CN Tables 1A-1E'!$C$6,' FY 2023 CN Tables 1A-1E'!$B$6)</f>
        <v>2065.7399999999998</v>
      </c>
      <c r="P19" s="441">
        <f t="shared" si="0"/>
        <v>6430.4769999999999</v>
      </c>
      <c r="Q19" s="443">
        <f>' FY 2023 CN Tables 1A-1E'!$B$33</f>
        <v>483.79</v>
      </c>
      <c r="R19" s="442">
        <f>IFERROR(VLOOKUP(C19,'FY 2023 IMPACT FILE CA'!$A$3:$BG$52,48,FALSE),1)</f>
        <v>1.0086999999999999</v>
      </c>
      <c r="S19" s="441">
        <f t="shared" si="6"/>
        <v>487.99897299999998</v>
      </c>
      <c r="T19" s="444">
        <f t="shared" si="1"/>
        <v>6918.4759729999996</v>
      </c>
      <c r="U19" s="445">
        <v>57.888556970225025</v>
      </c>
      <c r="V19" s="449">
        <f>IFERROR(VLOOKUP(C19,'FY 2023 IMPACT FILE CA'!$A$3:$BG$53,23,FALSE),0)</f>
        <v>3.7870000000000001E-2</v>
      </c>
      <c r="W19" s="449">
        <f>IFERROR(VLOOKUP(C19,'FY 2023 IMPACT FILE CA'!$A$3:$BG$53,24,FALSE),0)</f>
        <v>3.807E-2</v>
      </c>
      <c r="X19" s="441">
        <f t="shared" si="2"/>
        <v>243.52216399</v>
      </c>
      <c r="Y19" s="441">
        <f t="shared" si="3"/>
        <v>18.578120902109998</v>
      </c>
      <c r="Z19" s="451">
        <f t="shared" si="7"/>
        <v>262.10028489210998</v>
      </c>
      <c r="AA19" s="449">
        <v>0</v>
      </c>
      <c r="AB19" s="452">
        <f t="shared" si="8"/>
        <v>0</v>
      </c>
      <c r="AC19" s="449">
        <f>IFERROR(VLOOKUP(C19,'Table 15'!$A$479:$B$528,2,FALSE),0)</f>
        <v>0.99990000000000001</v>
      </c>
      <c r="AD19" s="452">
        <f t="shared" si="9"/>
        <v>-0.64304769999992917</v>
      </c>
      <c r="AE19" s="19" t="s">
        <v>144</v>
      </c>
      <c r="AF19" s="455">
        <f t="shared" si="4"/>
        <v>0</v>
      </c>
      <c r="AG19" s="454">
        <f t="shared" si="5"/>
        <v>0</v>
      </c>
    </row>
    <row r="20" spans="1:33" x14ac:dyDescent="0.35">
      <c r="A20" s="19">
        <v>0</v>
      </c>
      <c r="B20" s="25">
        <v>60024</v>
      </c>
      <c r="C20" s="26" t="s">
        <v>71</v>
      </c>
      <c r="D20" s="27" t="s">
        <v>72</v>
      </c>
      <c r="E20" s="27">
        <v>1477531580</v>
      </c>
      <c r="F20" s="381" t="s">
        <v>216</v>
      </c>
      <c r="G20" s="380">
        <v>0</v>
      </c>
      <c r="H20" s="311"/>
      <c r="I20" s="311"/>
      <c r="J20" s="25">
        <v>60024</v>
      </c>
      <c r="K20" s="438" t="str">
        <f>IFERROR(VLOOKUP(C20,'FY 2023 IMPACT FILE CA'!$A$3:$BH$52,58,FALSE),0)</f>
        <v>0</v>
      </c>
      <c r="L20" s="29"/>
      <c r="M20" s="441">
        <f>IF(N20&lt;=1,' FY 2023 CN Tables 1A-1E'!$C$5,' FY 2023 CN Tables 1A-1E'!$B$5)</f>
        <v>4310</v>
      </c>
      <c r="N20" s="442">
        <f>IFERROR(VLOOKUP($C20,'FY 2023 IMPACT FILE CA'!$A$3:$BG$52,12,FALSE),1)</f>
        <v>1.0126999999999999</v>
      </c>
      <c r="O20" s="441">
        <f>IF(N20&lt;=1,' FY 2023 CN Tables 1A-1E'!$C$6,' FY 2023 CN Tables 1A-1E'!$B$6)</f>
        <v>2065.7399999999998</v>
      </c>
      <c r="P20" s="441">
        <f t="shared" si="0"/>
        <v>6430.4769999999999</v>
      </c>
      <c r="Q20" s="443">
        <f>' FY 2023 CN Tables 1A-1E'!$B$33</f>
        <v>483.79</v>
      </c>
      <c r="R20" s="442">
        <f>IFERROR(VLOOKUP(C20,'FY 2023 IMPACT FILE CA'!$A$3:$BG$52,48,FALSE),1)</f>
        <v>1.0086999999999999</v>
      </c>
      <c r="S20" s="441">
        <f t="shared" si="6"/>
        <v>487.99897299999998</v>
      </c>
      <c r="T20" s="444">
        <f t="shared" si="1"/>
        <v>6918.4759729999996</v>
      </c>
      <c r="U20" s="597">
        <v>0</v>
      </c>
      <c r="V20" s="583">
        <v>0.25734000000000001</v>
      </c>
      <c r="W20" s="584">
        <v>0.18046000000000001</v>
      </c>
      <c r="X20" s="441">
        <f t="shared" si="2"/>
        <v>1654.8189511800001</v>
      </c>
      <c r="Y20" s="441">
        <f t="shared" si="3"/>
        <v>88.06429466758</v>
      </c>
      <c r="Z20" s="451">
        <f t="shared" si="7"/>
        <v>1742.8832458475802</v>
      </c>
      <c r="AA20" s="449">
        <v>0</v>
      </c>
      <c r="AB20" s="452">
        <f t="shared" si="8"/>
        <v>0</v>
      </c>
      <c r="AC20" s="449">
        <f>IFERROR(VLOOKUP(C20,'Table 15'!$A$479:$B$528,2,FALSE),0)</f>
        <v>0.99980000000000002</v>
      </c>
      <c r="AD20" s="452">
        <f t="shared" si="9"/>
        <v>-1.2860953999998583</v>
      </c>
      <c r="AE20" s="19" t="s">
        <v>144</v>
      </c>
      <c r="AF20" s="455">
        <f t="shared" si="4"/>
        <v>0</v>
      </c>
      <c r="AG20" s="454">
        <f t="shared" si="5"/>
        <v>0</v>
      </c>
    </row>
    <row r="21" spans="1:33" x14ac:dyDescent="0.35">
      <c r="A21" s="19">
        <v>0</v>
      </c>
      <c r="B21" s="25">
        <v>60027</v>
      </c>
      <c r="C21" s="26" t="s">
        <v>73</v>
      </c>
      <c r="D21" s="27" t="s">
        <v>74</v>
      </c>
      <c r="E21" s="27">
        <v>1821074196</v>
      </c>
      <c r="F21" s="381" t="s">
        <v>216</v>
      </c>
      <c r="G21" s="380">
        <v>0</v>
      </c>
      <c r="H21" s="311"/>
      <c r="I21" s="311"/>
      <c r="J21" s="25">
        <v>60027</v>
      </c>
      <c r="K21" s="439" t="str">
        <f>IFERROR(VLOOKUP(C21,'FY 2023 IMPACT FILE CA'!$A$3:$BH$52,58,FALSE),0)</f>
        <v>1</v>
      </c>
      <c r="L21" s="29"/>
      <c r="M21" s="446">
        <f>' FY 2023 CN Tables 1A-1E'!E18</f>
        <v>4267.4399999999996</v>
      </c>
      <c r="N21" s="442">
        <f>IFERROR(VLOOKUP($C21,'FY 2023 IMPACT FILE CA'!$A$3:$BG$52,12,FALSE),1)</f>
        <v>1.0126999999999999</v>
      </c>
      <c r="O21" s="446">
        <f>' FY 2023 CN Tables 1A-1E'!D18</f>
        <v>2004.54</v>
      </c>
      <c r="P21" s="441">
        <f t="shared" si="0"/>
        <v>6326.1764879999992</v>
      </c>
      <c r="Q21" s="443">
        <f>' FY 2023 CN Tables 1A-1E'!$B$33</f>
        <v>483.79</v>
      </c>
      <c r="R21" s="442">
        <f>IFERROR(VLOOKUP(C21,'FY 2023 IMPACT FILE CA'!$A$3:$BG$52,48,FALSE),1)</f>
        <v>1.0086999999999999</v>
      </c>
      <c r="S21" s="441">
        <f t="shared" si="6"/>
        <v>487.99897299999998</v>
      </c>
      <c r="T21" s="444">
        <f t="shared" si="1"/>
        <v>6814.1754609999989</v>
      </c>
      <c r="U21" s="445">
        <v>0</v>
      </c>
      <c r="V21" s="449">
        <f>IFERROR(VLOOKUP(C21,'FY 2023 IMPACT FILE CA'!$A$3:$BG$53,23,FALSE),0)</f>
        <v>0</v>
      </c>
      <c r="W21" s="449">
        <f>IFERROR(VLOOKUP(C21,'FY 2023 IMPACT FILE CA'!$A$3:$BG$53,24,FALSE),0)</f>
        <v>0</v>
      </c>
      <c r="X21" s="441">
        <f t="shared" si="2"/>
        <v>0</v>
      </c>
      <c r="Y21" s="441">
        <f t="shared" si="3"/>
        <v>0</v>
      </c>
      <c r="Z21" s="451">
        <f t="shared" si="7"/>
        <v>0</v>
      </c>
      <c r="AA21" s="449">
        <v>0</v>
      </c>
      <c r="AB21" s="452">
        <f t="shared" si="8"/>
        <v>0</v>
      </c>
      <c r="AC21" s="449">
        <f>IFERROR(VLOOKUP(C21,'Table 15'!$A$479:$B$528,2,FALSE),0)</f>
        <v>0.99170000000000003</v>
      </c>
      <c r="AD21" s="452">
        <f t="shared" si="9"/>
        <v>-52.507264850399828</v>
      </c>
      <c r="AE21" s="19" t="s">
        <v>144</v>
      </c>
      <c r="AF21" s="455">
        <f t="shared" si="4"/>
        <v>0</v>
      </c>
      <c r="AG21" s="454">
        <f t="shared" si="5"/>
        <v>0</v>
      </c>
    </row>
    <row r="22" spans="1:33" x14ac:dyDescent="0.35">
      <c r="A22" s="19">
        <v>0</v>
      </c>
      <c r="B22" s="25">
        <v>60028</v>
      </c>
      <c r="C22" s="26" t="s">
        <v>75</v>
      </c>
      <c r="D22" s="27" t="s">
        <v>76</v>
      </c>
      <c r="E22" s="27">
        <v>1417946021</v>
      </c>
      <c r="F22" s="381" t="s">
        <v>216</v>
      </c>
      <c r="G22" s="380">
        <v>0</v>
      </c>
      <c r="H22" s="311"/>
      <c r="I22" s="311"/>
      <c r="J22" s="25">
        <v>60028</v>
      </c>
      <c r="K22" s="438" t="str">
        <f>IFERROR(VLOOKUP(C22,'FY 2023 IMPACT FILE CA'!$A$3:$BH$52,58,FALSE),0)</f>
        <v>0</v>
      </c>
      <c r="L22" s="29"/>
      <c r="M22" s="441">
        <f>IF(N22&lt;=1,' FY 2023 CN Tables 1A-1E'!$C$5,' FY 2023 CN Tables 1A-1E'!$B$5)</f>
        <v>4310</v>
      </c>
      <c r="N22" s="442">
        <f>IFERROR(VLOOKUP($C22,'FY 2023 IMPACT FILE CA'!$A$3:$BG$52,12,FALSE),1)</f>
        <v>1.0126999999999999</v>
      </c>
      <c r="O22" s="441">
        <f>IF(N22&lt;=1,' FY 2023 CN Tables 1A-1E'!$C$6,' FY 2023 CN Tables 1A-1E'!$B$6)</f>
        <v>2065.7399999999998</v>
      </c>
      <c r="P22" s="441">
        <f t="shared" si="0"/>
        <v>6430.4769999999999</v>
      </c>
      <c r="Q22" s="443">
        <f>' FY 2023 CN Tables 1A-1E'!$B$33</f>
        <v>483.79</v>
      </c>
      <c r="R22" s="442">
        <f>IFERROR(VLOOKUP(C22,'FY 2023 IMPACT FILE CA'!$A$3:$BG$52,48,FALSE),1)</f>
        <v>1.0086999999999999</v>
      </c>
      <c r="S22" s="441">
        <f t="shared" si="6"/>
        <v>487.99897299999998</v>
      </c>
      <c r="T22" s="444">
        <f t="shared" si="1"/>
        <v>6918.4759729999996</v>
      </c>
      <c r="U22" s="445">
        <v>94.043320640486243</v>
      </c>
      <c r="V22" s="449">
        <f>IFERROR(VLOOKUP(C22,'FY 2023 IMPACT FILE CA'!$A$3:$BG$53,23,FALSE),0)</f>
        <v>0.10419</v>
      </c>
      <c r="W22" s="449">
        <f>IFERROR(VLOOKUP(C22,'FY 2023 IMPACT FILE CA'!$A$3:$BG$53,24,FALSE),0)</f>
        <v>0.10088999999999999</v>
      </c>
      <c r="X22" s="441">
        <f t="shared" si="2"/>
        <v>669.99139863000005</v>
      </c>
      <c r="Y22" s="441">
        <f t="shared" si="3"/>
        <v>49.234216385969994</v>
      </c>
      <c r="Z22" s="451">
        <f t="shared" si="7"/>
        <v>719.22561501596999</v>
      </c>
      <c r="AA22" s="449">
        <v>0</v>
      </c>
      <c r="AB22" s="452">
        <f t="shared" si="8"/>
        <v>0</v>
      </c>
      <c r="AC22" s="449">
        <f>IFERROR(VLOOKUP(C22,'Table 15'!$A$479:$B$528,2,FALSE),0)</f>
        <v>0.99870000000000003</v>
      </c>
      <c r="AD22" s="452">
        <f t="shared" si="9"/>
        <v>-8.3596200999997929</v>
      </c>
      <c r="AE22" s="19" t="s">
        <v>144</v>
      </c>
      <c r="AF22" s="455">
        <f t="shared" si="4"/>
        <v>0</v>
      </c>
      <c r="AG22" s="454">
        <f t="shared" si="5"/>
        <v>0</v>
      </c>
    </row>
    <row r="23" spans="1:33" x14ac:dyDescent="0.35">
      <c r="A23" s="19">
        <v>0</v>
      </c>
      <c r="B23" s="25">
        <v>60030</v>
      </c>
      <c r="C23" s="26" t="s">
        <v>77</v>
      </c>
      <c r="D23" s="27" t="s">
        <v>78</v>
      </c>
      <c r="E23" s="27">
        <v>1417980566</v>
      </c>
      <c r="F23" s="381" t="s">
        <v>216</v>
      </c>
      <c r="G23" s="380">
        <v>0</v>
      </c>
      <c r="H23" s="311"/>
      <c r="I23" s="311"/>
      <c r="J23" s="25">
        <v>60030</v>
      </c>
      <c r="K23" s="438" t="str">
        <f>IFERROR(VLOOKUP(C23,'FY 2023 IMPACT FILE CA'!$A$3:$BH$52,58,FALSE),0)</f>
        <v>0</v>
      </c>
      <c r="L23" s="29"/>
      <c r="M23" s="441">
        <f>IF(N23&lt;=1,' FY 2023 CN Tables 1A-1E'!$C$5,' FY 2023 CN Tables 1A-1E'!$B$5)</f>
        <v>4310</v>
      </c>
      <c r="N23" s="442">
        <f>IFERROR(VLOOKUP($C23,'FY 2023 IMPACT FILE CA'!$A$3:$BG$52,12,FALSE),1)</f>
        <v>1.0126999999999999</v>
      </c>
      <c r="O23" s="441">
        <f>IF(N23&lt;=1,' FY 2023 CN Tables 1A-1E'!$C$6,' FY 2023 CN Tables 1A-1E'!$B$6)</f>
        <v>2065.7399999999998</v>
      </c>
      <c r="P23" s="441">
        <f t="shared" si="0"/>
        <v>6430.4769999999999</v>
      </c>
      <c r="Q23" s="443">
        <f>' FY 2023 CN Tables 1A-1E'!$B$33</f>
        <v>483.79</v>
      </c>
      <c r="R23" s="442">
        <f>IFERROR(VLOOKUP(C23,'FY 2023 IMPACT FILE CA'!$A$3:$BG$52,48,FALSE),1)</f>
        <v>1.0086999999999999</v>
      </c>
      <c r="S23" s="441">
        <f t="shared" si="6"/>
        <v>487.99897299999998</v>
      </c>
      <c r="T23" s="444">
        <f t="shared" si="1"/>
        <v>6918.4759729999996</v>
      </c>
      <c r="U23" s="445">
        <v>0</v>
      </c>
      <c r="V23" s="449">
        <f>IFERROR(VLOOKUP(C23,'FY 2023 IMPACT FILE CA'!$A$3:$BG$53,23,FALSE),0)</f>
        <v>0</v>
      </c>
      <c r="W23" s="449">
        <f>IFERROR(VLOOKUP(C23,'FY 2023 IMPACT FILE CA'!$A$3:$BG$53,24,FALSE),0)</f>
        <v>0</v>
      </c>
      <c r="X23" s="441">
        <f t="shared" si="2"/>
        <v>0</v>
      </c>
      <c r="Y23" s="441">
        <f t="shared" si="3"/>
        <v>0</v>
      </c>
      <c r="Z23" s="451">
        <f t="shared" si="7"/>
        <v>0</v>
      </c>
      <c r="AA23" s="449">
        <v>0</v>
      </c>
      <c r="AB23" s="452">
        <f t="shared" si="8"/>
        <v>0</v>
      </c>
      <c r="AC23" s="449">
        <f>IFERROR(VLOOKUP(C23,'Table 15'!$A$479:$B$528,2,FALSE),0)</f>
        <v>0.99790000000000001</v>
      </c>
      <c r="AD23" s="452">
        <f t="shared" si="9"/>
        <v>-13.504001699999939</v>
      </c>
      <c r="AE23" s="19" t="s">
        <v>144</v>
      </c>
      <c r="AF23" s="455">
        <f t="shared" si="4"/>
        <v>0</v>
      </c>
      <c r="AG23" s="454">
        <f t="shared" si="5"/>
        <v>0</v>
      </c>
    </row>
    <row r="24" spans="1:33" x14ac:dyDescent="0.35">
      <c r="A24" s="19">
        <v>0</v>
      </c>
      <c r="B24" s="25">
        <v>60031</v>
      </c>
      <c r="C24" s="26" t="s">
        <v>79</v>
      </c>
      <c r="D24" s="27" t="s">
        <v>80</v>
      </c>
      <c r="E24" s="27">
        <v>1932112125</v>
      </c>
      <c r="F24" s="381" t="s">
        <v>216</v>
      </c>
      <c r="G24" s="380">
        <v>0</v>
      </c>
      <c r="H24" s="311"/>
      <c r="I24" s="311"/>
      <c r="J24" s="25">
        <v>60031</v>
      </c>
      <c r="K24" s="438" t="str">
        <f>IFERROR(VLOOKUP(C24,'FY 2023 IMPACT FILE CA'!$A$3:$BH$52,58,FALSE),0)</f>
        <v>0</v>
      </c>
      <c r="L24" s="29"/>
      <c r="M24" s="441">
        <f>IF(N24&lt;=1,' FY 2023 CN Tables 1A-1E'!$C$5,' FY 2023 CN Tables 1A-1E'!$B$5)</f>
        <v>4310</v>
      </c>
      <c r="N24" s="442">
        <f>IFERROR(VLOOKUP($C24,'FY 2023 IMPACT FILE CA'!$A$3:$BG$52,12,FALSE),1)</f>
        <v>1.0126999999999999</v>
      </c>
      <c r="O24" s="441">
        <f>IF(N24&lt;=1,' FY 2023 CN Tables 1A-1E'!$C$6,' FY 2023 CN Tables 1A-1E'!$B$6)</f>
        <v>2065.7399999999998</v>
      </c>
      <c r="P24" s="441">
        <f t="shared" si="0"/>
        <v>6430.4769999999999</v>
      </c>
      <c r="Q24" s="443">
        <f>' FY 2023 CN Tables 1A-1E'!$B$33</f>
        <v>483.79</v>
      </c>
      <c r="R24" s="442">
        <f>IFERROR(VLOOKUP(C24,'FY 2023 IMPACT FILE CA'!$A$3:$BG$52,48,FALSE),1)</f>
        <v>1.0086999999999999</v>
      </c>
      <c r="S24" s="441">
        <f t="shared" si="6"/>
        <v>487.99897299999998</v>
      </c>
      <c r="T24" s="444">
        <f t="shared" si="1"/>
        <v>6918.4759729999996</v>
      </c>
      <c r="U24" s="445">
        <v>5.6014657033715336</v>
      </c>
      <c r="V24" s="449">
        <f>IFERROR(VLOOKUP(C24,'FY 2023 IMPACT FILE CA'!$A$3:$BG$53,23,FALSE),0)</f>
        <v>5.5100000000000001E-3</v>
      </c>
      <c r="W24" s="449">
        <f>IFERROR(VLOOKUP(C24,'FY 2023 IMPACT FILE CA'!$A$3:$BG$53,24,FALSE),0)</f>
        <v>4.3600000000000002E-3</v>
      </c>
      <c r="X24" s="441">
        <f t="shared" si="2"/>
        <v>35.43192827</v>
      </c>
      <c r="Y24" s="441">
        <f t="shared" si="3"/>
        <v>2.1276755222800001</v>
      </c>
      <c r="Z24" s="451">
        <f t="shared" si="7"/>
        <v>37.559603792280001</v>
      </c>
      <c r="AA24" s="449">
        <v>0</v>
      </c>
      <c r="AB24" s="452">
        <f t="shared" si="8"/>
        <v>0</v>
      </c>
      <c r="AC24" s="449">
        <f>IFERROR(VLOOKUP(C24,'Table 15'!$A$479:$B$528,2,FALSE),0)</f>
        <v>0.99990000000000001</v>
      </c>
      <c r="AD24" s="452">
        <f t="shared" si="9"/>
        <v>-0.64304769999992917</v>
      </c>
      <c r="AE24" s="19" t="s">
        <v>144</v>
      </c>
      <c r="AF24" s="455">
        <f t="shared" si="4"/>
        <v>0</v>
      </c>
      <c r="AG24" s="454">
        <f t="shared" si="5"/>
        <v>0</v>
      </c>
    </row>
    <row r="25" spans="1:33" x14ac:dyDescent="0.35">
      <c r="A25" s="19">
        <v>0</v>
      </c>
      <c r="B25" s="25">
        <v>60032</v>
      </c>
      <c r="C25" s="26" t="s">
        <v>81</v>
      </c>
      <c r="D25" s="27" t="s">
        <v>82</v>
      </c>
      <c r="E25" s="27">
        <v>1023062098</v>
      </c>
      <c r="F25" s="381" t="s">
        <v>216</v>
      </c>
      <c r="G25" s="380">
        <v>0</v>
      </c>
      <c r="H25" s="311"/>
      <c r="I25" s="311"/>
      <c r="J25" s="25">
        <v>60032</v>
      </c>
      <c r="K25" s="438" t="str">
        <f>IFERROR(VLOOKUP(C25,'FY 2023 IMPACT FILE CA'!$A$3:$BH$52,58,FALSE),0)</f>
        <v>0</v>
      </c>
      <c r="L25" s="29"/>
      <c r="M25" s="441">
        <f>IF(N25&lt;=1,' FY 2023 CN Tables 1A-1E'!$C$5,' FY 2023 CN Tables 1A-1E'!$B$5)</f>
        <v>4310</v>
      </c>
      <c r="N25" s="442">
        <f>IFERROR(VLOOKUP($C25,'FY 2023 IMPACT FILE CA'!$A$3:$BG$52,12,FALSE),1)</f>
        <v>1.0126999999999999</v>
      </c>
      <c r="O25" s="441">
        <f>IF(N25&lt;=1,' FY 2023 CN Tables 1A-1E'!$C$6,' FY 2023 CN Tables 1A-1E'!$B$6)</f>
        <v>2065.7399999999998</v>
      </c>
      <c r="P25" s="441">
        <f t="shared" si="0"/>
        <v>6430.4769999999999</v>
      </c>
      <c r="Q25" s="443">
        <f>' FY 2023 CN Tables 1A-1E'!$B$33</f>
        <v>483.79</v>
      </c>
      <c r="R25" s="442">
        <f>IFERROR(VLOOKUP(C25,'FY 2023 IMPACT FILE CA'!$A$3:$BG$52,48,FALSE),1)</f>
        <v>1.0086999999999999</v>
      </c>
      <c r="S25" s="441">
        <f t="shared" si="6"/>
        <v>487.99897299999998</v>
      </c>
      <c r="T25" s="444">
        <f t="shared" si="1"/>
        <v>6918.4759729999996</v>
      </c>
      <c r="U25" s="445">
        <v>6.5086284504919334</v>
      </c>
      <c r="V25" s="449">
        <f>IFERROR(VLOOKUP(C25,'FY 2023 IMPACT FILE CA'!$A$3:$BG$53,23,FALSE),0)</f>
        <v>2.4230000000000002E-2</v>
      </c>
      <c r="W25" s="449">
        <f>IFERROR(VLOOKUP(C25,'FY 2023 IMPACT FILE CA'!$A$3:$BG$53,24,FALSE),0)</f>
        <v>2.5090000000000001E-2</v>
      </c>
      <c r="X25" s="441">
        <f t="shared" si="2"/>
        <v>155.81045771000001</v>
      </c>
      <c r="Y25" s="441">
        <f t="shared" si="3"/>
        <v>12.24389423257</v>
      </c>
      <c r="Z25" s="451">
        <f t="shared" si="7"/>
        <v>168.05435194257001</v>
      </c>
      <c r="AA25" s="449">
        <v>0</v>
      </c>
      <c r="AB25" s="452">
        <f t="shared" si="8"/>
        <v>0</v>
      </c>
      <c r="AC25" s="449">
        <f>IFERROR(VLOOKUP(C25,'Table 15'!$A$479:$B$528,2,FALSE),0)</f>
        <v>0.99970000000000003</v>
      </c>
      <c r="AD25" s="452">
        <f t="shared" si="9"/>
        <v>-1.9291430999997874</v>
      </c>
      <c r="AE25" s="19" t="s">
        <v>144</v>
      </c>
      <c r="AF25" s="455">
        <f t="shared" si="4"/>
        <v>0</v>
      </c>
      <c r="AG25" s="454">
        <f t="shared" si="5"/>
        <v>0</v>
      </c>
    </row>
    <row r="26" spans="1:33" x14ac:dyDescent="0.35">
      <c r="A26" s="19">
        <v>0</v>
      </c>
      <c r="B26" s="25">
        <v>60034</v>
      </c>
      <c r="C26" s="26" t="s">
        <v>83</v>
      </c>
      <c r="D26" s="27" t="s">
        <v>84</v>
      </c>
      <c r="E26" s="27">
        <v>1396790200</v>
      </c>
      <c r="F26" s="381" t="s">
        <v>216</v>
      </c>
      <c r="G26" s="380">
        <v>0</v>
      </c>
      <c r="H26" s="311"/>
      <c r="I26" s="311"/>
      <c r="J26" s="25">
        <v>60034</v>
      </c>
      <c r="K26" s="438" t="str">
        <f>IFERROR(VLOOKUP(C26,'FY 2023 IMPACT FILE CA'!$A$3:$BH$52,58,FALSE),0)</f>
        <v>0</v>
      </c>
      <c r="L26" s="29"/>
      <c r="M26" s="441">
        <f>IF(N26&lt;=1,' FY 2023 CN Tables 1A-1E'!$C$5,' FY 2023 CN Tables 1A-1E'!$B$5)</f>
        <v>4310</v>
      </c>
      <c r="N26" s="442">
        <f>IFERROR(VLOOKUP($C26,'FY 2023 IMPACT FILE CA'!$A$3:$BG$52,12,FALSE),1)</f>
        <v>1.0126999999999999</v>
      </c>
      <c r="O26" s="441">
        <f>IF(N26&lt;=1,' FY 2023 CN Tables 1A-1E'!$C$6,' FY 2023 CN Tables 1A-1E'!$B$6)</f>
        <v>2065.7399999999998</v>
      </c>
      <c r="P26" s="441">
        <f t="shared" si="0"/>
        <v>6430.4769999999999</v>
      </c>
      <c r="Q26" s="443">
        <f>' FY 2023 CN Tables 1A-1E'!$B$33</f>
        <v>483.79</v>
      </c>
      <c r="R26" s="442">
        <f>IFERROR(VLOOKUP(C26,'FY 2023 IMPACT FILE CA'!$A$3:$BG$52,48,FALSE),1)</f>
        <v>1.0086999999999999</v>
      </c>
      <c r="S26" s="441">
        <f t="shared" si="6"/>
        <v>487.99897299999998</v>
      </c>
      <c r="T26" s="444">
        <f t="shared" si="1"/>
        <v>6918.4759729999996</v>
      </c>
      <c r="U26" s="445">
        <v>29.563465290673026</v>
      </c>
      <c r="V26" s="449">
        <f>IFERROR(VLOOKUP(C26,'FY 2023 IMPACT FILE CA'!$A$3:$BG$53,23,FALSE),0)</f>
        <v>5.2970000000000003E-2</v>
      </c>
      <c r="W26" s="449">
        <f>IFERROR(VLOOKUP(C26,'FY 2023 IMPACT FILE CA'!$A$3:$BG$53,24,FALSE),0)</f>
        <v>3.6200000000000003E-2</v>
      </c>
      <c r="X26" s="441">
        <f t="shared" si="2"/>
        <v>340.62236669000004</v>
      </c>
      <c r="Y26" s="441">
        <f t="shared" si="3"/>
        <v>17.665562822600002</v>
      </c>
      <c r="Z26" s="451">
        <f t="shared" si="7"/>
        <v>358.28792951260004</v>
      </c>
      <c r="AA26" s="449">
        <v>0</v>
      </c>
      <c r="AB26" s="452">
        <f t="shared" si="8"/>
        <v>0</v>
      </c>
      <c r="AC26" s="449">
        <f>IFERROR(VLOOKUP(C26,'Table 15'!$A$479:$B$528,2,FALSE),0)</f>
        <v>0.99909999999999999</v>
      </c>
      <c r="AD26" s="452">
        <f t="shared" si="9"/>
        <v>-5.7874293000000767</v>
      </c>
      <c r="AE26" s="19" t="s">
        <v>144</v>
      </c>
      <c r="AF26" s="455">
        <f t="shared" si="4"/>
        <v>0</v>
      </c>
      <c r="AG26" s="454">
        <f t="shared" si="5"/>
        <v>0</v>
      </c>
    </row>
    <row r="27" spans="1:33" x14ac:dyDescent="0.35">
      <c r="A27" s="19">
        <v>0</v>
      </c>
      <c r="B27" s="25">
        <v>60044</v>
      </c>
      <c r="C27" s="26" t="s">
        <v>85</v>
      </c>
      <c r="D27" s="27" t="s">
        <v>86</v>
      </c>
      <c r="E27" s="27">
        <v>1477638971</v>
      </c>
      <c r="F27" s="381" t="s">
        <v>219</v>
      </c>
      <c r="G27" s="380">
        <v>1</v>
      </c>
      <c r="H27" s="311"/>
      <c r="I27" s="311"/>
      <c r="J27" s="25">
        <v>60044</v>
      </c>
      <c r="K27" s="438" t="str">
        <f>IFERROR(VLOOKUP(C27,'FY 2023 IMPACT FILE CA'!$A$3:$BH$52,58,FALSE),0)</f>
        <v>0</v>
      </c>
      <c r="L27" s="29"/>
      <c r="M27" s="441">
        <f>IF(N27&lt;=1,' FY 2023 CN Tables 1A-1E'!$C$5,' FY 2023 CN Tables 1A-1E'!$B$5)</f>
        <v>4310</v>
      </c>
      <c r="N27" s="442">
        <f>IFERROR(VLOOKUP($C27,'FY 2023 IMPACT FILE CA'!$A$3:$BG$52,12,FALSE),1)</f>
        <v>1.0126999999999999</v>
      </c>
      <c r="O27" s="441">
        <f>IF(N27&lt;=1,' FY 2023 CN Tables 1A-1E'!$C$6,' FY 2023 CN Tables 1A-1E'!$B$6)</f>
        <v>2065.7399999999998</v>
      </c>
      <c r="P27" s="441">
        <f t="shared" si="0"/>
        <v>6430.4769999999999</v>
      </c>
      <c r="Q27" s="443">
        <f>' FY 2023 CN Tables 1A-1E'!$B$33</f>
        <v>483.79</v>
      </c>
      <c r="R27" s="442">
        <f>IFERROR(VLOOKUP(C27,'FY 2023 IMPACT FILE CA'!$A$3:$BG$52,48,FALSE),1)</f>
        <v>1.0086999999999999</v>
      </c>
      <c r="S27" s="441">
        <f t="shared" si="6"/>
        <v>487.99897299999998</v>
      </c>
      <c r="T27" s="444">
        <f t="shared" si="1"/>
        <v>6918.4759729999996</v>
      </c>
      <c r="U27" s="445">
        <v>0</v>
      </c>
      <c r="V27" s="449">
        <f>IFERROR(VLOOKUP(C27,'FY 2023 IMPACT FILE CA'!$A$3:$BG$53,23,FALSE),0)</f>
        <v>0</v>
      </c>
      <c r="W27" s="449">
        <f>IFERROR(VLOOKUP(C27,'FY 2023 IMPACT FILE CA'!$A$3:$BG$53,24,FALSE),0)</f>
        <v>0</v>
      </c>
      <c r="X27" s="441">
        <f t="shared" si="2"/>
        <v>0</v>
      </c>
      <c r="Y27" s="441">
        <f t="shared" si="3"/>
        <v>0</v>
      </c>
      <c r="Z27" s="451">
        <f t="shared" si="7"/>
        <v>0</v>
      </c>
      <c r="AA27" s="449">
        <v>0</v>
      </c>
      <c r="AB27" s="452">
        <f t="shared" si="8"/>
        <v>0</v>
      </c>
      <c r="AC27" s="449">
        <f>IFERROR(VLOOKUP(C27,'Table 15'!$A$479:$B$528,2,FALSE),0)</f>
        <v>1</v>
      </c>
      <c r="AD27" s="452">
        <f t="shared" si="9"/>
        <v>0</v>
      </c>
      <c r="AE27" s="19" t="s">
        <v>144</v>
      </c>
      <c r="AF27" s="455">
        <f t="shared" si="4"/>
        <v>0</v>
      </c>
      <c r="AG27" s="454">
        <f t="shared" si="5"/>
        <v>0</v>
      </c>
    </row>
    <row r="28" spans="1:33" x14ac:dyDescent="0.35">
      <c r="A28" s="19">
        <v>0</v>
      </c>
      <c r="B28" s="25">
        <v>60049</v>
      </c>
      <c r="C28" s="26" t="s">
        <v>87</v>
      </c>
      <c r="D28" s="27" t="s">
        <v>88</v>
      </c>
      <c r="E28" s="27">
        <v>1790787307</v>
      </c>
      <c r="F28" s="381" t="s">
        <v>219</v>
      </c>
      <c r="G28" s="380">
        <v>1</v>
      </c>
      <c r="H28" s="311"/>
      <c r="I28" s="311"/>
      <c r="J28" s="25">
        <v>60049</v>
      </c>
      <c r="K28" s="438" t="str">
        <f>IFERROR(VLOOKUP(C28,'FY 2023 IMPACT FILE CA'!$A$3:$BH$52,58,FALSE),0)</f>
        <v>0</v>
      </c>
      <c r="L28" s="29"/>
      <c r="M28" s="441">
        <f>IF(N28&lt;=1,' FY 2023 CN Tables 1A-1E'!$C$5,' FY 2023 CN Tables 1A-1E'!$B$5)</f>
        <v>4310</v>
      </c>
      <c r="N28" s="442">
        <f>IFERROR(VLOOKUP($C28,'FY 2023 IMPACT FILE CA'!$A$3:$BG$52,12,FALSE),1)</f>
        <v>1.0126999999999999</v>
      </c>
      <c r="O28" s="441">
        <f>IF(N28&lt;=1,' FY 2023 CN Tables 1A-1E'!$C$6,' FY 2023 CN Tables 1A-1E'!$B$6)</f>
        <v>2065.7399999999998</v>
      </c>
      <c r="P28" s="441">
        <f t="shared" si="0"/>
        <v>6430.4769999999999</v>
      </c>
      <c r="Q28" s="443">
        <f>' FY 2023 CN Tables 1A-1E'!$B$33</f>
        <v>483.79</v>
      </c>
      <c r="R28" s="442">
        <f>IFERROR(VLOOKUP(C28,'FY 2023 IMPACT FILE CA'!$A$3:$BG$52,48,FALSE),1)</f>
        <v>1.0086999999999999</v>
      </c>
      <c r="S28" s="441">
        <f t="shared" si="6"/>
        <v>487.99897299999998</v>
      </c>
      <c r="T28" s="444">
        <f t="shared" si="1"/>
        <v>6918.4759729999996</v>
      </c>
      <c r="U28" s="445">
        <v>0</v>
      </c>
      <c r="V28" s="449">
        <f>IFERROR(VLOOKUP(C28,'FY 2023 IMPACT FILE CA'!$A$3:$BG$53,23,FALSE),0)</f>
        <v>0</v>
      </c>
      <c r="W28" s="449">
        <f>IFERROR(VLOOKUP(C28,'FY 2023 IMPACT FILE CA'!$A$3:$BG$53,24,FALSE),0)</f>
        <v>0</v>
      </c>
      <c r="X28" s="441">
        <f t="shared" si="2"/>
        <v>0</v>
      </c>
      <c r="Y28" s="441">
        <f t="shared" si="3"/>
        <v>0</v>
      </c>
      <c r="Z28" s="451">
        <f t="shared" si="7"/>
        <v>0</v>
      </c>
      <c r="AA28" s="449">
        <v>0</v>
      </c>
      <c r="AB28" s="452">
        <f t="shared" si="8"/>
        <v>0</v>
      </c>
      <c r="AC28" s="449">
        <f>IFERROR(VLOOKUP(C28,'Table 15'!$A$479:$B$528,2,FALSE),0)</f>
        <v>1</v>
      </c>
      <c r="AD28" s="452">
        <f t="shared" si="9"/>
        <v>0</v>
      </c>
      <c r="AE28" s="19" t="s">
        <v>144</v>
      </c>
      <c r="AF28" s="455">
        <f t="shared" si="4"/>
        <v>0</v>
      </c>
      <c r="AG28" s="454">
        <f t="shared" si="5"/>
        <v>0</v>
      </c>
    </row>
    <row r="29" spans="1:33" x14ac:dyDescent="0.35">
      <c r="A29" s="19">
        <v>0</v>
      </c>
      <c r="B29" s="25">
        <v>60054</v>
      </c>
      <c r="C29" s="26" t="s">
        <v>89</v>
      </c>
      <c r="D29" s="27" t="s">
        <v>90</v>
      </c>
      <c r="E29" s="27">
        <v>1497723407</v>
      </c>
      <c r="F29" s="381" t="s">
        <v>216</v>
      </c>
      <c r="G29" s="380">
        <v>0</v>
      </c>
      <c r="H29" s="311"/>
      <c r="I29" s="311"/>
      <c r="J29" s="25">
        <v>60054</v>
      </c>
      <c r="K29" s="438" t="str">
        <f>IFERROR(VLOOKUP(C29,'FY 2023 IMPACT FILE CA'!$A$3:$BH$52,58,FALSE),0)</f>
        <v>0</v>
      </c>
      <c r="L29" s="29"/>
      <c r="M29" s="441">
        <f>IF(N29&lt;=1,' FY 2023 CN Tables 1A-1E'!$C$5,' FY 2023 CN Tables 1A-1E'!$B$5)</f>
        <v>4310</v>
      </c>
      <c r="N29" s="442">
        <f>IFERROR(VLOOKUP($C29,'FY 2023 IMPACT FILE CA'!$A$3:$BG$52,12,FALSE),1)</f>
        <v>1.0126999999999999</v>
      </c>
      <c r="O29" s="441">
        <f>IF(N29&lt;=1,' FY 2023 CN Tables 1A-1E'!$C$6,' FY 2023 CN Tables 1A-1E'!$B$6)</f>
        <v>2065.7399999999998</v>
      </c>
      <c r="P29" s="441">
        <f t="shared" si="0"/>
        <v>6430.4769999999999</v>
      </c>
      <c r="Q29" s="443">
        <f>' FY 2023 CN Tables 1A-1E'!$B$33</f>
        <v>483.79</v>
      </c>
      <c r="R29" s="442">
        <f>IFERROR(VLOOKUP(C29,'FY 2023 IMPACT FILE CA'!$A$3:$BG$52,48,FALSE),1)</f>
        <v>1.0086999999999999</v>
      </c>
      <c r="S29" s="441">
        <f t="shared" si="6"/>
        <v>487.99897299999998</v>
      </c>
      <c r="T29" s="444">
        <f t="shared" si="1"/>
        <v>6918.4759729999996</v>
      </c>
      <c r="U29" s="445">
        <v>0</v>
      </c>
      <c r="V29" s="449">
        <f>IFERROR(VLOOKUP(C29,'FY 2023 IMPACT FILE CA'!$A$3:$BG$53,23,FALSE),0)</f>
        <v>0</v>
      </c>
      <c r="W29" s="449">
        <f>IFERROR(VLOOKUP(C29,'FY 2023 IMPACT FILE CA'!$A$3:$BG$53,24,FALSE),0)</f>
        <v>0</v>
      </c>
      <c r="X29" s="441">
        <f t="shared" si="2"/>
        <v>0</v>
      </c>
      <c r="Y29" s="441">
        <f t="shared" si="3"/>
        <v>0</v>
      </c>
      <c r="Z29" s="451">
        <f t="shared" si="7"/>
        <v>0</v>
      </c>
      <c r="AA29" s="449">
        <v>0</v>
      </c>
      <c r="AB29" s="452">
        <f t="shared" si="8"/>
        <v>0</v>
      </c>
      <c r="AC29" s="449">
        <f>IFERROR(VLOOKUP(C29,'Table 15'!$A$479:$B$528,2,FALSE),0)</f>
        <v>1</v>
      </c>
      <c r="AD29" s="452">
        <f t="shared" si="9"/>
        <v>0</v>
      </c>
      <c r="AE29" s="19" t="s">
        <v>144</v>
      </c>
      <c r="AF29" s="455">
        <f t="shared" si="4"/>
        <v>0</v>
      </c>
      <c r="AG29" s="454">
        <f t="shared" si="5"/>
        <v>0</v>
      </c>
    </row>
    <row r="30" spans="1:33" x14ac:dyDescent="0.35">
      <c r="A30" s="19">
        <v>0</v>
      </c>
      <c r="B30" s="25">
        <v>60064</v>
      </c>
      <c r="C30" s="26" t="s">
        <v>91</v>
      </c>
      <c r="D30" s="27" t="s">
        <v>92</v>
      </c>
      <c r="E30" s="27">
        <v>1801800594</v>
      </c>
      <c r="F30" s="381" t="s">
        <v>216</v>
      </c>
      <c r="G30" s="380">
        <v>0</v>
      </c>
      <c r="H30" s="311"/>
      <c r="I30" s="311"/>
      <c r="J30" s="25">
        <v>60064</v>
      </c>
      <c r="K30" s="438" t="str">
        <f>IFERROR(VLOOKUP(C30,'FY 2023 IMPACT FILE CA'!$A$3:$BH$52,58,FALSE),0)</f>
        <v>0</v>
      </c>
      <c r="L30" s="29"/>
      <c r="M30" s="441">
        <f>IF(N30&lt;=1,' FY 2023 CN Tables 1A-1E'!$C$5,' FY 2023 CN Tables 1A-1E'!$B$5)</f>
        <v>4310</v>
      </c>
      <c r="N30" s="442">
        <f>IFERROR(VLOOKUP($C30,'FY 2023 IMPACT FILE CA'!$A$3:$BG$52,12,FALSE),1)</f>
        <v>1.0126999999999999</v>
      </c>
      <c r="O30" s="441">
        <f>IF(N30&lt;=1,' FY 2023 CN Tables 1A-1E'!$C$6,' FY 2023 CN Tables 1A-1E'!$B$6)</f>
        <v>2065.7399999999998</v>
      </c>
      <c r="P30" s="441">
        <f t="shared" si="0"/>
        <v>6430.4769999999999</v>
      </c>
      <c r="Q30" s="443">
        <f>' FY 2023 CN Tables 1A-1E'!$B$33</f>
        <v>483.79</v>
      </c>
      <c r="R30" s="442">
        <f>IFERROR(VLOOKUP(C30,'FY 2023 IMPACT FILE CA'!$A$3:$BG$52,48,FALSE),1)</f>
        <v>1.0086999999999999</v>
      </c>
      <c r="S30" s="441">
        <f t="shared" si="6"/>
        <v>487.99897299999998</v>
      </c>
      <c r="T30" s="444">
        <f t="shared" si="1"/>
        <v>6918.4759729999996</v>
      </c>
      <c r="U30" s="445">
        <v>0</v>
      </c>
      <c r="V30" s="449">
        <f>IFERROR(VLOOKUP(C30,'FY 2023 IMPACT FILE CA'!$A$3:$BG$53,23,FALSE),0)</f>
        <v>0</v>
      </c>
      <c r="W30" s="449">
        <f>IFERROR(VLOOKUP(C30,'FY 2023 IMPACT FILE CA'!$A$3:$BG$53,24,FALSE),0)</f>
        <v>0</v>
      </c>
      <c r="X30" s="441">
        <f t="shared" si="2"/>
        <v>0</v>
      </c>
      <c r="Y30" s="441">
        <f t="shared" si="3"/>
        <v>0</v>
      </c>
      <c r="Z30" s="451">
        <f t="shared" si="7"/>
        <v>0</v>
      </c>
      <c r="AA30" s="449">
        <v>0</v>
      </c>
      <c r="AB30" s="452">
        <f t="shared" si="8"/>
        <v>0</v>
      </c>
      <c r="AC30" s="449">
        <f>IFERROR(VLOOKUP(C30,'Table 15'!$A$479:$B$528,2,FALSE),0)</f>
        <v>0.999</v>
      </c>
      <c r="AD30" s="452">
        <f t="shared" si="9"/>
        <v>-6.430477000000006</v>
      </c>
      <c r="AE30" s="19" t="s">
        <v>144</v>
      </c>
      <c r="AF30" s="455">
        <f t="shared" si="4"/>
        <v>0</v>
      </c>
      <c r="AG30" s="454">
        <f t="shared" si="5"/>
        <v>0</v>
      </c>
    </row>
    <row r="31" spans="1:33" x14ac:dyDescent="0.35">
      <c r="A31" s="19">
        <v>0</v>
      </c>
      <c r="B31" s="25">
        <v>60065</v>
      </c>
      <c r="C31" s="26" t="s">
        <v>93</v>
      </c>
      <c r="D31" s="27" t="s">
        <v>94</v>
      </c>
      <c r="E31" s="27">
        <v>1821042979</v>
      </c>
      <c r="F31" s="381" t="s">
        <v>216</v>
      </c>
      <c r="G31" s="380">
        <v>0</v>
      </c>
      <c r="H31" s="311"/>
      <c r="I31" s="311"/>
      <c r="J31" s="25">
        <v>60065</v>
      </c>
      <c r="K31" s="438" t="str">
        <f>IFERROR(VLOOKUP(C31,'FY 2023 IMPACT FILE CA'!$A$3:$BH$52,58,FALSE),0)</f>
        <v>0</v>
      </c>
      <c r="L31" s="29"/>
      <c r="M31" s="441">
        <f>IF(N31&lt;=1,' FY 2023 CN Tables 1A-1E'!$C$5,' FY 2023 CN Tables 1A-1E'!$B$5)</f>
        <v>4310</v>
      </c>
      <c r="N31" s="442">
        <f>IFERROR(VLOOKUP($C31,'FY 2023 IMPACT FILE CA'!$A$3:$BG$52,12,FALSE),1)</f>
        <v>1.0126999999999999</v>
      </c>
      <c r="O31" s="441">
        <f>IF(N31&lt;=1,' FY 2023 CN Tables 1A-1E'!$C$6,' FY 2023 CN Tables 1A-1E'!$B$6)</f>
        <v>2065.7399999999998</v>
      </c>
      <c r="P31" s="441">
        <f t="shared" si="0"/>
        <v>6430.4769999999999</v>
      </c>
      <c r="Q31" s="443">
        <f>' FY 2023 CN Tables 1A-1E'!$B$33</f>
        <v>483.79</v>
      </c>
      <c r="R31" s="442">
        <f>IFERROR(VLOOKUP(C31,'FY 2023 IMPACT FILE CA'!$A$3:$BG$52,48,FALSE),1)</f>
        <v>1.0086999999999999</v>
      </c>
      <c r="S31" s="441">
        <f t="shared" si="6"/>
        <v>487.99897299999998</v>
      </c>
      <c r="T31" s="444">
        <f t="shared" si="1"/>
        <v>6918.4759729999996</v>
      </c>
      <c r="U31" s="445">
        <v>1.5096824243740219</v>
      </c>
      <c r="V31" s="449">
        <f>IFERROR(VLOOKUP(C31,'FY 2023 IMPACT FILE CA'!$A$3:$BG$53,23,FALSE),0)</f>
        <v>7.8399999999999997E-3</v>
      </c>
      <c r="W31" s="449">
        <f>IFERROR(VLOOKUP(C31,'FY 2023 IMPACT FILE CA'!$A$3:$BG$53,24,FALSE),0)</f>
        <v>6.0600000000000003E-3</v>
      </c>
      <c r="X31" s="441">
        <f t="shared" si="2"/>
        <v>50.414939679999996</v>
      </c>
      <c r="Y31" s="441">
        <f t="shared" si="3"/>
        <v>2.9572737763800001</v>
      </c>
      <c r="Z31" s="451">
        <f t="shared" si="7"/>
        <v>53.372213456379995</v>
      </c>
      <c r="AA31" s="449">
        <v>0</v>
      </c>
      <c r="AB31" s="452">
        <f t="shared" si="8"/>
        <v>0</v>
      </c>
      <c r="AC31" s="449">
        <f>IFERROR(VLOOKUP(C31,'Table 15'!$A$479:$B$528,2,FALSE),0)</f>
        <v>0.99990000000000001</v>
      </c>
      <c r="AD31" s="452">
        <f t="shared" si="9"/>
        <v>-0.64304769999992917</v>
      </c>
      <c r="AE31" s="19" t="s">
        <v>144</v>
      </c>
      <c r="AF31" s="455">
        <f t="shared" si="4"/>
        <v>0</v>
      </c>
      <c r="AG31" s="454">
        <f t="shared" si="5"/>
        <v>0</v>
      </c>
    </row>
    <row r="32" spans="1:33" x14ac:dyDescent="0.35">
      <c r="A32" s="19">
        <v>0</v>
      </c>
      <c r="B32" s="25">
        <v>60071</v>
      </c>
      <c r="C32" s="26" t="s">
        <v>95</v>
      </c>
      <c r="D32" s="27" t="s">
        <v>96</v>
      </c>
      <c r="E32" s="27">
        <v>1417935446</v>
      </c>
      <c r="F32" s="384" t="s">
        <v>219</v>
      </c>
      <c r="G32" s="382">
        <v>1</v>
      </c>
      <c r="H32" s="311"/>
      <c r="I32" s="311"/>
      <c r="J32" s="25">
        <v>60071</v>
      </c>
      <c r="K32" s="438" t="str">
        <f>IFERROR(VLOOKUP(C32,'FY 2023 IMPACT FILE CA'!$A$3:$BH$52,58,FALSE),0)</f>
        <v>0</v>
      </c>
      <c r="L32" s="29"/>
      <c r="M32" s="441">
        <f>IF(N32&lt;=1,' FY 2023 CN Tables 1A-1E'!$C$5,' FY 2023 CN Tables 1A-1E'!$B$5)</f>
        <v>4310</v>
      </c>
      <c r="N32" s="442">
        <f>IFERROR(VLOOKUP($C32,'FY 2023 IMPACT FILE CA'!$A$3:$BG$52,12,FALSE),1)</f>
        <v>1.0126999999999999</v>
      </c>
      <c r="O32" s="441">
        <f>IF(N32&lt;=1,' FY 2023 CN Tables 1A-1E'!$C$6,' FY 2023 CN Tables 1A-1E'!$B$6)</f>
        <v>2065.7399999999998</v>
      </c>
      <c r="P32" s="441">
        <f t="shared" si="0"/>
        <v>6430.4769999999999</v>
      </c>
      <c r="Q32" s="443">
        <f>' FY 2023 CN Tables 1A-1E'!$B$33</f>
        <v>483.79</v>
      </c>
      <c r="R32" s="442">
        <f>IFERROR(VLOOKUP(C32,'FY 2023 IMPACT FILE CA'!$A$3:$BG$52,48,FALSE),1)</f>
        <v>1.0086999999999999</v>
      </c>
      <c r="S32" s="441">
        <f t="shared" si="6"/>
        <v>487.99897299999998</v>
      </c>
      <c r="T32" s="444">
        <f t="shared" si="1"/>
        <v>6918.4759729999996</v>
      </c>
      <c r="U32" s="445">
        <v>0</v>
      </c>
      <c r="V32" s="449">
        <f>IFERROR(VLOOKUP(C32,'FY 2023 IMPACT FILE CA'!$A$3:$BG$53,23,FALSE),0)</f>
        <v>0</v>
      </c>
      <c r="W32" s="449">
        <f>IFERROR(VLOOKUP(C32,'FY 2023 IMPACT FILE CA'!$A$3:$BG$53,24,FALSE),0)</f>
        <v>0</v>
      </c>
      <c r="X32" s="441">
        <f t="shared" si="2"/>
        <v>0</v>
      </c>
      <c r="Y32" s="441">
        <f t="shared" si="3"/>
        <v>0</v>
      </c>
      <c r="Z32" s="451">
        <f t="shared" si="7"/>
        <v>0</v>
      </c>
      <c r="AA32" s="449">
        <v>0</v>
      </c>
      <c r="AB32" s="452">
        <f t="shared" si="8"/>
        <v>0</v>
      </c>
      <c r="AC32" s="449">
        <f>IFERROR(VLOOKUP(C32,'Table 15'!$A$479:$B$528,2,FALSE),0)</f>
        <v>0.99850000000000005</v>
      </c>
      <c r="AD32" s="452">
        <f t="shared" si="9"/>
        <v>-9.6457154999996515</v>
      </c>
      <c r="AE32" s="19" t="s">
        <v>144</v>
      </c>
      <c r="AF32" s="455">
        <f t="shared" si="4"/>
        <v>0</v>
      </c>
      <c r="AG32" s="454">
        <f t="shared" si="5"/>
        <v>0</v>
      </c>
    </row>
    <row r="33" spans="1:33" x14ac:dyDescent="0.35">
      <c r="A33" s="19">
        <v>0</v>
      </c>
      <c r="B33" s="25">
        <v>60075</v>
      </c>
      <c r="C33" s="26" t="s">
        <v>97</v>
      </c>
      <c r="D33" s="27" t="s">
        <v>98</v>
      </c>
      <c r="E33" s="27">
        <v>1982668133</v>
      </c>
      <c r="F33" s="381" t="s">
        <v>219</v>
      </c>
      <c r="G33" s="380">
        <v>1</v>
      </c>
      <c r="H33" s="311"/>
      <c r="I33" s="311"/>
      <c r="J33" s="25">
        <v>60075</v>
      </c>
      <c r="K33" s="438" t="str">
        <f>IFERROR(VLOOKUP(C33,'FY 2023 IMPACT FILE CA'!$A$3:$BH$52,58,FALSE),0)</f>
        <v>0</v>
      </c>
      <c r="L33" s="29"/>
      <c r="M33" s="441">
        <f>IF(N33&lt;=1,' FY 2023 CN Tables 1A-1E'!$C$5,' FY 2023 CN Tables 1A-1E'!$B$5)</f>
        <v>4310</v>
      </c>
      <c r="N33" s="442">
        <f>IFERROR(VLOOKUP($C33,'FY 2023 IMPACT FILE CA'!$A$3:$BG$52,12,FALSE),1)</f>
        <v>1.0126999999999999</v>
      </c>
      <c r="O33" s="441">
        <f>IF(N33&lt;=1,' FY 2023 CN Tables 1A-1E'!$C$6,' FY 2023 CN Tables 1A-1E'!$B$6)</f>
        <v>2065.7399999999998</v>
      </c>
      <c r="P33" s="441">
        <f t="shared" si="0"/>
        <v>6430.4769999999999</v>
      </c>
      <c r="Q33" s="443">
        <f>' FY 2023 CN Tables 1A-1E'!$B$33</f>
        <v>483.79</v>
      </c>
      <c r="R33" s="442">
        <f>IFERROR(VLOOKUP(C33,'FY 2023 IMPACT FILE CA'!$A$3:$BG$52,48,FALSE),1)</f>
        <v>1.0086999999999999</v>
      </c>
      <c r="S33" s="441">
        <f t="shared" si="6"/>
        <v>487.99897299999998</v>
      </c>
      <c r="T33" s="444">
        <f t="shared" si="1"/>
        <v>6918.4759729999996</v>
      </c>
      <c r="U33" s="445">
        <v>0</v>
      </c>
      <c r="V33" s="449">
        <f>IFERROR(VLOOKUP(C33,'FY 2023 IMPACT FILE CA'!$A$3:$BG$53,23,FALSE),0)</f>
        <v>0</v>
      </c>
      <c r="W33" s="449">
        <f>IFERROR(VLOOKUP(C33,'FY 2023 IMPACT FILE CA'!$A$3:$BG$53,24,FALSE),0)</f>
        <v>0</v>
      </c>
      <c r="X33" s="441">
        <f t="shared" si="2"/>
        <v>0</v>
      </c>
      <c r="Y33" s="441">
        <f t="shared" si="3"/>
        <v>0</v>
      </c>
      <c r="Z33" s="451">
        <f t="shared" si="7"/>
        <v>0</v>
      </c>
      <c r="AA33" s="449">
        <v>0</v>
      </c>
      <c r="AB33" s="452">
        <f t="shared" si="8"/>
        <v>0</v>
      </c>
      <c r="AC33" s="449">
        <f>IFERROR(VLOOKUP(C33,'Table 15'!$A$479:$B$528,2,FALSE),0)</f>
        <v>0.99929999999999997</v>
      </c>
      <c r="AD33" s="452">
        <f t="shared" si="9"/>
        <v>-4.5013339000002182</v>
      </c>
      <c r="AE33" s="19" t="s">
        <v>144</v>
      </c>
      <c r="AF33" s="455">
        <f t="shared" si="4"/>
        <v>0</v>
      </c>
      <c r="AG33" s="454">
        <f t="shared" si="5"/>
        <v>0</v>
      </c>
    </row>
    <row r="34" spans="1:33" x14ac:dyDescent="0.35">
      <c r="A34" s="19">
        <v>0</v>
      </c>
      <c r="B34" s="25">
        <v>60076</v>
      </c>
      <c r="C34" s="26" t="s">
        <v>99</v>
      </c>
      <c r="D34" s="27" t="s">
        <v>100</v>
      </c>
      <c r="E34" s="27">
        <v>1942238555</v>
      </c>
      <c r="F34" s="381" t="s">
        <v>219</v>
      </c>
      <c r="G34" s="380">
        <v>1</v>
      </c>
      <c r="H34" s="311"/>
      <c r="I34" s="311"/>
      <c r="J34" s="25">
        <v>60076</v>
      </c>
      <c r="K34" s="438" t="str">
        <f>IFERROR(VLOOKUP(C34,'FY 2023 IMPACT FILE CA'!$A$3:$BH$52,58,FALSE),0)</f>
        <v>0</v>
      </c>
      <c r="L34" s="29"/>
      <c r="M34" s="441">
        <f>IF(N34&lt;=1,' FY 2023 CN Tables 1A-1E'!$C$5,' FY 2023 CN Tables 1A-1E'!$B$5)</f>
        <v>4310</v>
      </c>
      <c r="N34" s="442">
        <f>IFERROR(VLOOKUP($C34,'FY 2023 IMPACT FILE CA'!$A$3:$BG$52,12,FALSE),1)</f>
        <v>1.0126999999999999</v>
      </c>
      <c r="O34" s="441">
        <f>IF(N34&lt;=1,' FY 2023 CN Tables 1A-1E'!$C$6,' FY 2023 CN Tables 1A-1E'!$B$6)</f>
        <v>2065.7399999999998</v>
      </c>
      <c r="P34" s="441">
        <f t="shared" si="0"/>
        <v>6430.4769999999999</v>
      </c>
      <c r="Q34" s="443">
        <f>' FY 2023 CN Tables 1A-1E'!$B$33</f>
        <v>483.79</v>
      </c>
      <c r="R34" s="442">
        <f>IFERROR(VLOOKUP(C34,'FY 2023 IMPACT FILE CA'!$A$3:$BG$52,48,FALSE),1)</f>
        <v>1.0086999999999999</v>
      </c>
      <c r="S34" s="441">
        <f t="shared" si="6"/>
        <v>487.99897299999998</v>
      </c>
      <c r="T34" s="444">
        <f t="shared" si="1"/>
        <v>6918.4759729999996</v>
      </c>
      <c r="U34" s="445">
        <v>0</v>
      </c>
      <c r="V34" s="449">
        <f>IFERROR(VLOOKUP(C34,'FY 2023 IMPACT FILE CA'!$A$3:$BG$53,23,FALSE),0)</f>
        <v>0</v>
      </c>
      <c r="W34" s="449">
        <f>IFERROR(VLOOKUP(C34,'FY 2023 IMPACT FILE CA'!$A$3:$BG$53,24,FALSE),0)</f>
        <v>0</v>
      </c>
      <c r="X34" s="441">
        <f t="shared" si="2"/>
        <v>0</v>
      </c>
      <c r="Y34" s="441">
        <f t="shared" si="3"/>
        <v>0</v>
      </c>
      <c r="Z34" s="451">
        <f t="shared" si="7"/>
        <v>0</v>
      </c>
      <c r="AA34" s="449">
        <v>0</v>
      </c>
      <c r="AB34" s="452">
        <f t="shared" si="8"/>
        <v>0</v>
      </c>
      <c r="AC34" s="449">
        <f>IFERROR(VLOOKUP(C34,'Table 15'!$A$479:$B$528,2,FALSE),0)</f>
        <v>1</v>
      </c>
      <c r="AD34" s="452">
        <f t="shared" si="9"/>
        <v>0</v>
      </c>
      <c r="AE34" s="19" t="s">
        <v>144</v>
      </c>
      <c r="AF34" s="455">
        <f t="shared" si="4"/>
        <v>0</v>
      </c>
      <c r="AG34" s="454">
        <f t="shared" si="5"/>
        <v>0</v>
      </c>
    </row>
    <row r="35" spans="1:33" x14ac:dyDescent="0.35">
      <c r="A35" s="19">
        <v>0</v>
      </c>
      <c r="B35" s="25">
        <v>60096</v>
      </c>
      <c r="C35" s="26" t="s">
        <v>101</v>
      </c>
      <c r="D35" s="27" t="s">
        <v>102</v>
      </c>
      <c r="E35" s="27">
        <v>1992812333</v>
      </c>
      <c r="F35" s="381" t="s">
        <v>219</v>
      </c>
      <c r="G35" s="380">
        <v>1</v>
      </c>
      <c r="H35" s="311"/>
      <c r="I35" s="311"/>
      <c r="J35" s="25">
        <v>60096</v>
      </c>
      <c r="K35" s="438" t="str">
        <f>IFERROR(VLOOKUP(C35,'FY 2023 IMPACT FILE CA'!$A$3:$BH$52,58,FALSE),0)</f>
        <v>0</v>
      </c>
      <c r="L35" s="29"/>
      <c r="M35" s="441">
        <f>IF(N35&lt;=1,' FY 2023 CN Tables 1A-1E'!$C$5,' FY 2023 CN Tables 1A-1E'!$B$5)</f>
        <v>4310</v>
      </c>
      <c r="N35" s="442">
        <f>IFERROR(VLOOKUP($C35,'FY 2023 IMPACT FILE CA'!$A$3:$BG$52,12,FALSE),1)</f>
        <v>1.0126999999999999</v>
      </c>
      <c r="O35" s="441">
        <f>IF(N35&lt;=1,' FY 2023 CN Tables 1A-1E'!$C$6,' FY 2023 CN Tables 1A-1E'!$B$6)</f>
        <v>2065.7399999999998</v>
      </c>
      <c r="P35" s="441">
        <f t="shared" si="0"/>
        <v>6430.4769999999999</v>
      </c>
      <c r="Q35" s="443">
        <f>' FY 2023 CN Tables 1A-1E'!$B$33</f>
        <v>483.79</v>
      </c>
      <c r="R35" s="442">
        <f>IFERROR(VLOOKUP(C35,'FY 2023 IMPACT FILE CA'!$A$3:$BG$52,48,FALSE),1)</f>
        <v>1.0086999999999999</v>
      </c>
      <c r="S35" s="441">
        <f t="shared" si="6"/>
        <v>487.99897299999998</v>
      </c>
      <c r="T35" s="444">
        <f t="shared" si="1"/>
        <v>6918.4759729999996</v>
      </c>
      <c r="U35" s="445">
        <v>0</v>
      </c>
      <c r="V35" s="449">
        <f>IFERROR(VLOOKUP(C35,'FY 2023 IMPACT FILE CA'!$A$3:$BG$53,23,FALSE),0)</f>
        <v>0</v>
      </c>
      <c r="W35" s="449">
        <f>IFERROR(VLOOKUP(C35,'FY 2023 IMPACT FILE CA'!$A$3:$BG$53,24,FALSE),0)</f>
        <v>0</v>
      </c>
      <c r="X35" s="441">
        <f t="shared" si="2"/>
        <v>0</v>
      </c>
      <c r="Y35" s="441">
        <f t="shared" si="3"/>
        <v>0</v>
      </c>
      <c r="Z35" s="451">
        <f t="shared" si="7"/>
        <v>0</v>
      </c>
      <c r="AA35" s="449">
        <v>0</v>
      </c>
      <c r="AB35" s="452">
        <f t="shared" si="8"/>
        <v>0</v>
      </c>
      <c r="AC35" s="449">
        <f>IFERROR(VLOOKUP(C35,'Table 15'!$A$479:$B$528,2,FALSE),0)</f>
        <v>1</v>
      </c>
      <c r="AD35" s="452">
        <f t="shared" si="9"/>
        <v>0</v>
      </c>
      <c r="AE35" s="19" t="s">
        <v>144</v>
      </c>
      <c r="AF35" s="455">
        <f t="shared" si="4"/>
        <v>0</v>
      </c>
      <c r="AG35" s="454">
        <f t="shared" si="5"/>
        <v>0</v>
      </c>
    </row>
    <row r="36" spans="1:33" x14ac:dyDescent="0.35">
      <c r="A36" s="19">
        <v>1</v>
      </c>
      <c r="B36" s="25">
        <v>60100</v>
      </c>
      <c r="C36" s="26" t="s">
        <v>103</v>
      </c>
      <c r="D36" s="27" t="s">
        <v>104</v>
      </c>
      <c r="E36" s="27">
        <v>1659327013</v>
      </c>
      <c r="F36" s="381" t="s">
        <v>216</v>
      </c>
      <c r="G36" s="380">
        <v>0</v>
      </c>
      <c r="H36" s="311"/>
      <c r="I36" s="311"/>
      <c r="J36" s="25">
        <v>60100</v>
      </c>
      <c r="K36" s="438" t="str">
        <f>IFERROR(VLOOKUP(C36,'FY 2023 IMPACT FILE CA'!$A$3:$BH$52,58,FALSE),0)</f>
        <v>0</v>
      </c>
      <c r="L36" s="29"/>
      <c r="M36" s="441">
        <f>IF(N36&lt;=1,' FY 2023 CN Tables 1A-1E'!$C$5,' FY 2023 CN Tables 1A-1E'!$B$5)</f>
        <v>4310</v>
      </c>
      <c r="N36" s="442">
        <f>IFERROR(VLOOKUP($C36,'FY 2023 IMPACT FILE CA'!$A$3:$BG$52,12,FALSE),1)</f>
        <v>1.0126999999999999</v>
      </c>
      <c r="O36" s="441">
        <f>IF(N36&lt;=1,' FY 2023 CN Tables 1A-1E'!$C$6,' FY 2023 CN Tables 1A-1E'!$B$6)</f>
        <v>2065.7399999999998</v>
      </c>
      <c r="P36" s="441">
        <f t="shared" si="0"/>
        <v>6430.4769999999999</v>
      </c>
      <c r="Q36" s="443">
        <f>' FY 2023 CN Tables 1A-1E'!$B$33</f>
        <v>483.79</v>
      </c>
      <c r="R36" s="442">
        <f>IFERROR(VLOOKUP(C36,'FY 2023 IMPACT FILE CA'!$A$3:$BG$52,48,FALSE),1)</f>
        <v>1.0086999999999999</v>
      </c>
      <c r="S36" s="441">
        <f t="shared" si="6"/>
        <v>487.99897299999998</v>
      </c>
      <c r="T36" s="444">
        <f t="shared" si="1"/>
        <v>6918.4759729999996</v>
      </c>
      <c r="U36" s="445">
        <v>31.655727907241086</v>
      </c>
      <c r="V36" s="449">
        <f>IFERROR(VLOOKUP(C36,'FY 2023 IMPACT FILE CA'!$A$3:$BG$53,23,FALSE),0)</f>
        <v>4.3630000000000002E-2</v>
      </c>
      <c r="W36" s="449">
        <f>IFERROR(VLOOKUP(C36,'FY 2023 IMPACT FILE CA'!$A$3:$BG$53,24,FALSE),0)</f>
        <v>3.6310000000000002E-2</v>
      </c>
      <c r="X36" s="441">
        <f t="shared" si="2"/>
        <v>280.56171151000001</v>
      </c>
      <c r="Y36" s="441">
        <f t="shared" si="3"/>
        <v>17.719242709629999</v>
      </c>
      <c r="Z36" s="451">
        <f t="shared" si="7"/>
        <v>298.28095421963002</v>
      </c>
      <c r="AA36" s="449">
        <v>0</v>
      </c>
      <c r="AB36" s="452">
        <f t="shared" si="8"/>
        <v>0</v>
      </c>
      <c r="AC36" s="449">
        <f>IFERROR(VLOOKUP(C36,'Table 15'!$A$479:$B$528,2,FALSE),0)</f>
        <v>0.99829999999999997</v>
      </c>
      <c r="AD36" s="452">
        <f t="shared" si="9"/>
        <v>-10.931810900000224</v>
      </c>
      <c r="AE36" s="19" t="s">
        <v>144</v>
      </c>
      <c r="AF36" s="455">
        <f t="shared" si="4"/>
        <v>0</v>
      </c>
      <c r="AG36" s="454">
        <f t="shared" si="5"/>
        <v>0</v>
      </c>
    </row>
    <row r="37" spans="1:33" x14ac:dyDescent="0.35">
      <c r="A37" s="19">
        <v>1</v>
      </c>
      <c r="B37" s="25">
        <v>60103</v>
      </c>
      <c r="C37" s="26" t="s">
        <v>105</v>
      </c>
      <c r="D37" s="27" t="s">
        <v>106</v>
      </c>
      <c r="E37" s="27">
        <v>1891709192</v>
      </c>
      <c r="F37" s="381" t="s">
        <v>216</v>
      </c>
      <c r="G37" s="380">
        <v>0</v>
      </c>
      <c r="H37" s="311"/>
      <c r="I37" s="311"/>
      <c r="J37" s="25">
        <v>60103</v>
      </c>
      <c r="K37" s="438" t="str">
        <f>IFERROR(VLOOKUP(C37,'FY 2023 IMPACT FILE CA'!$A$3:$BH$52,58,FALSE),0)</f>
        <v>0</v>
      </c>
      <c r="L37" s="29"/>
      <c r="M37" s="441">
        <f>IF(N37&lt;=1,' FY 2023 CN Tables 1A-1E'!$C$5,' FY 2023 CN Tables 1A-1E'!$B$5)</f>
        <v>4310</v>
      </c>
      <c r="N37" s="442">
        <f>IFERROR(VLOOKUP($C37,'FY 2023 IMPACT FILE CA'!$A$3:$BG$52,12,FALSE),1)</f>
        <v>1.0126999999999999</v>
      </c>
      <c r="O37" s="441">
        <f>IF(N37&lt;=1,' FY 2023 CN Tables 1A-1E'!$C$6,' FY 2023 CN Tables 1A-1E'!$B$6)</f>
        <v>2065.7399999999998</v>
      </c>
      <c r="P37" s="441">
        <f t="shared" si="0"/>
        <v>6430.4769999999999</v>
      </c>
      <c r="Q37" s="443">
        <f>' FY 2023 CN Tables 1A-1E'!$B$33</f>
        <v>483.79</v>
      </c>
      <c r="R37" s="442">
        <f>IFERROR(VLOOKUP(C37,'FY 2023 IMPACT FILE CA'!$A$3:$BG$52,48,FALSE),1)</f>
        <v>1.0086999999999999</v>
      </c>
      <c r="S37" s="441">
        <f t="shared" si="6"/>
        <v>487.99897299999998</v>
      </c>
      <c r="T37" s="444">
        <f t="shared" si="1"/>
        <v>6918.4759729999996</v>
      </c>
      <c r="U37" s="445">
        <v>0</v>
      </c>
      <c r="V37" s="449">
        <f>IFERROR(VLOOKUP(C37,'FY 2023 IMPACT FILE CA'!$A$3:$BG$53,23,FALSE),0)</f>
        <v>0</v>
      </c>
      <c r="W37" s="449">
        <f>IFERROR(VLOOKUP(C37,'FY 2023 IMPACT FILE CA'!$A$3:$BG$53,24,FALSE),0)</f>
        <v>0</v>
      </c>
      <c r="X37" s="441">
        <f t="shared" ref="X37:X68" si="10">IFERROR((P37*V37),0)</f>
        <v>0</v>
      </c>
      <c r="Y37" s="441">
        <f t="shared" ref="Y37:Y68" si="11">IFERROR(S37*W37,0)</f>
        <v>0</v>
      </c>
      <c r="Z37" s="451">
        <f t="shared" si="7"/>
        <v>0</v>
      </c>
      <c r="AA37" s="449">
        <v>0</v>
      </c>
      <c r="AB37" s="452">
        <f t="shared" si="8"/>
        <v>0</v>
      </c>
      <c r="AC37" s="449">
        <f>IFERROR(VLOOKUP(C37,'Table 15'!$A$479:$B$528,2,FALSE),0)</f>
        <v>1</v>
      </c>
      <c r="AD37" s="452">
        <f t="shared" si="9"/>
        <v>0</v>
      </c>
      <c r="AE37" s="19" t="s">
        <v>144</v>
      </c>
      <c r="AF37" s="455">
        <f t="shared" si="4"/>
        <v>0</v>
      </c>
      <c r="AG37" s="454">
        <f t="shared" ref="AG37:AG68" si="12">T37*AF37</f>
        <v>0</v>
      </c>
    </row>
    <row r="38" spans="1:33" x14ac:dyDescent="0.35">
      <c r="A38" s="19">
        <v>1</v>
      </c>
      <c r="B38" s="25">
        <v>60104</v>
      </c>
      <c r="C38" s="26" t="s">
        <v>107</v>
      </c>
      <c r="D38" s="27" t="s">
        <v>108</v>
      </c>
      <c r="E38" s="27">
        <v>1619985942</v>
      </c>
      <c r="F38" s="381" t="s">
        <v>216</v>
      </c>
      <c r="G38" s="380">
        <v>0</v>
      </c>
      <c r="H38" s="311"/>
      <c r="I38" s="311"/>
      <c r="J38" s="25">
        <v>60104</v>
      </c>
      <c r="K38" s="438" t="str">
        <f>IFERROR(VLOOKUP(C38,'FY 2023 IMPACT FILE CA'!$A$3:$BH$52,58,FALSE),0)</f>
        <v>0</v>
      </c>
      <c r="L38" s="29"/>
      <c r="M38" s="441">
        <f>IF(N38&lt;=1,' FY 2023 CN Tables 1A-1E'!$C$5,' FY 2023 CN Tables 1A-1E'!$B$5)</f>
        <v>4310</v>
      </c>
      <c r="N38" s="442">
        <f>IFERROR(VLOOKUP($C38,'FY 2023 IMPACT FILE CA'!$A$3:$BG$52,12,FALSE),1)</f>
        <v>1.0126999999999999</v>
      </c>
      <c r="O38" s="441">
        <f>IF(N38&lt;=1,' FY 2023 CN Tables 1A-1E'!$C$6,' FY 2023 CN Tables 1A-1E'!$B$6)</f>
        <v>2065.7399999999998</v>
      </c>
      <c r="P38" s="441">
        <f t="shared" si="0"/>
        <v>6430.4769999999999</v>
      </c>
      <c r="Q38" s="443">
        <f>' FY 2023 CN Tables 1A-1E'!$B$33</f>
        <v>483.79</v>
      </c>
      <c r="R38" s="442">
        <f>IFERROR(VLOOKUP(C38,'FY 2023 IMPACT FILE CA'!$A$3:$BG$52,48,FALSE),1)</f>
        <v>1.0086999999999999</v>
      </c>
      <c r="S38" s="441">
        <f t="shared" si="6"/>
        <v>487.99897299999998</v>
      </c>
      <c r="T38" s="444">
        <f t="shared" si="1"/>
        <v>6918.4759729999996</v>
      </c>
      <c r="U38" s="445">
        <v>13.084188875956711</v>
      </c>
      <c r="V38" s="585">
        <v>0.119659</v>
      </c>
      <c r="W38" s="585">
        <v>0.106057</v>
      </c>
      <c r="X38" s="441">
        <f t="shared" si="10"/>
        <v>769.46444734299996</v>
      </c>
      <c r="Y38" s="441">
        <f t="shared" si="11"/>
        <v>51.755707079460997</v>
      </c>
      <c r="Z38" s="451">
        <f t="shared" si="7"/>
        <v>821.22015442246095</v>
      </c>
      <c r="AA38" s="449">
        <v>0</v>
      </c>
      <c r="AB38" s="452">
        <f t="shared" si="8"/>
        <v>0</v>
      </c>
      <c r="AC38" s="449">
        <f>IFERROR(VLOOKUP(C38,'Table 15'!$A$479:$B$528,2,FALSE),0)</f>
        <v>0.99790000000000001</v>
      </c>
      <c r="AD38" s="452">
        <f t="shared" si="9"/>
        <v>-13.504001699999939</v>
      </c>
      <c r="AE38" s="19" t="s">
        <v>144</v>
      </c>
      <c r="AF38" s="455">
        <f t="shared" si="4"/>
        <v>0</v>
      </c>
      <c r="AG38" s="454">
        <f t="shared" si="12"/>
        <v>0</v>
      </c>
    </row>
    <row r="39" spans="1:33" x14ac:dyDescent="0.35">
      <c r="A39" s="19">
        <v>1</v>
      </c>
      <c r="B39" s="25">
        <v>60107</v>
      </c>
      <c r="C39" s="26" t="s">
        <v>109</v>
      </c>
      <c r="D39" s="27" t="s">
        <v>110</v>
      </c>
      <c r="E39" s="27">
        <v>1326015777</v>
      </c>
      <c r="F39" s="381" t="s">
        <v>216</v>
      </c>
      <c r="G39" s="380">
        <v>0</v>
      </c>
      <c r="H39" s="311"/>
      <c r="I39" s="311"/>
      <c r="J39" s="25">
        <v>60107</v>
      </c>
      <c r="K39" s="438" t="str">
        <f>IFERROR(VLOOKUP(C39,'FY 2023 IMPACT FILE CA'!$A$3:$BH$52,58,FALSE),0)</f>
        <v>0</v>
      </c>
      <c r="L39" s="29"/>
      <c r="M39" s="441">
        <f>IF(N39&lt;=1,' FY 2023 CN Tables 1A-1E'!$C$5,' FY 2023 CN Tables 1A-1E'!$B$5)</f>
        <v>4310</v>
      </c>
      <c r="N39" s="442">
        <f>IFERROR(VLOOKUP($C39,'FY 2023 IMPACT FILE CA'!$A$3:$BG$52,12,FALSE),1)</f>
        <v>1.0126999999999999</v>
      </c>
      <c r="O39" s="441">
        <f>IF(N39&lt;=1,' FY 2023 CN Tables 1A-1E'!$C$6,' FY 2023 CN Tables 1A-1E'!$B$6)</f>
        <v>2065.7399999999998</v>
      </c>
      <c r="P39" s="441">
        <f t="shared" si="0"/>
        <v>6430.4769999999999</v>
      </c>
      <c r="Q39" s="443">
        <f>' FY 2023 CN Tables 1A-1E'!$B$33</f>
        <v>483.79</v>
      </c>
      <c r="R39" s="442">
        <f>IFERROR(VLOOKUP(C39,'FY 2023 IMPACT FILE CA'!$A$3:$BG$52,48,FALSE),1)</f>
        <v>1.0086999999999999</v>
      </c>
      <c r="S39" s="441">
        <f t="shared" si="6"/>
        <v>487.99897299999998</v>
      </c>
      <c r="T39" s="444">
        <f t="shared" si="1"/>
        <v>6918.4759729999996</v>
      </c>
      <c r="U39" s="445">
        <v>109.82362709414379</v>
      </c>
      <c r="V39" s="449">
        <f>IFERROR(VLOOKUP(C39,'FY 2023 IMPACT FILE CA'!$A$3:$BG$53,23,FALSE),0)</f>
        <v>0</v>
      </c>
      <c r="W39" s="449">
        <f>IFERROR(VLOOKUP(C39,'FY 2023 IMPACT FILE CA'!$A$3:$BG$53,24,FALSE),0)</f>
        <v>0</v>
      </c>
      <c r="X39" s="441">
        <f t="shared" si="10"/>
        <v>0</v>
      </c>
      <c r="Y39" s="441">
        <f t="shared" si="11"/>
        <v>0</v>
      </c>
      <c r="Z39" s="451">
        <f t="shared" si="7"/>
        <v>0</v>
      </c>
      <c r="AA39" s="449">
        <v>0</v>
      </c>
      <c r="AB39" s="452">
        <f t="shared" si="8"/>
        <v>0</v>
      </c>
      <c r="AC39" s="449">
        <f>IFERROR(VLOOKUP(C39,'Table 15'!$A$479:$B$528,2,FALSE),0)</f>
        <v>1</v>
      </c>
      <c r="AD39" s="452">
        <f t="shared" si="9"/>
        <v>0</v>
      </c>
      <c r="AE39" s="19" t="s">
        <v>144</v>
      </c>
      <c r="AF39" s="455">
        <f t="shared" si="4"/>
        <v>0</v>
      </c>
      <c r="AG39" s="454">
        <f t="shared" si="12"/>
        <v>0</v>
      </c>
    </row>
    <row r="40" spans="1:33" x14ac:dyDescent="0.35">
      <c r="A40" s="19">
        <v>1</v>
      </c>
      <c r="B40" s="25">
        <v>60112</v>
      </c>
      <c r="C40" s="26" t="s">
        <v>111</v>
      </c>
      <c r="D40" s="27" t="s">
        <v>112</v>
      </c>
      <c r="E40" s="27">
        <v>1659325629</v>
      </c>
      <c r="F40" s="381" t="s">
        <v>216</v>
      </c>
      <c r="G40" s="380">
        <v>0</v>
      </c>
      <c r="H40" s="311"/>
      <c r="I40" s="311"/>
      <c r="J40" s="25">
        <v>60112</v>
      </c>
      <c r="K40" s="438" t="str">
        <f>IFERROR(VLOOKUP(C40,'FY 2023 IMPACT FILE CA'!$A$3:$BH$52,58,FALSE),0)</f>
        <v>0</v>
      </c>
      <c r="L40" s="29"/>
      <c r="M40" s="441">
        <f>IF(N40&lt;=1,' FY 2023 CN Tables 1A-1E'!$C$5,' FY 2023 CN Tables 1A-1E'!$B$5)</f>
        <v>4310</v>
      </c>
      <c r="N40" s="442">
        <f>IFERROR(VLOOKUP($C40,'FY 2023 IMPACT FILE CA'!$A$3:$BG$52,12,FALSE),1)</f>
        <v>1.0126999999999999</v>
      </c>
      <c r="O40" s="441">
        <f>IF(N40&lt;=1,' FY 2023 CN Tables 1A-1E'!$C$6,' FY 2023 CN Tables 1A-1E'!$B$6)</f>
        <v>2065.7399999999998</v>
      </c>
      <c r="P40" s="441">
        <f t="shared" si="0"/>
        <v>6430.4769999999999</v>
      </c>
      <c r="Q40" s="443">
        <f>' FY 2023 CN Tables 1A-1E'!$B$33</f>
        <v>483.79</v>
      </c>
      <c r="R40" s="442">
        <f>IFERROR(VLOOKUP(C40,'FY 2023 IMPACT FILE CA'!$A$3:$BG$52,48,FALSE),1)</f>
        <v>1.0086999999999999</v>
      </c>
      <c r="S40" s="441">
        <f t="shared" si="6"/>
        <v>487.99897299999998</v>
      </c>
      <c r="T40" s="444">
        <f t="shared" si="1"/>
        <v>6918.4759729999996</v>
      </c>
      <c r="U40" s="445">
        <v>78.702365526003916</v>
      </c>
      <c r="V40" s="586">
        <v>0.155081</v>
      </c>
      <c r="W40" s="586">
        <v>0.162248</v>
      </c>
      <c r="X40" s="441">
        <f t="shared" si="10"/>
        <v>997.2448036369999</v>
      </c>
      <c r="Y40" s="441">
        <f t="shared" si="11"/>
        <v>79.176857371303996</v>
      </c>
      <c r="Z40" s="451">
        <f t="shared" si="7"/>
        <v>1076.421661008304</v>
      </c>
      <c r="AA40" s="449">
        <v>0</v>
      </c>
      <c r="AB40" s="452">
        <f t="shared" si="8"/>
        <v>0</v>
      </c>
      <c r="AC40" s="449">
        <f>IFERROR(VLOOKUP(C40,'Table 15'!$A$479:$B$528,2,FALSE),0)</f>
        <v>1</v>
      </c>
      <c r="AD40" s="452">
        <f t="shared" si="9"/>
        <v>0</v>
      </c>
      <c r="AE40" s="19" t="s">
        <v>144</v>
      </c>
      <c r="AF40" s="455">
        <f t="shared" si="4"/>
        <v>0</v>
      </c>
      <c r="AG40" s="454">
        <f t="shared" si="12"/>
        <v>0</v>
      </c>
    </row>
    <row r="41" spans="1:33" x14ac:dyDescent="0.35">
      <c r="A41" s="19">
        <v>1</v>
      </c>
      <c r="B41" s="25">
        <v>60113</v>
      </c>
      <c r="C41" s="26" t="s">
        <v>113</v>
      </c>
      <c r="D41" s="27" t="s">
        <v>114</v>
      </c>
      <c r="E41" s="27">
        <v>1689688988</v>
      </c>
      <c r="F41" s="381" t="s">
        <v>216</v>
      </c>
      <c r="G41" s="380">
        <v>0</v>
      </c>
      <c r="H41" s="311"/>
      <c r="I41" s="311"/>
      <c r="J41" s="25">
        <v>60113</v>
      </c>
      <c r="K41" s="438" t="str">
        <f>IFERROR(VLOOKUP(C41,'FY 2023 IMPACT FILE CA'!$A$3:$BH$52,58,FALSE),0)</f>
        <v>0</v>
      </c>
      <c r="L41" s="29"/>
      <c r="M41" s="441">
        <f>IF(N41&lt;=1,' FY 2023 CN Tables 1A-1E'!$C$5,' FY 2023 CN Tables 1A-1E'!$B$5)</f>
        <v>4310</v>
      </c>
      <c r="N41" s="442">
        <f>IFERROR(VLOOKUP($C41,'FY 2023 IMPACT FILE CA'!$A$3:$BG$52,12,FALSE),1)</f>
        <v>1.0126999999999999</v>
      </c>
      <c r="O41" s="441">
        <f>IF(N41&lt;=1,' FY 2023 CN Tables 1A-1E'!$C$6,' FY 2023 CN Tables 1A-1E'!$B$6)</f>
        <v>2065.7399999999998</v>
      </c>
      <c r="P41" s="441">
        <f t="shared" si="0"/>
        <v>6430.4769999999999</v>
      </c>
      <c r="Q41" s="443">
        <f>' FY 2023 CN Tables 1A-1E'!$B$33</f>
        <v>483.79</v>
      </c>
      <c r="R41" s="442">
        <f>IFERROR(VLOOKUP(C41,'FY 2023 IMPACT FILE CA'!$A$3:$BG$52,48,FALSE),1)</f>
        <v>1.0086999999999999</v>
      </c>
      <c r="S41" s="441">
        <f t="shared" si="6"/>
        <v>487.99897299999998</v>
      </c>
      <c r="T41" s="444">
        <f t="shared" si="1"/>
        <v>6918.4759729999996</v>
      </c>
      <c r="U41" s="445">
        <v>0</v>
      </c>
      <c r="V41" s="449">
        <f>IFERROR(VLOOKUP(C41,'FY 2023 IMPACT FILE CA'!$A$3:$BG$53,23,FALSE),0)</f>
        <v>0</v>
      </c>
      <c r="W41" s="449">
        <f>IFERROR(VLOOKUP(C41,'FY 2023 IMPACT FILE CA'!$A$3:$BG$53,24,FALSE),0)</f>
        <v>0</v>
      </c>
      <c r="X41" s="441">
        <f t="shared" si="10"/>
        <v>0</v>
      </c>
      <c r="Y41" s="441">
        <f t="shared" si="11"/>
        <v>0</v>
      </c>
      <c r="Z41" s="451">
        <f t="shared" si="7"/>
        <v>0</v>
      </c>
      <c r="AA41" s="449">
        <v>0</v>
      </c>
      <c r="AB41" s="452">
        <f t="shared" si="8"/>
        <v>0</v>
      </c>
      <c r="AC41" s="449">
        <f>IFERROR(VLOOKUP(C41,'Table 15'!$A$479:$B$528,2,FALSE),0)</f>
        <v>0.99950000000000006</v>
      </c>
      <c r="AD41" s="452">
        <f t="shared" si="9"/>
        <v>-3.2152384999996459</v>
      </c>
      <c r="AE41" s="19" t="s">
        <v>144</v>
      </c>
      <c r="AF41" s="455">
        <f t="shared" si="4"/>
        <v>0</v>
      </c>
      <c r="AG41" s="454">
        <f t="shared" si="12"/>
        <v>0</v>
      </c>
    </row>
    <row r="42" spans="1:33" x14ac:dyDescent="0.35">
      <c r="A42" s="19">
        <v>1</v>
      </c>
      <c r="B42" s="25">
        <v>60114</v>
      </c>
      <c r="C42" s="26" t="s">
        <v>115</v>
      </c>
      <c r="D42" s="27" t="s">
        <v>116</v>
      </c>
      <c r="E42" s="27">
        <v>1386651297</v>
      </c>
      <c r="F42" s="381" t="s">
        <v>216</v>
      </c>
      <c r="G42" s="380">
        <v>0</v>
      </c>
      <c r="H42" s="311"/>
      <c r="I42" s="311"/>
      <c r="J42" s="25">
        <v>60114</v>
      </c>
      <c r="K42" s="438" t="str">
        <f>IFERROR(VLOOKUP(C42,'FY 2023 IMPACT FILE CA'!$A$3:$BH$52,58,FALSE),0)</f>
        <v>0</v>
      </c>
      <c r="L42" s="29"/>
      <c r="M42" s="441">
        <f>IF(N42&lt;=1,' FY 2023 CN Tables 1A-1E'!$C$5,' FY 2023 CN Tables 1A-1E'!$B$5)</f>
        <v>4310</v>
      </c>
      <c r="N42" s="442">
        <f>IFERROR(VLOOKUP($C42,'FY 2023 IMPACT FILE CA'!$A$3:$BG$52,12,FALSE),1)</f>
        <v>1.0126999999999999</v>
      </c>
      <c r="O42" s="441">
        <f>IF(N42&lt;=1,' FY 2023 CN Tables 1A-1E'!$C$6,' FY 2023 CN Tables 1A-1E'!$B$6)</f>
        <v>2065.7399999999998</v>
      </c>
      <c r="P42" s="441">
        <f t="shared" si="0"/>
        <v>6430.4769999999999</v>
      </c>
      <c r="Q42" s="443">
        <f>' FY 2023 CN Tables 1A-1E'!$B$33</f>
        <v>483.79</v>
      </c>
      <c r="R42" s="442">
        <f>IFERROR(VLOOKUP(C42,'FY 2023 IMPACT FILE CA'!$A$3:$BG$52,48,FALSE),1)</f>
        <v>1.0086999999999999</v>
      </c>
      <c r="S42" s="441">
        <f t="shared" si="6"/>
        <v>487.99897299999998</v>
      </c>
      <c r="T42" s="444">
        <f t="shared" si="1"/>
        <v>6918.4759729999996</v>
      </c>
      <c r="U42" s="445">
        <v>0</v>
      </c>
      <c r="V42" s="449">
        <f>IFERROR(VLOOKUP(C42,'FY 2023 IMPACT FILE CA'!$A$3:$BG$53,23,FALSE),0)</f>
        <v>0</v>
      </c>
      <c r="W42" s="449">
        <f>IFERROR(VLOOKUP(C42,'FY 2023 IMPACT FILE CA'!$A$3:$BG$53,24,FALSE),0)</f>
        <v>0</v>
      </c>
      <c r="X42" s="441">
        <f t="shared" si="10"/>
        <v>0</v>
      </c>
      <c r="Y42" s="441">
        <f t="shared" si="11"/>
        <v>0</v>
      </c>
      <c r="Z42" s="451">
        <f t="shared" si="7"/>
        <v>0</v>
      </c>
      <c r="AA42" s="449">
        <v>0</v>
      </c>
      <c r="AB42" s="452">
        <f t="shared" si="8"/>
        <v>0</v>
      </c>
      <c r="AC42" s="449">
        <f>IFERROR(VLOOKUP(C42,'Table 15'!$A$479:$B$528,2,FALSE),0)</f>
        <v>1</v>
      </c>
      <c r="AD42" s="452">
        <f t="shared" si="9"/>
        <v>0</v>
      </c>
      <c r="AE42" s="19" t="s">
        <v>144</v>
      </c>
      <c r="AF42" s="455">
        <f t="shared" si="4"/>
        <v>0</v>
      </c>
      <c r="AG42" s="454">
        <f t="shared" si="12"/>
        <v>0</v>
      </c>
    </row>
    <row r="43" spans="1:33" x14ac:dyDescent="0.35">
      <c r="A43" s="19">
        <v>1</v>
      </c>
      <c r="B43" s="25">
        <v>60116</v>
      </c>
      <c r="C43" s="26" t="s">
        <v>117</v>
      </c>
      <c r="D43" s="27" t="s">
        <v>118</v>
      </c>
      <c r="E43" s="27">
        <v>1407845035</v>
      </c>
      <c r="F43" s="381" t="s">
        <v>216</v>
      </c>
      <c r="G43" s="380">
        <v>0</v>
      </c>
      <c r="H43" s="311"/>
      <c r="I43" s="311"/>
      <c r="J43" s="25">
        <v>60116</v>
      </c>
      <c r="K43" s="438" t="str">
        <f>IFERROR(VLOOKUP(C43,'FY 2023 IMPACT FILE CA'!$A$3:$BH$52,58,FALSE),0)</f>
        <v>0</v>
      </c>
      <c r="L43" s="29"/>
      <c r="M43" s="441">
        <f>IF(N43&lt;=1,' FY 2023 CN Tables 1A-1E'!$C$5,' FY 2023 CN Tables 1A-1E'!$B$5)</f>
        <v>4310</v>
      </c>
      <c r="N43" s="442">
        <f>IFERROR(VLOOKUP($C43,'FY 2023 IMPACT FILE CA'!$A$3:$BG$52,12,FALSE),1)</f>
        <v>1.0126999999999999</v>
      </c>
      <c r="O43" s="441">
        <f>IF(N43&lt;=1,' FY 2023 CN Tables 1A-1E'!$C$6,' FY 2023 CN Tables 1A-1E'!$B$6)</f>
        <v>2065.7399999999998</v>
      </c>
      <c r="P43" s="441">
        <f t="shared" si="0"/>
        <v>6430.4769999999999</v>
      </c>
      <c r="Q43" s="443">
        <f>' FY 2023 CN Tables 1A-1E'!$B$33</f>
        <v>483.79</v>
      </c>
      <c r="R43" s="442">
        <f>IFERROR(VLOOKUP(C43,'FY 2023 IMPACT FILE CA'!$A$3:$BG$52,48,FALSE),1)</f>
        <v>1.0086999999999999</v>
      </c>
      <c r="S43" s="441">
        <f t="shared" si="6"/>
        <v>487.99897299999998</v>
      </c>
      <c r="T43" s="444">
        <f t="shared" si="1"/>
        <v>6918.4759729999996</v>
      </c>
      <c r="U43" s="445">
        <v>0</v>
      </c>
      <c r="V43" s="449">
        <f>IFERROR(VLOOKUP(C43,'FY 2023 IMPACT FILE CA'!$A$3:$BG$53,23,FALSE),0)</f>
        <v>0</v>
      </c>
      <c r="W43" s="449">
        <f>IFERROR(VLOOKUP(C43,'FY 2023 IMPACT FILE CA'!$A$3:$BG$53,24,FALSE),0)</f>
        <v>0</v>
      </c>
      <c r="X43" s="441">
        <f t="shared" si="10"/>
        <v>0</v>
      </c>
      <c r="Y43" s="441">
        <f t="shared" si="11"/>
        <v>0</v>
      </c>
      <c r="Z43" s="451">
        <f t="shared" si="7"/>
        <v>0</v>
      </c>
      <c r="AA43" s="449">
        <v>0</v>
      </c>
      <c r="AB43" s="452">
        <f t="shared" si="8"/>
        <v>0</v>
      </c>
      <c r="AC43" s="449">
        <f>IFERROR(VLOOKUP(C43,'Table 15'!$A$479:$B$528,2,FALSE),0)</f>
        <v>0.99929999999999997</v>
      </c>
      <c r="AD43" s="452">
        <f t="shared" si="9"/>
        <v>-4.5013339000002182</v>
      </c>
      <c r="AE43" s="19" t="s">
        <v>144</v>
      </c>
      <c r="AF43" s="455">
        <f t="shared" si="4"/>
        <v>0</v>
      </c>
      <c r="AG43" s="454">
        <f t="shared" si="12"/>
        <v>0</v>
      </c>
    </row>
    <row r="44" spans="1:33" x14ac:dyDescent="0.35">
      <c r="A44" s="19">
        <v>1</v>
      </c>
      <c r="B44" s="25">
        <v>60117</v>
      </c>
      <c r="C44" s="26" t="s">
        <v>119</v>
      </c>
      <c r="D44" s="27" t="s">
        <v>120</v>
      </c>
      <c r="E44" s="27">
        <v>1508842964</v>
      </c>
      <c r="F44" s="381" t="s">
        <v>216</v>
      </c>
      <c r="G44" s="380">
        <v>1</v>
      </c>
      <c r="H44" s="311"/>
      <c r="I44" s="311"/>
      <c r="J44" s="25">
        <v>60117</v>
      </c>
      <c r="K44" s="438" t="str">
        <f>IFERROR(VLOOKUP(C44,'FY 2023 IMPACT FILE CA'!$A$3:$BH$52,58,FALSE),0)</f>
        <v>0</v>
      </c>
      <c r="L44" s="29"/>
      <c r="M44" s="441">
        <f>IF(N44&lt;=1,' FY 2023 CN Tables 1A-1E'!$C$5,' FY 2023 CN Tables 1A-1E'!$B$5)</f>
        <v>4310</v>
      </c>
      <c r="N44" s="442">
        <f>IFERROR(VLOOKUP($C44,'FY 2023 IMPACT FILE CA'!$A$3:$BG$52,12,FALSE),1)</f>
        <v>1.0126999999999999</v>
      </c>
      <c r="O44" s="441">
        <f>IF(N44&lt;=1,' FY 2023 CN Tables 1A-1E'!$C$6,' FY 2023 CN Tables 1A-1E'!$B$6)</f>
        <v>2065.7399999999998</v>
      </c>
      <c r="P44" s="441">
        <f t="shared" si="0"/>
        <v>6430.4769999999999</v>
      </c>
      <c r="Q44" s="443">
        <f>' FY 2023 CN Tables 1A-1E'!$B$33</f>
        <v>483.79</v>
      </c>
      <c r="R44" s="442">
        <f>IFERROR(VLOOKUP(C44,'FY 2023 IMPACT FILE CA'!$A$3:$BG$52,48,FALSE),1)</f>
        <v>1.0086999999999999</v>
      </c>
      <c r="S44" s="441">
        <f t="shared" si="6"/>
        <v>487.99897299999998</v>
      </c>
      <c r="T44" s="444">
        <f t="shared" si="1"/>
        <v>6918.4759729999996</v>
      </c>
      <c r="U44" s="445">
        <v>0</v>
      </c>
      <c r="V44" s="449">
        <f>IFERROR(VLOOKUP(C44,'FY 2023 IMPACT FILE CA'!$A$3:$BG$53,23,FALSE),0)</f>
        <v>0</v>
      </c>
      <c r="W44" s="449">
        <f>IFERROR(VLOOKUP(C44,'FY 2023 IMPACT FILE CA'!$A$3:$BG$53,24,FALSE),0)</f>
        <v>0</v>
      </c>
      <c r="X44" s="441">
        <f t="shared" si="10"/>
        <v>0</v>
      </c>
      <c r="Y44" s="441">
        <f t="shared" si="11"/>
        <v>0</v>
      </c>
      <c r="Z44" s="451">
        <f t="shared" si="7"/>
        <v>0</v>
      </c>
      <c r="AA44" s="449">
        <v>0</v>
      </c>
      <c r="AB44" s="452">
        <f t="shared" si="8"/>
        <v>0</v>
      </c>
      <c r="AC44" s="449">
        <f>IFERROR(VLOOKUP(C44,'Table 15'!$A$479:$B$528,2,FALSE),0)</f>
        <v>1</v>
      </c>
      <c r="AD44" s="452">
        <f t="shared" si="9"/>
        <v>0</v>
      </c>
      <c r="AE44" s="19" t="s">
        <v>144</v>
      </c>
      <c r="AF44" s="455">
        <f t="shared" si="4"/>
        <v>0</v>
      </c>
      <c r="AG44" s="454">
        <f t="shared" si="12"/>
        <v>0</v>
      </c>
    </row>
    <row r="45" spans="1:33" x14ac:dyDescent="0.35">
      <c r="A45" s="19">
        <v>1</v>
      </c>
      <c r="B45" s="25">
        <v>60118</v>
      </c>
      <c r="C45" s="26" t="s">
        <v>121</v>
      </c>
      <c r="D45" s="27" t="s">
        <v>122</v>
      </c>
      <c r="E45" s="27">
        <v>1720096092</v>
      </c>
      <c r="F45" s="381" t="s">
        <v>216</v>
      </c>
      <c r="G45" s="380">
        <v>1</v>
      </c>
      <c r="H45" s="311"/>
      <c r="I45" s="311"/>
      <c r="J45" s="25">
        <v>60118</v>
      </c>
      <c r="K45" s="438" t="str">
        <f>IFERROR(VLOOKUP(C45,'FY 2023 IMPACT FILE CA'!$A$3:$BH$52,58,FALSE),0)</f>
        <v>0</v>
      </c>
      <c r="L45" s="29"/>
      <c r="M45" s="441">
        <f>IF(N45&lt;=1,' FY 2023 CN Tables 1A-1E'!$C$5,' FY 2023 CN Tables 1A-1E'!$B$5)</f>
        <v>4310</v>
      </c>
      <c r="N45" s="442">
        <f>IFERROR(VLOOKUP($C45,'FY 2023 IMPACT FILE CA'!$A$3:$BG$52,12,FALSE),1)</f>
        <v>1.0126999999999999</v>
      </c>
      <c r="O45" s="441">
        <f>IF(N45&lt;=1,' FY 2023 CN Tables 1A-1E'!$C$6,' FY 2023 CN Tables 1A-1E'!$B$6)</f>
        <v>2065.7399999999998</v>
      </c>
      <c r="P45" s="441">
        <f t="shared" si="0"/>
        <v>6430.4769999999999</v>
      </c>
      <c r="Q45" s="443">
        <f>' FY 2023 CN Tables 1A-1E'!$B$33</f>
        <v>483.79</v>
      </c>
      <c r="R45" s="442">
        <f>IFERROR(VLOOKUP(C45,'FY 2023 IMPACT FILE CA'!$A$3:$BG$52,48,FALSE),1)</f>
        <v>1.0086999999999999</v>
      </c>
      <c r="S45" s="441">
        <f t="shared" si="6"/>
        <v>487.99897299999998</v>
      </c>
      <c r="T45" s="444">
        <f t="shared" si="1"/>
        <v>6918.4759729999996</v>
      </c>
      <c r="U45" s="445">
        <v>0</v>
      </c>
      <c r="V45" s="449">
        <f>IFERROR(VLOOKUP(C45,'FY 2023 IMPACT FILE CA'!$A$3:$BG$53,23,FALSE),0)</f>
        <v>0</v>
      </c>
      <c r="W45" s="449">
        <f>IFERROR(VLOOKUP(C45,'FY 2023 IMPACT FILE CA'!$A$3:$BG$53,24,FALSE),0)</f>
        <v>0</v>
      </c>
      <c r="X45" s="441">
        <f t="shared" si="10"/>
        <v>0</v>
      </c>
      <c r="Y45" s="441">
        <f t="shared" si="11"/>
        <v>0</v>
      </c>
      <c r="Z45" s="451">
        <f t="shared" si="7"/>
        <v>0</v>
      </c>
      <c r="AA45" s="449">
        <v>0</v>
      </c>
      <c r="AB45" s="452">
        <f t="shared" si="8"/>
        <v>0</v>
      </c>
      <c r="AC45" s="449">
        <f>IFERROR(VLOOKUP(C45,'Table 15'!$A$479:$B$528,2,FALSE),0)</f>
        <v>1</v>
      </c>
      <c r="AD45" s="452">
        <f t="shared" si="9"/>
        <v>0</v>
      </c>
      <c r="AE45" s="19" t="s">
        <v>144</v>
      </c>
      <c r="AF45" s="455">
        <f t="shared" si="4"/>
        <v>0</v>
      </c>
      <c r="AG45" s="454">
        <f t="shared" si="12"/>
        <v>0</v>
      </c>
    </row>
    <row r="46" spans="1:33" x14ac:dyDescent="0.35">
      <c r="A46" s="19">
        <v>1</v>
      </c>
      <c r="B46" s="25">
        <v>60119</v>
      </c>
      <c r="C46" s="26" t="s">
        <v>123</v>
      </c>
      <c r="D46" s="27" t="s">
        <v>124</v>
      </c>
      <c r="E46" s="27">
        <v>1750392304</v>
      </c>
      <c r="F46" s="381" t="s">
        <v>216</v>
      </c>
      <c r="G46" s="380">
        <v>0</v>
      </c>
      <c r="H46" s="311"/>
      <c r="I46" s="311"/>
      <c r="J46" s="25">
        <v>60119</v>
      </c>
      <c r="K46" s="438" t="str">
        <f>IFERROR(VLOOKUP(C46,'FY 2023 IMPACT FILE CA'!$A$3:$BH$52,58,FALSE),0)</f>
        <v>0</v>
      </c>
      <c r="L46" s="29"/>
      <c r="M46" s="441">
        <f>IF(N46&lt;=1,' FY 2023 CN Tables 1A-1E'!$C$5,' FY 2023 CN Tables 1A-1E'!$B$5)</f>
        <v>4310</v>
      </c>
      <c r="N46" s="442">
        <f>IFERROR(VLOOKUP($C46,'FY 2023 IMPACT FILE CA'!$A$3:$BG$52,12,FALSE),1)</f>
        <v>1.0126999999999999</v>
      </c>
      <c r="O46" s="441">
        <f>IF(N46&lt;=1,' FY 2023 CN Tables 1A-1E'!$C$6,' FY 2023 CN Tables 1A-1E'!$B$6)</f>
        <v>2065.7399999999998</v>
      </c>
      <c r="P46" s="441">
        <f t="shared" si="0"/>
        <v>6430.4769999999999</v>
      </c>
      <c r="Q46" s="443">
        <f>' FY 2023 CN Tables 1A-1E'!$B$33</f>
        <v>483.79</v>
      </c>
      <c r="R46" s="442">
        <f>IFERROR(VLOOKUP(C46,'FY 2023 IMPACT FILE CA'!$A$3:$BG$52,48,FALSE),1)</f>
        <v>1.0086999999999999</v>
      </c>
      <c r="S46" s="441">
        <f t="shared" si="6"/>
        <v>487.99897299999998</v>
      </c>
      <c r="T46" s="444">
        <f t="shared" si="1"/>
        <v>6918.4759729999996</v>
      </c>
      <c r="U46" s="445">
        <v>0.64674522325860906</v>
      </c>
      <c r="V46" s="449">
        <f>IFERROR(VLOOKUP(C46,'FY 2023 IMPACT FILE CA'!$A$3:$BG$53,23,FALSE),0)</f>
        <v>0</v>
      </c>
      <c r="W46" s="449">
        <f>IFERROR(VLOOKUP(C46,'FY 2023 IMPACT FILE CA'!$A$3:$BG$53,24,FALSE),0)</f>
        <v>0</v>
      </c>
      <c r="X46" s="441">
        <f t="shared" si="10"/>
        <v>0</v>
      </c>
      <c r="Y46" s="441">
        <f t="shared" si="11"/>
        <v>0</v>
      </c>
      <c r="Z46" s="451">
        <f t="shared" si="7"/>
        <v>0</v>
      </c>
      <c r="AA46" s="449">
        <v>0</v>
      </c>
      <c r="AB46" s="452">
        <f t="shared" si="8"/>
        <v>0</v>
      </c>
      <c r="AC46" s="449">
        <f>IFERROR(VLOOKUP(C46,'Table 15'!$A$479:$B$528,2,FALSE),0)</f>
        <v>0.99939999999999996</v>
      </c>
      <c r="AD46" s="452">
        <f t="shared" si="9"/>
        <v>-3.8582862000002889</v>
      </c>
      <c r="AE46" s="19" t="s">
        <v>144</v>
      </c>
      <c r="AF46" s="455">
        <f t="shared" si="4"/>
        <v>0</v>
      </c>
      <c r="AG46" s="454">
        <f t="shared" si="12"/>
        <v>0</v>
      </c>
    </row>
    <row r="47" spans="1:33" s="14" customFormat="1" x14ac:dyDescent="0.35">
      <c r="A47" s="116">
        <v>1</v>
      </c>
      <c r="B47" s="117">
        <v>60124</v>
      </c>
      <c r="C47" s="118" t="s">
        <v>125</v>
      </c>
      <c r="D47" s="116" t="s">
        <v>126</v>
      </c>
      <c r="E47" s="116" t="s">
        <v>127</v>
      </c>
      <c r="F47" s="381" t="s">
        <v>216</v>
      </c>
      <c r="G47" s="380">
        <v>0</v>
      </c>
      <c r="H47" s="386"/>
      <c r="I47" s="386"/>
      <c r="J47" s="25">
        <v>60124</v>
      </c>
      <c r="K47" s="438" t="str">
        <f>IFERROR(VLOOKUP(C47,'FY 2023 IMPACT FILE CA'!$A$3:$BH$52,58,FALSE),0)</f>
        <v>0</v>
      </c>
      <c r="L47" s="133"/>
      <c r="M47" s="441">
        <f>IF(N47&lt;=1,' FY 2023 CN Tables 1A-1E'!$C$5,' FY 2023 CN Tables 1A-1E'!$B$5)</f>
        <v>4310</v>
      </c>
      <c r="N47" s="442">
        <f>IFERROR(VLOOKUP($C47,'FY 2023 IMPACT FILE CA'!$A$3:$BG$52,12,FALSE),1)</f>
        <v>1.0126999999999999</v>
      </c>
      <c r="O47" s="441">
        <f>IF(N47&lt;=1,' FY 2023 CN Tables 1A-1E'!$C$6,' FY 2023 CN Tables 1A-1E'!$B$6)</f>
        <v>2065.7399999999998</v>
      </c>
      <c r="P47" s="447">
        <f t="shared" si="0"/>
        <v>6430.4769999999999</v>
      </c>
      <c r="Q47" s="443">
        <f>' FY 2023 CN Tables 1A-1E'!$B$33</f>
        <v>483.79</v>
      </c>
      <c r="R47" s="442">
        <f>IFERROR(VLOOKUP(C47,'FY 2023 IMPACT FILE CA'!$A$3:$BG$52,48,FALSE),1)</f>
        <v>1.0086999999999999</v>
      </c>
      <c r="S47" s="447">
        <f t="shared" si="6"/>
        <v>487.99897299999998</v>
      </c>
      <c r="T47" s="448">
        <f t="shared" si="1"/>
        <v>6918.4759729999996</v>
      </c>
      <c r="U47" s="445">
        <v>0</v>
      </c>
      <c r="V47" s="449">
        <f>IFERROR(VLOOKUP(C47,'FY 2023 IMPACT FILE CA'!$A$3:$BG$53,23,FALSE),0)</f>
        <v>0</v>
      </c>
      <c r="W47" s="449">
        <f>IFERROR(VLOOKUP(C47,'FY 2023 IMPACT FILE CA'!$A$3:$BG$53,24,FALSE),0)</f>
        <v>0</v>
      </c>
      <c r="X47" s="447">
        <f t="shared" si="10"/>
        <v>0</v>
      </c>
      <c r="Y47" s="447">
        <f t="shared" si="11"/>
        <v>0</v>
      </c>
      <c r="Z47" s="451">
        <f t="shared" si="7"/>
        <v>0</v>
      </c>
      <c r="AA47" s="449">
        <v>0</v>
      </c>
      <c r="AB47" s="452">
        <f t="shared" si="8"/>
        <v>0</v>
      </c>
      <c r="AC47" s="449">
        <f>IFERROR(VLOOKUP(C47,'Table 15'!$A$479:$B$528,2,FALSE),0)</f>
        <v>1</v>
      </c>
      <c r="AD47" s="452">
        <f t="shared" si="9"/>
        <v>0</v>
      </c>
      <c r="AE47" s="19" t="s">
        <v>144</v>
      </c>
      <c r="AF47" s="456">
        <f t="shared" si="4"/>
        <v>0</v>
      </c>
      <c r="AG47" s="454">
        <f t="shared" si="12"/>
        <v>0</v>
      </c>
    </row>
    <row r="48" spans="1:33" x14ac:dyDescent="0.35">
      <c r="A48" s="19">
        <v>1</v>
      </c>
      <c r="B48" s="25">
        <v>60125</v>
      </c>
      <c r="C48" s="26" t="s">
        <v>128</v>
      </c>
      <c r="D48" s="27" t="s">
        <v>129</v>
      </c>
      <c r="E48" s="27">
        <v>1912249590</v>
      </c>
      <c r="F48" s="381" t="s">
        <v>216</v>
      </c>
      <c r="G48" s="380">
        <v>0</v>
      </c>
      <c r="H48" s="311"/>
      <c r="I48" s="311"/>
      <c r="J48" s="25">
        <v>60125</v>
      </c>
      <c r="K48" s="438" t="str">
        <f>IFERROR(VLOOKUP(C48,'FY 2023 IMPACT FILE CA'!$A$3:$BH$52,58,FALSE),0)</f>
        <v>0</v>
      </c>
      <c r="L48" s="29"/>
      <c r="M48" s="441">
        <f>IF(N48&lt;=1,' FY 2023 CN Tables 1A-1E'!$C$5,' FY 2023 CN Tables 1A-1E'!$B$5)</f>
        <v>4310</v>
      </c>
      <c r="N48" s="442">
        <f>IFERROR(VLOOKUP($C48,'FY 2023 IMPACT FILE CA'!$A$3:$BG$52,12,FALSE),1)</f>
        <v>1.0126999999999999</v>
      </c>
      <c r="O48" s="441">
        <f>IF(N48&lt;=1,' FY 2023 CN Tables 1A-1E'!$C$6,' FY 2023 CN Tables 1A-1E'!$B$6)</f>
        <v>2065.7399999999998</v>
      </c>
      <c r="P48" s="441">
        <f t="shared" si="0"/>
        <v>6430.4769999999999</v>
      </c>
      <c r="Q48" s="443">
        <f>' FY 2023 CN Tables 1A-1E'!$B$33</f>
        <v>483.79</v>
      </c>
      <c r="R48" s="442">
        <f>IFERROR(VLOOKUP(C48,'FY 2023 IMPACT FILE CA'!$A$3:$BG$52,48,FALSE),1)</f>
        <v>1.0086999999999999</v>
      </c>
      <c r="S48" s="441">
        <f t="shared" si="6"/>
        <v>487.99897299999998</v>
      </c>
      <c r="T48" s="444">
        <f t="shared" si="1"/>
        <v>6918.4759729999996</v>
      </c>
      <c r="U48" s="445">
        <v>0</v>
      </c>
      <c r="V48" s="449">
        <f>IFERROR(VLOOKUP(C48,'FY 2023 IMPACT FILE CA'!$A$3:$BG$53,23,FALSE),0)</f>
        <v>0</v>
      </c>
      <c r="W48" s="449">
        <f>IFERROR(VLOOKUP(C48,'FY 2023 IMPACT FILE CA'!$A$3:$BG$53,24,FALSE),0)</f>
        <v>0</v>
      </c>
      <c r="X48" s="441">
        <f t="shared" si="10"/>
        <v>0</v>
      </c>
      <c r="Y48" s="441">
        <f t="shared" si="11"/>
        <v>0</v>
      </c>
      <c r="Z48" s="451">
        <f t="shared" si="7"/>
        <v>0</v>
      </c>
      <c r="AA48" s="449">
        <v>0</v>
      </c>
      <c r="AB48" s="452">
        <f t="shared" si="8"/>
        <v>0</v>
      </c>
      <c r="AC48" s="449">
        <f>IFERROR(VLOOKUP(C48,'Table 15'!$A$479:$B$528,2,FALSE),0)</f>
        <v>0.99670000000000003</v>
      </c>
      <c r="AD48" s="452">
        <f t="shared" si="9"/>
        <v>-21.220574099999805</v>
      </c>
      <c r="AE48" s="19" t="s">
        <v>144</v>
      </c>
      <c r="AF48" s="455">
        <f t="shared" si="4"/>
        <v>0</v>
      </c>
      <c r="AG48" s="454">
        <f t="shared" si="12"/>
        <v>0</v>
      </c>
    </row>
    <row r="49" spans="1:33" x14ac:dyDescent="0.35">
      <c r="A49" s="19">
        <v>1</v>
      </c>
      <c r="B49" s="25">
        <v>60126</v>
      </c>
      <c r="C49" s="26" t="s">
        <v>130</v>
      </c>
      <c r="D49" s="27" t="s">
        <v>131</v>
      </c>
      <c r="E49" s="27">
        <v>1659787554</v>
      </c>
      <c r="F49" s="381" t="s">
        <v>216</v>
      </c>
      <c r="G49" s="380">
        <v>0</v>
      </c>
      <c r="H49" s="311"/>
      <c r="I49" s="311"/>
      <c r="J49" s="25">
        <v>60126</v>
      </c>
      <c r="K49" s="438" t="str">
        <f>IFERROR(VLOOKUP(C49,'FY 2023 IMPACT FILE CA'!$A$3:$BH$52,58,FALSE),0)</f>
        <v>0</v>
      </c>
      <c r="L49" s="29"/>
      <c r="M49" s="441">
        <f>IF(N49&lt;=1,' FY 2023 CN Tables 1A-1E'!$C$5,' FY 2023 CN Tables 1A-1E'!$B$5)</f>
        <v>4310</v>
      </c>
      <c r="N49" s="442">
        <f>IFERROR(VLOOKUP($C49,'FY 2023 IMPACT FILE CA'!$A$3:$BG$52,12,FALSE),1)</f>
        <v>1.0126999999999999</v>
      </c>
      <c r="O49" s="441">
        <f>IF(N49&lt;=1,' FY 2023 CN Tables 1A-1E'!$C$6,' FY 2023 CN Tables 1A-1E'!$B$6)</f>
        <v>2065.7399999999998</v>
      </c>
      <c r="P49" s="441">
        <f t="shared" si="0"/>
        <v>6430.4769999999999</v>
      </c>
      <c r="Q49" s="443">
        <f>' FY 2023 CN Tables 1A-1E'!$B$33</f>
        <v>483.79</v>
      </c>
      <c r="R49" s="442">
        <f>IFERROR(VLOOKUP(C49,'FY 2023 IMPACT FILE CA'!$A$3:$BG$52,48,FALSE),1)</f>
        <v>1.0086999999999999</v>
      </c>
      <c r="S49" s="441">
        <f t="shared" si="6"/>
        <v>487.99897299999998</v>
      </c>
      <c r="T49" s="444">
        <f t="shared" si="1"/>
        <v>6918.4759729999996</v>
      </c>
      <c r="U49" s="445">
        <v>0</v>
      </c>
      <c r="V49" s="449">
        <f>IFERROR(VLOOKUP(C49,'FY 2023 IMPACT FILE CA'!$A$3:$BG$53,23,FALSE),0)</f>
        <v>0</v>
      </c>
      <c r="W49" s="449">
        <f>IFERROR(VLOOKUP(C49,'FY 2023 IMPACT FILE CA'!$A$3:$BG$53,24,FALSE),0)</f>
        <v>0</v>
      </c>
      <c r="X49" s="441">
        <f t="shared" si="10"/>
        <v>0</v>
      </c>
      <c r="Y49" s="441">
        <f t="shared" si="11"/>
        <v>0</v>
      </c>
      <c r="Z49" s="451">
        <f t="shared" si="7"/>
        <v>0</v>
      </c>
      <c r="AA49" s="449">
        <v>0</v>
      </c>
      <c r="AB49" s="452">
        <f t="shared" si="8"/>
        <v>0</v>
      </c>
      <c r="AC49" s="449">
        <f>IFERROR(VLOOKUP(C49,'Table 15'!$A$479:$B$528,2,FALSE),0)</f>
        <v>0.99590000000000001</v>
      </c>
      <c r="AD49" s="452">
        <f t="shared" si="9"/>
        <v>-26.36495569999995</v>
      </c>
      <c r="AE49" s="19" t="s">
        <v>144</v>
      </c>
      <c r="AF49" s="455">
        <f t="shared" si="4"/>
        <v>0</v>
      </c>
      <c r="AG49" s="454">
        <f t="shared" si="12"/>
        <v>0</v>
      </c>
    </row>
    <row r="50" spans="1:33" x14ac:dyDescent="0.35">
      <c r="A50" s="19">
        <v>1</v>
      </c>
      <c r="B50" s="25">
        <v>60128</v>
      </c>
      <c r="C50" s="26" t="s">
        <v>132</v>
      </c>
      <c r="D50" s="27" t="s">
        <v>133</v>
      </c>
      <c r="E50" s="27">
        <v>1154876985</v>
      </c>
      <c r="F50" s="381" t="s">
        <v>216</v>
      </c>
      <c r="G50" s="380">
        <v>0</v>
      </c>
      <c r="H50" s="311"/>
      <c r="I50" s="311"/>
      <c r="J50" s="25">
        <v>60128</v>
      </c>
      <c r="K50" s="438" t="str">
        <f>IFERROR(VLOOKUP(C50,'FY 2023 IMPACT FILE CA'!$A$3:$BH$52,58,FALSE),0)</f>
        <v>0</v>
      </c>
      <c r="L50" s="29"/>
      <c r="M50" s="441">
        <f>IF(N50&lt;=1,' FY 2023 CN Tables 1A-1E'!$C$5,' FY 2023 CN Tables 1A-1E'!$B$5)</f>
        <v>4310</v>
      </c>
      <c r="N50" s="442">
        <f>IFERROR(VLOOKUP($C50,'FY 2023 IMPACT FILE CA'!$A$3:$BG$52,12,FALSE),1)</f>
        <v>1.0126999999999999</v>
      </c>
      <c r="O50" s="441">
        <f>IF(N50&lt;=1,' FY 2023 CN Tables 1A-1E'!$C$6,' FY 2023 CN Tables 1A-1E'!$B$6)</f>
        <v>2065.7399999999998</v>
      </c>
      <c r="P50" s="441">
        <f t="shared" si="0"/>
        <v>6430.4769999999999</v>
      </c>
      <c r="Q50" s="443">
        <f>' FY 2023 CN Tables 1A-1E'!$B$33</f>
        <v>483.79</v>
      </c>
      <c r="R50" s="442">
        <f>IFERROR(VLOOKUP(C50,'FY 2023 IMPACT FILE CA'!$A$3:$BG$52,48,FALSE),1)</f>
        <v>1.0086999999999999</v>
      </c>
      <c r="S50" s="441">
        <f t="shared" si="6"/>
        <v>487.99897299999998</v>
      </c>
      <c r="T50" s="444">
        <f t="shared" si="1"/>
        <v>6918.4759729999996</v>
      </c>
      <c r="U50" s="445">
        <v>0</v>
      </c>
      <c r="V50" s="449">
        <f>IFERROR(VLOOKUP(C50,'FY 2023 IMPACT FILE CA'!$A$3:$BG$53,23,FALSE),0)</f>
        <v>0</v>
      </c>
      <c r="W50" s="449">
        <f>IFERROR(VLOOKUP(C50,'FY 2023 IMPACT FILE CA'!$A$3:$BG$53,24,FALSE),0)</f>
        <v>0</v>
      </c>
      <c r="X50" s="441">
        <f t="shared" si="10"/>
        <v>0</v>
      </c>
      <c r="Y50" s="441">
        <f t="shared" si="11"/>
        <v>0</v>
      </c>
      <c r="Z50" s="451">
        <f t="shared" si="7"/>
        <v>0</v>
      </c>
      <c r="AA50" s="449">
        <v>0</v>
      </c>
      <c r="AB50" s="452">
        <f t="shared" si="8"/>
        <v>0</v>
      </c>
      <c r="AC50" s="449">
        <f>IFERROR(VLOOKUP(C50,'Table 15'!$A$479:$B$528,2,FALSE),0)</f>
        <v>1</v>
      </c>
      <c r="AD50" s="452">
        <f t="shared" si="9"/>
        <v>0</v>
      </c>
      <c r="AE50" s="19" t="s">
        <v>144</v>
      </c>
      <c r="AF50" s="455">
        <f t="shared" si="4"/>
        <v>0</v>
      </c>
      <c r="AG50" s="454">
        <f t="shared" si="12"/>
        <v>0</v>
      </c>
    </row>
    <row r="51" spans="1:33" x14ac:dyDescent="0.35">
      <c r="A51" s="19">
        <v>1</v>
      </c>
      <c r="B51" s="25">
        <v>60129</v>
      </c>
      <c r="C51" s="26" t="s">
        <v>134</v>
      </c>
      <c r="D51" s="27" t="s">
        <v>135</v>
      </c>
      <c r="E51" s="27">
        <v>1528442357</v>
      </c>
      <c r="F51" s="381" t="s">
        <v>216</v>
      </c>
      <c r="G51" s="380">
        <v>0</v>
      </c>
      <c r="H51" s="311"/>
      <c r="I51" s="311"/>
      <c r="J51" s="25">
        <v>60129</v>
      </c>
      <c r="K51" s="438" t="str">
        <f>IFERROR(VLOOKUP(C51,'FY 2023 IMPACT FILE CA'!$A$3:$BH$52,58,FALSE),0)</f>
        <v>0</v>
      </c>
      <c r="L51" s="31"/>
      <c r="M51" s="441">
        <f>IF(N51&lt;=1,' FY 2023 CN Tables 1A-1E'!$C$5,' FY 2023 CN Tables 1A-1E'!$B$5)</f>
        <v>4310</v>
      </c>
      <c r="N51" s="442">
        <f>IFERROR(VLOOKUP($C51,'FY 2023 IMPACT FILE CA'!$A$3:$BG$52,12,FALSE),1)</f>
        <v>1.0126999999999999</v>
      </c>
      <c r="O51" s="441">
        <f>IF(N51&lt;=1,' FY 2023 CN Tables 1A-1E'!$C$6,' FY 2023 CN Tables 1A-1E'!$B$6)</f>
        <v>2065.7399999999998</v>
      </c>
      <c r="P51" s="441">
        <f t="shared" si="0"/>
        <v>6430.4769999999999</v>
      </c>
      <c r="Q51" s="443">
        <f>' FY 2023 CN Tables 1A-1E'!$B$33</f>
        <v>483.79</v>
      </c>
      <c r="R51" s="442">
        <f>IFERROR(VLOOKUP(C51,'FY 2023 IMPACT FILE CA'!$A$3:$BG$52,48,FALSE),1)</f>
        <v>1.0086999999999999</v>
      </c>
      <c r="S51" s="441">
        <f t="shared" si="6"/>
        <v>487.99897299999998</v>
      </c>
      <c r="T51" s="444">
        <f t="shared" si="1"/>
        <v>6918.4759729999996</v>
      </c>
      <c r="U51" s="445">
        <v>0</v>
      </c>
      <c r="V51" s="449">
        <f>IFERROR(VLOOKUP(C51,'FY 2023 IMPACT FILE CA'!$A$3:$BG$53,23,FALSE),0)</f>
        <v>0</v>
      </c>
      <c r="W51" s="449">
        <f>IFERROR(VLOOKUP(C51,'FY 2023 IMPACT FILE CA'!$A$3:$BG$53,24,FALSE),0)</f>
        <v>0</v>
      </c>
      <c r="X51" s="441">
        <f t="shared" si="10"/>
        <v>0</v>
      </c>
      <c r="Y51" s="441">
        <f t="shared" si="11"/>
        <v>0</v>
      </c>
      <c r="Z51" s="451">
        <f t="shared" si="7"/>
        <v>0</v>
      </c>
      <c r="AA51" s="449">
        <v>0</v>
      </c>
      <c r="AB51" s="452">
        <f t="shared" si="8"/>
        <v>0</v>
      </c>
      <c r="AC51" s="449">
        <f>IFERROR(VLOOKUP(C51,'Table 15'!$A$479:$B$528,2,FALSE),0)</f>
        <v>0.99209999999999998</v>
      </c>
      <c r="AD51" s="452">
        <f t="shared" si="9"/>
        <v>-50.800768300000115</v>
      </c>
      <c r="AE51" s="19" t="s">
        <v>144</v>
      </c>
      <c r="AF51" s="455">
        <f t="shared" si="4"/>
        <v>0</v>
      </c>
      <c r="AG51" s="454">
        <f t="shared" si="12"/>
        <v>0</v>
      </c>
    </row>
    <row r="52" spans="1:33" x14ac:dyDescent="0.35">
      <c r="A52" s="19">
        <v>1</v>
      </c>
      <c r="B52" s="25">
        <v>60130</v>
      </c>
      <c r="C52" s="26" t="s">
        <v>136</v>
      </c>
      <c r="D52" s="27" t="s">
        <v>137</v>
      </c>
      <c r="E52" s="27">
        <v>1619351160</v>
      </c>
      <c r="F52" s="381" t="s">
        <v>216</v>
      </c>
      <c r="G52" s="380">
        <v>0</v>
      </c>
      <c r="H52" s="311"/>
      <c r="I52" s="311"/>
      <c r="J52" s="25">
        <v>60130</v>
      </c>
      <c r="K52" s="438" t="str">
        <f>IFERROR(VLOOKUP(C52,'FY 2023 IMPACT FILE CA'!$A$3:$BH$52,58,FALSE),0)</f>
        <v>0</v>
      </c>
      <c r="L52" s="31"/>
      <c r="M52" s="441">
        <f>IF(N52&lt;=1,' FY 2023 CN Tables 1A-1E'!$C$5,' FY 2023 CN Tables 1A-1E'!$B$5)</f>
        <v>4310</v>
      </c>
      <c r="N52" s="442">
        <f>IFERROR(VLOOKUP($C52,'FY 2023 IMPACT FILE CA'!$A$3:$BG$52,12,FALSE),1)</f>
        <v>1.0126999999999999</v>
      </c>
      <c r="O52" s="441">
        <f>IF(N52&lt;=1,' FY 2023 CN Tables 1A-1E'!$C$6,' FY 2023 CN Tables 1A-1E'!$B$6)</f>
        <v>2065.7399999999998</v>
      </c>
      <c r="P52" s="441">
        <f t="shared" si="0"/>
        <v>6430.4769999999999</v>
      </c>
      <c r="Q52" s="443">
        <f>' FY 2023 CN Tables 1A-1E'!$B$33</f>
        <v>483.79</v>
      </c>
      <c r="R52" s="442">
        <f>IFERROR(VLOOKUP(C52,'FY 2023 IMPACT FILE CA'!$A$3:$BG$52,48,FALSE),1)</f>
        <v>1.0086999999999999</v>
      </c>
      <c r="S52" s="441">
        <f t="shared" si="6"/>
        <v>487.99897299999998</v>
      </c>
      <c r="T52" s="444">
        <f t="shared" si="1"/>
        <v>6918.4759729999996</v>
      </c>
      <c r="U52" s="445">
        <v>0</v>
      </c>
      <c r="V52" s="449">
        <f>IFERROR(VLOOKUP(C52,'FY 2023 IMPACT FILE CA'!$A$3:$BG$53,23,FALSE),0)</f>
        <v>0</v>
      </c>
      <c r="W52" s="449">
        <f>IFERROR(VLOOKUP(C52,'FY 2023 IMPACT FILE CA'!$A$3:$BG$53,24,FALSE),0)</f>
        <v>0</v>
      </c>
      <c r="X52" s="441">
        <f t="shared" si="10"/>
        <v>0</v>
      </c>
      <c r="Y52" s="441">
        <f t="shared" si="11"/>
        <v>0</v>
      </c>
      <c r="Z52" s="451">
        <f t="shared" si="7"/>
        <v>0</v>
      </c>
      <c r="AA52" s="449">
        <v>0</v>
      </c>
      <c r="AB52" s="452">
        <f t="shared" si="8"/>
        <v>0</v>
      </c>
      <c r="AC52" s="449">
        <f>IFERROR(VLOOKUP(C52,'Table 15'!$A$479:$B$528,2,FALSE),0)</f>
        <v>1</v>
      </c>
      <c r="AD52" s="452">
        <f t="shared" si="9"/>
        <v>0</v>
      </c>
      <c r="AE52" s="19" t="s">
        <v>144</v>
      </c>
      <c r="AF52" s="455">
        <f t="shared" si="4"/>
        <v>0</v>
      </c>
      <c r="AG52" s="454">
        <f t="shared" si="12"/>
        <v>0</v>
      </c>
    </row>
    <row r="53" spans="1:33" x14ac:dyDescent="0.35">
      <c r="A53" s="19">
        <v>1</v>
      </c>
      <c r="B53" s="25">
        <v>60131</v>
      </c>
      <c r="C53" s="32" t="s">
        <v>138</v>
      </c>
      <c r="D53" s="27" t="s">
        <v>139</v>
      </c>
      <c r="E53" s="33">
        <v>1780183145</v>
      </c>
      <c r="F53" s="381" t="s">
        <v>216</v>
      </c>
      <c r="G53" s="380">
        <v>0</v>
      </c>
      <c r="H53" s="311"/>
      <c r="I53" s="311"/>
      <c r="J53" s="25">
        <v>60131</v>
      </c>
      <c r="K53" s="438" t="str">
        <f>IFERROR(VLOOKUP(C53,'FY 2023 IMPACT FILE CA'!$A$3:$BH$52,58,FALSE),0)</f>
        <v>0</v>
      </c>
      <c r="L53" s="34"/>
      <c r="M53" s="441">
        <f>IF(N53&lt;=1,' FY 2023 CN Tables 1A-1E'!$C$5,' FY 2023 CN Tables 1A-1E'!$B$5)</f>
        <v>4310</v>
      </c>
      <c r="N53" s="442">
        <f>IFERROR(VLOOKUP($C53,'FY 2023 IMPACT FILE CA'!$A$3:$BG$52,12,FALSE),1)</f>
        <v>1.0192999999999999</v>
      </c>
      <c r="O53" s="441">
        <f>IF(N53&lt;=1,' FY 2023 CN Tables 1A-1E'!$C$6,' FY 2023 CN Tables 1A-1E'!$B$6)</f>
        <v>2065.7399999999998</v>
      </c>
      <c r="P53" s="441">
        <f t="shared" si="0"/>
        <v>6458.9229999999989</v>
      </c>
      <c r="Q53" s="443">
        <f>' FY 2023 CN Tables 1A-1E'!$B$33</f>
        <v>483.79</v>
      </c>
      <c r="R53" s="442">
        <f>IFERROR(VLOOKUP(C53,'FY 2023 IMPACT FILE CA'!$A$3:$BG$52,48,FALSE),1)</f>
        <v>1.0132000000000001</v>
      </c>
      <c r="S53" s="441">
        <f t="shared" si="6"/>
        <v>490.17602800000009</v>
      </c>
      <c r="T53" s="444">
        <f t="shared" si="1"/>
        <v>6949.0990279999987</v>
      </c>
      <c r="U53" s="445">
        <v>0</v>
      </c>
      <c r="V53" s="449">
        <f>IFERROR(VLOOKUP(C53,'FY 2023 IMPACT FILE CA'!$A$3:$BG$53,23,FALSE),0)</f>
        <v>0</v>
      </c>
      <c r="W53" s="449">
        <f>IFERROR(VLOOKUP(C53,'FY 2023 IMPACT FILE CA'!$A$3:$BG$53,24,FALSE),0)</f>
        <v>0</v>
      </c>
      <c r="X53" s="441">
        <f t="shared" si="10"/>
        <v>0</v>
      </c>
      <c r="Y53" s="441">
        <f t="shared" si="11"/>
        <v>0</v>
      </c>
      <c r="Z53" s="451">
        <f t="shared" si="7"/>
        <v>0</v>
      </c>
      <c r="AA53" s="449">
        <v>0</v>
      </c>
      <c r="AB53" s="452">
        <f t="shared" si="8"/>
        <v>0</v>
      </c>
      <c r="AC53" s="449">
        <f>IFERROR(VLOOKUP(C53,'Table 15'!$A$479:$B$528,2,FALSE),0)</f>
        <v>1</v>
      </c>
      <c r="AD53" s="452">
        <f t="shared" si="9"/>
        <v>0</v>
      </c>
      <c r="AE53" s="19" t="s">
        <v>144</v>
      </c>
      <c r="AF53" s="455">
        <f t="shared" si="4"/>
        <v>0</v>
      </c>
      <c r="AG53" s="454">
        <f t="shared" si="12"/>
        <v>0</v>
      </c>
    </row>
    <row r="54" spans="1:33" x14ac:dyDescent="0.35">
      <c r="A54" s="19">
        <v>1</v>
      </c>
      <c r="B54" s="25">
        <v>60132</v>
      </c>
      <c r="C54" s="32" t="s">
        <v>140</v>
      </c>
      <c r="D54" s="27" t="s">
        <v>141</v>
      </c>
      <c r="E54" s="33">
        <v>1891294518</v>
      </c>
      <c r="F54" s="381" t="s">
        <v>216</v>
      </c>
      <c r="G54" s="380">
        <v>0</v>
      </c>
      <c r="H54" s="311"/>
      <c r="I54" s="311"/>
      <c r="J54" s="25">
        <v>60132</v>
      </c>
      <c r="K54" s="438" t="str">
        <f>IFERROR(VLOOKUP(C54,'FY 2023 IMPACT FILE CA'!$A$3:$BH$52,58,FALSE),0)</f>
        <v>0</v>
      </c>
      <c r="L54" s="34"/>
      <c r="M54" s="441">
        <f>IF(N54&lt;=1,' FY 2023 CN Tables 1A-1E'!$C$5,' FY 2023 CN Tables 1A-1E'!$B$5)</f>
        <v>4310</v>
      </c>
      <c r="N54" s="442">
        <f>IFERROR(VLOOKUP($C54,'FY 2023 IMPACT FILE CA'!$A$3:$BG$52,12,FALSE),1)</f>
        <v>1.0126999999999999</v>
      </c>
      <c r="O54" s="441">
        <f>IF(N54&lt;=1,' FY 2023 CN Tables 1A-1E'!$C$6,' FY 2023 CN Tables 1A-1E'!$B$6)</f>
        <v>2065.7399999999998</v>
      </c>
      <c r="P54" s="441">
        <f t="shared" si="0"/>
        <v>6430.4769999999999</v>
      </c>
      <c r="Q54" s="443">
        <f>' FY 2023 CN Tables 1A-1E'!$B$33</f>
        <v>483.79</v>
      </c>
      <c r="R54" s="442">
        <f>IFERROR(VLOOKUP(C54,'FY 2023 IMPACT FILE CA'!$A$3:$BG$52,48,FALSE),1)</f>
        <v>1.0086999999999999</v>
      </c>
      <c r="S54" s="441">
        <f t="shared" si="6"/>
        <v>487.99897299999998</v>
      </c>
      <c r="T54" s="444">
        <f t="shared" si="1"/>
        <v>6918.4759729999996</v>
      </c>
      <c r="U54" s="445">
        <v>1.3111256846449504</v>
      </c>
      <c r="V54" s="449">
        <f>IFERROR(VLOOKUP(C54,'FY 2023 IMPACT FILE CA'!$A$3:$BG$53,23,FALSE),0)</f>
        <v>0</v>
      </c>
      <c r="W54" s="449">
        <f>IFERROR(VLOOKUP(C54,'FY 2023 IMPACT FILE CA'!$A$3:$BG$53,24,FALSE),0)</f>
        <v>0</v>
      </c>
      <c r="X54" s="441">
        <f t="shared" si="10"/>
        <v>0</v>
      </c>
      <c r="Y54" s="441">
        <f t="shared" si="11"/>
        <v>0</v>
      </c>
      <c r="Z54" s="451">
        <f t="shared" si="7"/>
        <v>0</v>
      </c>
      <c r="AA54" s="449">
        <v>0</v>
      </c>
      <c r="AB54" s="452">
        <f t="shared" si="8"/>
        <v>0</v>
      </c>
      <c r="AC54" s="449">
        <f>IFERROR(VLOOKUP(C54,'Table 15'!$A$479:$B$528,2,FALSE),0)</f>
        <v>1</v>
      </c>
      <c r="AD54" s="452">
        <f t="shared" si="9"/>
        <v>0</v>
      </c>
      <c r="AE54" s="19" t="s">
        <v>144</v>
      </c>
      <c r="AF54" s="455">
        <f t="shared" si="4"/>
        <v>0</v>
      </c>
      <c r="AG54" s="454">
        <f t="shared" si="12"/>
        <v>0</v>
      </c>
    </row>
    <row r="55" spans="1:33" x14ac:dyDescent="0.35">
      <c r="A55" s="19">
        <v>13</v>
      </c>
      <c r="B55" s="25">
        <v>61300</v>
      </c>
      <c r="C55" s="26" t="s">
        <v>142</v>
      </c>
      <c r="D55" s="27" t="s">
        <v>143</v>
      </c>
      <c r="E55" s="27">
        <v>1366452732</v>
      </c>
      <c r="F55" s="381" t="s">
        <v>1</v>
      </c>
      <c r="G55" s="380">
        <v>1</v>
      </c>
      <c r="H55" s="311"/>
      <c r="I55" s="311"/>
      <c r="J55" s="25">
        <v>61300</v>
      </c>
      <c r="K55" s="440">
        <f>IFERROR(VLOOKUP(C55,'FY 2023 IMPACT FILE CA'!$A$3:$BH$52,58,FALSE),0)</f>
        <v>0</v>
      </c>
      <c r="L55" s="29"/>
      <c r="M55" s="441">
        <f>IF(N55&lt;=1,' FY 2023 CN Tables 1A-1E'!$C$5,' FY 2023 CN Tables 1A-1E'!$B$5)</f>
        <v>3952.96</v>
      </c>
      <c r="N55" s="442">
        <f>IFERROR(VLOOKUP($C55,'FY 2023 IMPACT FILE CA'!$A$3:$BG$52,12,FALSE),1)</f>
        <v>1</v>
      </c>
      <c r="O55" s="441">
        <f>IF(N55&lt;=1,' FY 2023 CN Tables 1A-1E'!$C$6,' FY 2023 CN Tables 1A-1E'!$B$6)</f>
        <v>2422.7800000000002</v>
      </c>
      <c r="P55" s="441">
        <f t="shared" si="0"/>
        <v>6375.74</v>
      </c>
      <c r="Q55" s="443">
        <f>' FY 2023 CN Tables 1A-1E'!$B$33</f>
        <v>483.79</v>
      </c>
      <c r="R55" s="442">
        <f>IFERROR(VLOOKUP(C55,'FY 2023 IMPACT FILE CA'!$A$3:$BG$52,48,FALSE),1)</f>
        <v>1</v>
      </c>
      <c r="S55" s="441">
        <f t="shared" si="6"/>
        <v>483.79</v>
      </c>
      <c r="T55" s="444">
        <f t="shared" si="1"/>
        <v>6859.53</v>
      </c>
      <c r="U55" s="445">
        <v>0</v>
      </c>
      <c r="V55" s="449">
        <f>IFERROR(VLOOKUP(C55,'FY 2023 IMPACT FILE CA'!$A$3:$BG$53,23,FALSE),0)</f>
        <v>0</v>
      </c>
      <c r="W55" s="449">
        <f>IFERROR(VLOOKUP(C55,'FY 2023 IMPACT FILE CA'!$A$3:$BG$53,24,FALSE),0)</f>
        <v>0</v>
      </c>
      <c r="X55" s="441">
        <f t="shared" si="10"/>
        <v>0</v>
      </c>
      <c r="Y55" s="441">
        <f t="shared" si="11"/>
        <v>0</v>
      </c>
      <c r="Z55" s="451">
        <f t="shared" si="7"/>
        <v>0</v>
      </c>
      <c r="AA55" s="449">
        <v>0</v>
      </c>
      <c r="AB55" s="452">
        <f t="shared" si="8"/>
        <v>0</v>
      </c>
      <c r="AC55" s="449">
        <f>IFERROR(VLOOKUP(C55,'Table 15'!$A$479:$B$528,2,FALSE),0)</f>
        <v>0</v>
      </c>
      <c r="AD55" s="452">
        <f t="shared" si="9"/>
        <v>0</v>
      </c>
      <c r="AE55" s="19" t="s">
        <v>144</v>
      </c>
      <c r="AF55" s="455">
        <f t="shared" si="4"/>
        <v>0</v>
      </c>
      <c r="AG55" s="454">
        <f t="shared" si="12"/>
        <v>0</v>
      </c>
    </row>
    <row r="56" spans="1:33" x14ac:dyDescent="0.35">
      <c r="A56" s="19">
        <v>13</v>
      </c>
      <c r="B56" s="25">
        <v>61301</v>
      </c>
      <c r="C56" s="26" t="s">
        <v>145</v>
      </c>
      <c r="D56" s="27" t="s">
        <v>146</v>
      </c>
      <c r="E56" s="27">
        <v>1396783981</v>
      </c>
      <c r="F56" s="381" t="s">
        <v>1</v>
      </c>
      <c r="G56" s="380">
        <v>1</v>
      </c>
      <c r="H56" s="311"/>
      <c r="I56" s="311"/>
      <c r="J56" s="25">
        <v>61301</v>
      </c>
      <c r="K56" s="440">
        <f>IFERROR(VLOOKUP(C56,'FY 2023 IMPACT FILE CA'!$A$3:$BH$52,58,FALSE),0)</f>
        <v>0</v>
      </c>
      <c r="L56" s="29"/>
      <c r="M56" s="441">
        <f>IF(N56&lt;=1,' FY 2023 CN Tables 1A-1E'!$C$5,' FY 2023 CN Tables 1A-1E'!$B$5)</f>
        <v>3952.96</v>
      </c>
      <c r="N56" s="442">
        <f>IFERROR(VLOOKUP($C56,'FY 2023 IMPACT FILE CA'!$A$3:$BG$52,12,FALSE),1)</f>
        <v>1</v>
      </c>
      <c r="O56" s="441">
        <f>IF(N56&lt;=1,' FY 2023 CN Tables 1A-1E'!$C$6,' FY 2023 CN Tables 1A-1E'!$B$6)</f>
        <v>2422.7800000000002</v>
      </c>
      <c r="P56" s="441">
        <f t="shared" si="0"/>
        <v>6375.74</v>
      </c>
      <c r="Q56" s="443">
        <f>' FY 2023 CN Tables 1A-1E'!$B$33</f>
        <v>483.79</v>
      </c>
      <c r="R56" s="442">
        <f>IFERROR(VLOOKUP(C56,'FY 2023 IMPACT FILE CA'!$A$3:$BG$52,48,FALSE),1)</f>
        <v>1</v>
      </c>
      <c r="S56" s="441">
        <f t="shared" si="6"/>
        <v>483.79</v>
      </c>
      <c r="T56" s="444">
        <f t="shared" si="1"/>
        <v>6859.53</v>
      </c>
      <c r="U56" s="445">
        <v>0</v>
      </c>
      <c r="V56" s="449">
        <f>IFERROR(VLOOKUP(C56,'FY 2023 IMPACT FILE CA'!$A$3:$BG$53,23,FALSE),0)</f>
        <v>0</v>
      </c>
      <c r="W56" s="449">
        <f>IFERROR(VLOOKUP(C56,'FY 2023 IMPACT FILE CA'!$A$3:$BG$53,24,FALSE),0)</f>
        <v>0</v>
      </c>
      <c r="X56" s="441">
        <f t="shared" si="10"/>
        <v>0</v>
      </c>
      <c r="Y56" s="441">
        <f t="shared" si="11"/>
        <v>0</v>
      </c>
      <c r="Z56" s="451">
        <f t="shared" si="7"/>
        <v>0</v>
      </c>
      <c r="AA56" s="449">
        <v>0</v>
      </c>
      <c r="AB56" s="452">
        <f t="shared" si="8"/>
        <v>0</v>
      </c>
      <c r="AC56" s="449">
        <f>IFERROR(VLOOKUP(C56,'Table 15'!$A$479:$B$528,2,FALSE),0)</f>
        <v>0</v>
      </c>
      <c r="AD56" s="452">
        <f t="shared" si="9"/>
        <v>0</v>
      </c>
      <c r="AE56" s="19" t="s">
        <v>144</v>
      </c>
      <c r="AF56" s="455">
        <f t="shared" si="4"/>
        <v>0</v>
      </c>
      <c r="AG56" s="454">
        <f t="shared" si="12"/>
        <v>0</v>
      </c>
    </row>
    <row r="57" spans="1:33" x14ac:dyDescent="0.35">
      <c r="A57" s="19">
        <v>13</v>
      </c>
      <c r="B57" s="25">
        <v>61302</v>
      </c>
      <c r="C57" s="26" t="s">
        <v>147</v>
      </c>
      <c r="D57" s="27" t="s">
        <v>148</v>
      </c>
      <c r="E57" s="27">
        <v>1861496697</v>
      </c>
      <c r="F57" s="381" t="s">
        <v>1</v>
      </c>
      <c r="G57" s="380">
        <v>0</v>
      </c>
      <c r="H57" s="311"/>
      <c r="I57" s="311"/>
      <c r="J57" s="25">
        <v>61302</v>
      </c>
      <c r="K57" s="440">
        <f>IFERROR(VLOOKUP(C57,'FY 2023 IMPACT FILE CA'!$A$3:$BH$52,58,FALSE),0)</f>
        <v>0</v>
      </c>
      <c r="L57" s="29"/>
      <c r="M57" s="441">
        <f>IF(N57&lt;=1,' FY 2023 CN Tables 1A-1E'!$C$5,' FY 2023 CN Tables 1A-1E'!$B$5)</f>
        <v>3952.96</v>
      </c>
      <c r="N57" s="442">
        <f>IFERROR(VLOOKUP($C57,'FY 2023 IMPACT FILE CA'!$A$3:$BG$52,12,FALSE),1)</f>
        <v>1</v>
      </c>
      <c r="O57" s="441">
        <f>IF(N57&lt;=1,' FY 2023 CN Tables 1A-1E'!$C$6,' FY 2023 CN Tables 1A-1E'!$B$6)</f>
        <v>2422.7800000000002</v>
      </c>
      <c r="P57" s="441">
        <f t="shared" si="0"/>
        <v>6375.74</v>
      </c>
      <c r="Q57" s="443">
        <f>' FY 2023 CN Tables 1A-1E'!$B$33</f>
        <v>483.79</v>
      </c>
      <c r="R57" s="442">
        <f>IFERROR(VLOOKUP(C57,'FY 2023 IMPACT FILE CA'!$A$3:$BG$52,48,FALSE),1)</f>
        <v>1</v>
      </c>
      <c r="S57" s="441">
        <f t="shared" si="6"/>
        <v>483.79</v>
      </c>
      <c r="T57" s="444">
        <f t="shared" si="1"/>
        <v>6859.53</v>
      </c>
      <c r="U57" s="445">
        <v>0</v>
      </c>
      <c r="V57" s="449">
        <f>IFERROR(VLOOKUP(C57,'FY 2023 IMPACT FILE CA'!$A$3:$BG$53,23,FALSE),0)</f>
        <v>0</v>
      </c>
      <c r="W57" s="449">
        <f>IFERROR(VLOOKUP(C57,'FY 2023 IMPACT FILE CA'!$A$3:$BG$53,24,FALSE),0)</f>
        <v>0</v>
      </c>
      <c r="X57" s="441">
        <f t="shared" si="10"/>
        <v>0</v>
      </c>
      <c r="Y57" s="441">
        <f t="shared" si="11"/>
        <v>0</v>
      </c>
      <c r="Z57" s="451">
        <f t="shared" si="7"/>
        <v>0</v>
      </c>
      <c r="AA57" s="449">
        <v>0</v>
      </c>
      <c r="AB57" s="452">
        <f t="shared" si="8"/>
        <v>0</v>
      </c>
      <c r="AC57" s="449">
        <f>IFERROR(VLOOKUP(C57,'Table 15'!$A$479:$B$528,2,FALSE),0)</f>
        <v>0</v>
      </c>
      <c r="AD57" s="452">
        <f t="shared" si="9"/>
        <v>0</v>
      </c>
      <c r="AE57" s="19" t="s">
        <v>144</v>
      </c>
      <c r="AF57" s="455">
        <f t="shared" si="4"/>
        <v>0</v>
      </c>
      <c r="AG57" s="454">
        <f t="shared" si="12"/>
        <v>0</v>
      </c>
    </row>
    <row r="58" spans="1:33" x14ac:dyDescent="0.35">
      <c r="A58" s="19">
        <v>13</v>
      </c>
      <c r="B58" s="25">
        <v>61303</v>
      </c>
      <c r="C58" s="26" t="s">
        <v>149</v>
      </c>
      <c r="D58" s="27" t="s">
        <v>150</v>
      </c>
      <c r="E58" s="27">
        <v>1699708743</v>
      </c>
      <c r="F58" s="381" t="s">
        <v>1</v>
      </c>
      <c r="G58" s="380">
        <v>1</v>
      </c>
      <c r="H58" s="311"/>
      <c r="I58" s="311"/>
      <c r="J58" s="25">
        <v>61303</v>
      </c>
      <c r="K58" s="440">
        <f>IFERROR(VLOOKUP(C58,'FY 2023 IMPACT FILE CA'!$A$3:$BH$52,58,FALSE),0)</f>
        <v>0</v>
      </c>
      <c r="L58" s="29"/>
      <c r="M58" s="441">
        <f>IF(N58&lt;=1,' FY 2023 CN Tables 1A-1E'!$C$5,' FY 2023 CN Tables 1A-1E'!$B$5)</f>
        <v>3952.96</v>
      </c>
      <c r="N58" s="442">
        <f>IFERROR(VLOOKUP($C58,'FY 2023 IMPACT FILE CA'!$A$3:$BG$52,12,FALSE),1)</f>
        <v>1</v>
      </c>
      <c r="O58" s="441">
        <f>IF(N58&lt;=1,' FY 2023 CN Tables 1A-1E'!$C$6,' FY 2023 CN Tables 1A-1E'!$B$6)</f>
        <v>2422.7800000000002</v>
      </c>
      <c r="P58" s="441">
        <f t="shared" si="0"/>
        <v>6375.74</v>
      </c>
      <c r="Q58" s="443">
        <f>' FY 2023 CN Tables 1A-1E'!$B$33</f>
        <v>483.79</v>
      </c>
      <c r="R58" s="442">
        <f>IFERROR(VLOOKUP(C58,'FY 2023 IMPACT FILE CA'!$A$3:$BG$52,48,FALSE),1)</f>
        <v>1</v>
      </c>
      <c r="S58" s="441">
        <f t="shared" si="6"/>
        <v>483.79</v>
      </c>
      <c r="T58" s="444">
        <f t="shared" si="1"/>
        <v>6859.53</v>
      </c>
      <c r="U58" s="445">
        <v>0</v>
      </c>
      <c r="V58" s="449">
        <f>IFERROR(VLOOKUP(C58,'FY 2023 IMPACT FILE CA'!$A$3:$BG$53,23,FALSE),0)</f>
        <v>0</v>
      </c>
      <c r="W58" s="449">
        <f>IFERROR(VLOOKUP(C58,'FY 2023 IMPACT FILE CA'!$A$3:$BG$53,24,FALSE),0)</f>
        <v>0</v>
      </c>
      <c r="X58" s="441">
        <f t="shared" si="10"/>
        <v>0</v>
      </c>
      <c r="Y58" s="441">
        <f t="shared" si="11"/>
        <v>0</v>
      </c>
      <c r="Z58" s="451">
        <f t="shared" si="7"/>
        <v>0</v>
      </c>
      <c r="AA58" s="449">
        <v>0</v>
      </c>
      <c r="AB58" s="452">
        <f t="shared" si="8"/>
        <v>0</v>
      </c>
      <c r="AC58" s="449">
        <f>IFERROR(VLOOKUP(C58,'Table 15'!$A$479:$B$528,2,FALSE),0)</f>
        <v>0</v>
      </c>
      <c r="AD58" s="452">
        <f t="shared" si="9"/>
        <v>0</v>
      </c>
      <c r="AE58" s="19" t="s">
        <v>144</v>
      </c>
      <c r="AF58" s="455">
        <f t="shared" si="4"/>
        <v>0</v>
      </c>
      <c r="AG58" s="454">
        <f t="shared" si="12"/>
        <v>0</v>
      </c>
    </row>
    <row r="59" spans="1:33" x14ac:dyDescent="0.35">
      <c r="A59" s="19">
        <v>13</v>
      </c>
      <c r="B59" s="25">
        <v>61304</v>
      </c>
      <c r="C59" s="26" t="s">
        <v>151</v>
      </c>
      <c r="D59" s="32" t="s">
        <v>152</v>
      </c>
      <c r="E59" s="27">
        <v>1336103811</v>
      </c>
      <c r="F59" s="381" t="s">
        <v>1</v>
      </c>
      <c r="G59" s="380">
        <v>1</v>
      </c>
      <c r="H59" s="311"/>
      <c r="I59" s="311"/>
      <c r="J59" s="25">
        <v>61304</v>
      </c>
      <c r="K59" s="440">
        <f>IFERROR(VLOOKUP(C59,'FY 2023 IMPACT FILE CA'!$A$3:$BH$52,58,FALSE),0)</f>
        <v>0</v>
      </c>
      <c r="L59" s="29"/>
      <c r="M59" s="441">
        <f>IF(N59&lt;=1,' FY 2023 CN Tables 1A-1E'!$C$5,' FY 2023 CN Tables 1A-1E'!$B$5)</f>
        <v>3952.96</v>
      </c>
      <c r="N59" s="442">
        <f>IFERROR(VLOOKUP($C59,'FY 2023 IMPACT FILE CA'!$A$3:$BG$52,12,FALSE),1)</f>
        <v>1</v>
      </c>
      <c r="O59" s="441">
        <f>IF(N59&lt;=1,' FY 2023 CN Tables 1A-1E'!$C$6,' FY 2023 CN Tables 1A-1E'!$B$6)</f>
        <v>2422.7800000000002</v>
      </c>
      <c r="P59" s="441">
        <f t="shared" si="0"/>
        <v>6375.74</v>
      </c>
      <c r="Q59" s="443">
        <f>' FY 2023 CN Tables 1A-1E'!$B$33</f>
        <v>483.79</v>
      </c>
      <c r="R59" s="442">
        <f>IFERROR(VLOOKUP(C59,'FY 2023 IMPACT FILE CA'!$A$3:$BG$52,48,FALSE),1)</f>
        <v>1</v>
      </c>
      <c r="S59" s="441">
        <f t="shared" si="6"/>
        <v>483.79</v>
      </c>
      <c r="T59" s="444">
        <f t="shared" si="1"/>
        <v>6859.53</v>
      </c>
      <c r="U59" s="445">
        <v>0</v>
      </c>
      <c r="V59" s="449">
        <f>IFERROR(VLOOKUP(C59,'FY 2023 IMPACT FILE CA'!$A$3:$BG$53,23,FALSE),0)</f>
        <v>0</v>
      </c>
      <c r="W59" s="449">
        <f>IFERROR(VLOOKUP(C59,'FY 2023 IMPACT FILE CA'!$A$3:$BG$53,24,FALSE),0)</f>
        <v>0</v>
      </c>
      <c r="X59" s="441">
        <f t="shared" si="10"/>
        <v>0</v>
      </c>
      <c r="Y59" s="441">
        <f t="shared" si="11"/>
        <v>0</v>
      </c>
      <c r="Z59" s="451">
        <f t="shared" si="7"/>
        <v>0</v>
      </c>
      <c r="AA59" s="449">
        <v>0</v>
      </c>
      <c r="AB59" s="452">
        <f t="shared" si="8"/>
        <v>0</v>
      </c>
      <c r="AC59" s="449">
        <f>IFERROR(VLOOKUP(C59,'Table 15'!$A$479:$B$528,2,FALSE),0)</f>
        <v>0</v>
      </c>
      <c r="AD59" s="452">
        <f t="shared" si="9"/>
        <v>0</v>
      </c>
      <c r="AE59" s="19" t="s">
        <v>144</v>
      </c>
      <c r="AF59" s="455">
        <f t="shared" si="4"/>
        <v>0</v>
      </c>
      <c r="AG59" s="454">
        <f t="shared" si="12"/>
        <v>0</v>
      </c>
    </row>
    <row r="60" spans="1:33" x14ac:dyDescent="0.35">
      <c r="A60" s="19">
        <v>13</v>
      </c>
      <c r="B60" s="25">
        <v>61305</v>
      </c>
      <c r="C60" s="26" t="s">
        <v>153</v>
      </c>
      <c r="D60" s="27" t="s">
        <v>154</v>
      </c>
      <c r="E60" s="27">
        <v>1891733879</v>
      </c>
      <c r="F60" s="381" t="s">
        <v>1</v>
      </c>
      <c r="G60" s="380">
        <v>1</v>
      </c>
      <c r="H60" s="311"/>
      <c r="I60" s="311"/>
      <c r="J60" s="25">
        <v>61305</v>
      </c>
      <c r="K60" s="440">
        <f>IFERROR(VLOOKUP(C60,'FY 2023 IMPACT FILE CA'!$A$3:$BH$52,58,FALSE),0)</f>
        <v>0</v>
      </c>
      <c r="L60" s="29"/>
      <c r="M60" s="441">
        <f>IF(N60&lt;=1,' FY 2023 CN Tables 1A-1E'!$C$5,' FY 2023 CN Tables 1A-1E'!$B$5)</f>
        <v>3952.96</v>
      </c>
      <c r="N60" s="442">
        <f>IFERROR(VLOOKUP($C60,'FY 2023 IMPACT FILE CA'!$A$3:$BG$52,12,FALSE),1)</f>
        <v>1</v>
      </c>
      <c r="O60" s="441">
        <f>IF(N60&lt;=1,' FY 2023 CN Tables 1A-1E'!$C$6,' FY 2023 CN Tables 1A-1E'!$B$6)</f>
        <v>2422.7800000000002</v>
      </c>
      <c r="P60" s="441">
        <f t="shared" si="0"/>
        <v>6375.74</v>
      </c>
      <c r="Q60" s="443">
        <f>' FY 2023 CN Tables 1A-1E'!$B$33</f>
        <v>483.79</v>
      </c>
      <c r="R60" s="442">
        <f>IFERROR(VLOOKUP(C60,'FY 2023 IMPACT FILE CA'!$A$3:$BG$52,48,FALSE),1)</f>
        <v>1</v>
      </c>
      <c r="S60" s="441">
        <f t="shared" si="6"/>
        <v>483.79</v>
      </c>
      <c r="T60" s="444">
        <f t="shared" si="1"/>
        <v>6859.53</v>
      </c>
      <c r="U60" s="445">
        <v>0</v>
      </c>
      <c r="V60" s="449">
        <f>IFERROR(VLOOKUP(C60,'FY 2023 IMPACT FILE CA'!$A$3:$BG$53,23,FALSE),0)</f>
        <v>0</v>
      </c>
      <c r="W60" s="449">
        <f>IFERROR(VLOOKUP(C60,'FY 2023 IMPACT FILE CA'!$A$3:$BG$53,24,FALSE),0)</f>
        <v>0</v>
      </c>
      <c r="X60" s="441">
        <f t="shared" si="10"/>
        <v>0</v>
      </c>
      <c r="Y60" s="441">
        <f t="shared" si="11"/>
        <v>0</v>
      </c>
      <c r="Z60" s="451">
        <f t="shared" si="7"/>
        <v>0</v>
      </c>
      <c r="AA60" s="449">
        <v>0</v>
      </c>
      <c r="AB60" s="452">
        <f t="shared" si="8"/>
        <v>0</v>
      </c>
      <c r="AC60" s="449">
        <f>IFERROR(VLOOKUP(C60,'Table 15'!$A$479:$B$528,2,FALSE),0)</f>
        <v>0</v>
      </c>
      <c r="AD60" s="452">
        <f t="shared" si="9"/>
        <v>0</v>
      </c>
      <c r="AE60" s="19" t="s">
        <v>144</v>
      </c>
      <c r="AF60" s="455">
        <f t="shared" si="4"/>
        <v>0</v>
      </c>
      <c r="AG60" s="454">
        <f t="shared" si="12"/>
        <v>0</v>
      </c>
    </row>
    <row r="61" spans="1:33" x14ac:dyDescent="0.35">
      <c r="A61" s="19">
        <v>13</v>
      </c>
      <c r="B61" s="25">
        <v>61306</v>
      </c>
      <c r="C61" s="26" t="s">
        <v>155</v>
      </c>
      <c r="D61" s="27" t="s">
        <v>156</v>
      </c>
      <c r="E61" s="27">
        <v>1720107519</v>
      </c>
      <c r="F61" s="381" t="s">
        <v>1</v>
      </c>
      <c r="G61" s="380">
        <v>1</v>
      </c>
      <c r="H61" s="311"/>
      <c r="I61" s="311"/>
      <c r="J61" s="25">
        <v>61306</v>
      </c>
      <c r="K61" s="440">
        <f>IFERROR(VLOOKUP(C61,'FY 2023 IMPACT FILE CA'!$A$3:$BH$52,58,FALSE),0)</f>
        <v>0</v>
      </c>
      <c r="L61" s="29"/>
      <c r="M61" s="441">
        <f>IF(N61&lt;=1,' FY 2023 CN Tables 1A-1E'!$C$5,' FY 2023 CN Tables 1A-1E'!$B$5)</f>
        <v>3952.96</v>
      </c>
      <c r="N61" s="442">
        <f>IFERROR(VLOOKUP($C61,'FY 2023 IMPACT FILE CA'!$A$3:$BG$52,12,FALSE),1)</f>
        <v>1</v>
      </c>
      <c r="O61" s="441">
        <f>IF(N61&lt;=1,' FY 2023 CN Tables 1A-1E'!$C$6,' FY 2023 CN Tables 1A-1E'!$B$6)</f>
        <v>2422.7800000000002</v>
      </c>
      <c r="P61" s="441">
        <f t="shared" si="0"/>
        <v>6375.74</v>
      </c>
      <c r="Q61" s="443">
        <f>' FY 2023 CN Tables 1A-1E'!$B$33</f>
        <v>483.79</v>
      </c>
      <c r="R61" s="442">
        <f>IFERROR(VLOOKUP(C61,'FY 2023 IMPACT FILE CA'!$A$3:$BG$52,48,FALSE),1)</f>
        <v>1</v>
      </c>
      <c r="S61" s="441">
        <f t="shared" si="6"/>
        <v>483.79</v>
      </c>
      <c r="T61" s="444">
        <f t="shared" si="1"/>
        <v>6859.53</v>
      </c>
      <c r="U61" s="445">
        <v>0</v>
      </c>
      <c r="V61" s="449">
        <f>IFERROR(VLOOKUP(C61,'FY 2023 IMPACT FILE CA'!$A$3:$BG$53,23,FALSE),0)</f>
        <v>0</v>
      </c>
      <c r="W61" s="449">
        <f>IFERROR(VLOOKUP(C61,'FY 2023 IMPACT FILE CA'!$A$3:$BG$53,24,FALSE),0)</f>
        <v>0</v>
      </c>
      <c r="X61" s="441">
        <f t="shared" si="10"/>
        <v>0</v>
      </c>
      <c r="Y61" s="441">
        <f t="shared" si="11"/>
        <v>0</v>
      </c>
      <c r="Z61" s="451">
        <f t="shared" si="7"/>
        <v>0</v>
      </c>
      <c r="AA61" s="449">
        <v>0</v>
      </c>
      <c r="AB61" s="452">
        <f t="shared" si="8"/>
        <v>0</v>
      </c>
      <c r="AC61" s="449">
        <f>IFERROR(VLOOKUP(C61,'Table 15'!$A$479:$B$528,2,FALSE),0)</f>
        <v>0</v>
      </c>
      <c r="AD61" s="452">
        <f t="shared" si="9"/>
        <v>0</v>
      </c>
      <c r="AE61" s="19" t="s">
        <v>144</v>
      </c>
      <c r="AF61" s="455">
        <f t="shared" si="4"/>
        <v>0</v>
      </c>
      <c r="AG61" s="454">
        <f t="shared" si="12"/>
        <v>0</v>
      </c>
    </row>
    <row r="62" spans="1:33" x14ac:dyDescent="0.35">
      <c r="A62" s="19">
        <v>13</v>
      </c>
      <c r="B62" s="25">
        <v>61307</v>
      </c>
      <c r="C62" s="26" t="s">
        <v>157</v>
      </c>
      <c r="D62" s="27" t="s">
        <v>158</v>
      </c>
      <c r="E62" s="27">
        <v>1063430346</v>
      </c>
      <c r="F62" s="381" t="s">
        <v>1</v>
      </c>
      <c r="G62" s="380">
        <v>1</v>
      </c>
      <c r="H62" s="311"/>
      <c r="I62" s="311"/>
      <c r="J62" s="25">
        <v>61307</v>
      </c>
      <c r="K62" s="440">
        <f>IFERROR(VLOOKUP(C62,'FY 2023 IMPACT FILE CA'!$A$3:$BH$52,58,FALSE),0)</f>
        <v>0</v>
      </c>
      <c r="L62" s="29"/>
      <c r="M62" s="441">
        <f>IF(N62&lt;=1,' FY 2023 CN Tables 1A-1E'!$C$5,' FY 2023 CN Tables 1A-1E'!$B$5)</f>
        <v>3952.96</v>
      </c>
      <c r="N62" s="442">
        <f>IFERROR(VLOOKUP($C62,'FY 2023 IMPACT FILE CA'!$A$3:$BG$52,12,FALSE),1)</f>
        <v>1</v>
      </c>
      <c r="O62" s="441">
        <f>IF(N62&lt;=1,' FY 2023 CN Tables 1A-1E'!$C$6,' FY 2023 CN Tables 1A-1E'!$B$6)</f>
        <v>2422.7800000000002</v>
      </c>
      <c r="P62" s="441">
        <f t="shared" si="0"/>
        <v>6375.74</v>
      </c>
      <c r="Q62" s="443">
        <f>' FY 2023 CN Tables 1A-1E'!$B$33</f>
        <v>483.79</v>
      </c>
      <c r="R62" s="442">
        <f>IFERROR(VLOOKUP(C62,'FY 2023 IMPACT FILE CA'!$A$3:$BG$52,48,FALSE),1)</f>
        <v>1</v>
      </c>
      <c r="S62" s="441">
        <f t="shared" si="6"/>
        <v>483.79</v>
      </c>
      <c r="T62" s="444">
        <f t="shared" si="1"/>
        <v>6859.53</v>
      </c>
      <c r="U62" s="445">
        <v>0</v>
      </c>
      <c r="V62" s="449">
        <f>IFERROR(VLOOKUP(C62,'FY 2023 IMPACT FILE CA'!$A$3:$BG$53,23,FALSE),0)</f>
        <v>0</v>
      </c>
      <c r="W62" s="449">
        <f>IFERROR(VLOOKUP(C62,'FY 2023 IMPACT FILE CA'!$A$3:$BG$53,24,FALSE),0)</f>
        <v>0</v>
      </c>
      <c r="X62" s="441">
        <f t="shared" si="10"/>
        <v>0</v>
      </c>
      <c r="Y62" s="441">
        <f t="shared" si="11"/>
        <v>0</v>
      </c>
      <c r="Z62" s="451">
        <f t="shared" si="7"/>
        <v>0</v>
      </c>
      <c r="AA62" s="449">
        <v>0</v>
      </c>
      <c r="AB62" s="452">
        <f t="shared" si="8"/>
        <v>0</v>
      </c>
      <c r="AC62" s="449">
        <f>IFERROR(VLOOKUP(C62,'Table 15'!$A$479:$B$528,2,FALSE),0)</f>
        <v>0</v>
      </c>
      <c r="AD62" s="452">
        <f t="shared" si="9"/>
        <v>0</v>
      </c>
      <c r="AE62" s="19" t="s">
        <v>144</v>
      </c>
      <c r="AF62" s="455">
        <f t="shared" si="4"/>
        <v>0</v>
      </c>
      <c r="AG62" s="454">
        <f t="shared" si="12"/>
        <v>0</v>
      </c>
    </row>
    <row r="63" spans="1:33" s="14" customFormat="1" x14ac:dyDescent="0.35">
      <c r="A63" s="116">
        <v>13</v>
      </c>
      <c r="B63" s="117">
        <v>61308</v>
      </c>
      <c r="C63" s="118" t="s">
        <v>159</v>
      </c>
      <c r="D63" s="119" t="s">
        <v>160</v>
      </c>
      <c r="E63" s="119">
        <v>1194792762</v>
      </c>
      <c r="F63" s="381" t="s">
        <v>1</v>
      </c>
      <c r="G63" s="382">
        <v>1</v>
      </c>
      <c r="H63" s="386"/>
      <c r="I63" s="386"/>
      <c r="J63" s="25">
        <v>61308</v>
      </c>
      <c r="K63" s="440">
        <f>IFERROR(VLOOKUP(C63,'FY 2023 IMPACT FILE CA'!$A$3:$BH$52,58,FALSE),0)</f>
        <v>0</v>
      </c>
      <c r="L63" s="120"/>
      <c r="M63" s="441">
        <f>IF(N63&lt;=1,' FY 2023 CN Tables 1A-1E'!$C$5,' FY 2023 CN Tables 1A-1E'!$B$5)</f>
        <v>3952.96</v>
      </c>
      <c r="N63" s="442">
        <f>IFERROR(VLOOKUP($C63,'FY 2023 IMPACT FILE CA'!$A$3:$BG$52,12,FALSE),1)</f>
        <v>1</v>
      </c>
      <c r="O63" s="441">
        <f>IF(N63&lt;=1,' FY 2023 CN Tables 1A-1E'!$C$6,' FY 2023 CN Tables 1A-1E'!$B$6)</f>
        <v>2422.7800000000002</v>
      </c>
      <c r="P63" s="447">
        <f t="shared" si="0"/>
        <v>6375.74</v>
      </c>
      <c r="Q63" s="443">
        <f>' FY 2023 CN Tables 1A-1E'!$B$33</f>
        <v>483.79</v>
      </c>
      <c r="R63" s="442">
        <f>IFERROR(VLOOKUP(C63,'FY 2023 IMPACT FILE CA'!$A$3:$BG$52,48,FALSE),1)</f>
        <v>1</v>
      </c>
      <c r="S63" s="447">
        <f t="shared" si="6"/>
        <v>483.79</v>
      </c>
      <c r="T63" s="448">
        <f t="shared" si="1"/>
        <v>6859.53</v>
      </c>
      <c r="U63" s="445">
        <v>0</v>
      </c>
      <c r="V63" s="449">
        <f>IFERROR(VLOOKUP(C63,'FY 2023 IMPACT FILE CA'!$A$3:$BG$53,23,FALSE),0)</f>
        <v>0</v>
      </c>
      <c r="W63" s="449">
        <f>IFERROR(VLOOKUP(C63,'FY 2023 IMPACT FILE CA'!$A$3:$BG$53,24,FALSE),0)</f>
        <v>0</v>
      </c>
      <c r="X63" s="447">
        <f t="shared" si="10"/>
        <v>0</v>
      </c>
      <c r="Y63" s="447">
        <f t="shared" si="11"/>
        <v>0</v>
      </c>
      <c r="Z63" s="451">
        <f t="shared" si="7"/>
        <v>0</v>
      </c>
      <c r="AA63" s="449">
        <v>0</v>
      </c>
      <c r="AB63" s="452">
        <f t="shared" si="8"/>
        <v>0</v>
      </c>
      <c r="AC63" s="449">
        <f>IFERROR(VLOOKUP(C63,'Table 15'!$A$479:$B$528,2,FALSE),0)</f>
        <v>0</v>
      </c>
      <c r="AD63" s="452">
        <f t="shared" si="9"/>
        <v>0</v>
      </c>
      <c r="AE63" s="116" t="s">
        <v>144</v>
      </c>
      <c r="AF63" s="456">
        <f t="shared" si="4"/>
        <v>0</v>
      </c>
      <c r="AG63" s="454">
        <f t="shared" si="12"/>
        <v>0</v>
      </c>
    </row>
    <row r="64" spans="1:33" x14ac:dyDescent="0.35">
      <c r="A64" s="19">
        <v>13</v>
      </c>
      <c r="B64" s="25">
        <v>61309</v>
      </c>
      <c r="C64" s="26" t="s">
        <v>161</v>
      </c>
      <c r="D64" s="27" t="s">
        <v>162</v>
      </c>
      <c r="E64" s="27">
        <v>1083640239</v>
      </c>
      <c r="F64" s="381" t="s">
        <v>1</v>
      </c>
      <c r="G64" s="380">
        <v>1</v>
      </c>
      <c r="H64" s="311"/>
      <c r="I64" s="311"/>
      <c r="J64" s="25">
        <v>61309</v>
      </c>
      <c r="K64" s="440">
        <f>IFERROR(VLOOKUP(C64,'FY 2023 IMPACT FILE CA'!$A$3:$BH$52,58,FALSE),0)</f>
        <v>0</v>
      </c>
      <c r="L64" s="29"/>
      <c r="M64" s="441">
        <f>IF(N64&lt;=1,' FY 2023 CN Tables 1A-1E'!$C$5,' FY 2023 CN Tables 1A-1E'!$B$5)</f>
        <v>3952.96</v>
      </c>
      <c r="N64" s="442">
        <f>IFERROR(VLOOKUP($C64,'FY 2023 IMPACT FILE CA'!$A$3:$BG$52,12,FALSE),1)</f>
        <v>1</v>
      </c>
      <c r="O64" s="441">
        <f>IF(N64&lt;=1,' FY 2023 CN Tables 1A-1E'!$C$6,' FY 2023 CN Tables 1A-1E'!$B$6)</f>
        <v>2422.7800000000002</v>
      </c>
      <c r="P64" s="441">
        <f t="shared" si="0"/>
        <v>6375.74</v>
      </c>
      <c r="Q64" s="443">
        <f>' FY 2023 CN Tables 1A-1E'!$B$33</f>
        <v>483.79</v>
      </c>
      <c r="R64" s="442">
        <f>IFERROR(VLOOKUP(C64,'FY 2023 IMPACT FILE CA'!$A$3:$BG$52,48,FALSE),1)</f>
        <v>1</v>
      </c>
      <c r="S64" s="441">
        <f t="shared" si="6"/>
        <v>483.79</v>
      </c>
      <c r="T64" s="444">
        <f t="shared" si="1"/>
        <v>6859.53</v>
      </c>
      <c r="U64" s="445">
        <v>17.81961164547425</v>
      </c>
      <c r="V64" s="449">
        <f>IFERROR(VLOOKUP(C64,'FY 2023 IMPACT FILE CA'!$A$3:$BG$53,23,FALSE),0)</f>
        <v>0</v>
      </c>
      <c r="W64" s="449">
        <f>IFERROR(VLOOKUP(C64,'FY 2023 IMPACT FILE CA'!$A$3:$BG$53,24,FALSE),0)</f>
        <v>0</v>
      </c>
      <c r="X64" s="441">
        <f t="shared" si="10"/>
        <v>0</v>
      </c>
      <c r="Y64" s="441">
        <f t="shared" si="11"/>
        <v>0</v>
      </c>
      <c r="Z64" s="457">
        <v>375.11</v>
      </c>
      <c r="AA64" s="449">
        <v>0</v>
      </c>
      <c r="AB64" s="452">
        <f t="shared" si="8"/>
        <v>0</v>
      </c>
      <c r="AC64" s="449">
        <f>IFERROR(VLOOKUP(C64,'Table 15'!$A$479:$B$528,2,FALSE),0)</f>
        <v>0</v>
      </c>
      <c r="AD64" s="452">
        <f t="shared" si="9"/>
        <v>0</v>
      </c>
      <c r="AE64" s="19" t="s">
        <v>144</v>
      </c>
      <c r="AF64" s="455">
        <f t="shared" si="4"/>
        <v>0</v>
      </c>
      <c r="AG64" s="454">
        <f t="shared" si="12"/>
        <v>0</v>
      </c>
    </row>
    <row r="65" spans="1:33" x14ac:dyDescent="0.35">
      <c r="A65" s="19">
        <v>13</v>
      </c>
      <c r="B65" s="25">
        <v>61310</v>
      </c>
      <c r="C65" s="26" t="s">
        <v>163</v>
      </c>
      <c r="D65" s="27" t="s">
        <v>164</v>
      </c>
      <c r="E65" s="27">
        <v>1740295591</v>
      </c>
      <c r="F65" s="381" t="s">
        <v>1</v>
      </c>
      <c r="G65" s="380">
        <v>1</v>
      </c>
      <c r="H65" s="311"/>
      <c r="I65" s="311"/>
      <c r="J65" s="25">
        <v>61310</v>
      </c>
      <c r="K65" s="440">
        <f>IFERROR(VLOOKUP(C65,'FY 2023 IMPACT FILE CA'!$A$3:$BH$52,58,FALSE),0)</f>
        <v>0</v>
      </c>
      <c r="L65" s="29"/>
      <c r="M65" s="441">
        <f>IF(N65&lt;=1,' FY 2023 CN Tables 1A-1E'!$C$5,' FY 2023 CN Tables 1A-1E'!$B$5)</f>
        <v>3952.96</v>
      </c>
      <c r="N65" s="442">
        <f>IFERROR(VLOOKUP($C65,'FY 2023 IMPACT FILE CA'!$A$3:$BG$52,12,FALSE),1)</f>
        <v>1</v>
      </c>
      <c r="O65" s="441">
        <f>IF(N65&lt;=1,' FY 2023 CN Tables 1A-1E'!$C$6,' FY 2023 CN Tables 1A-1E'!$B$6)</f>
        <v>2422.7800000000002</v>
      </c>
      <c r="P65" s="441">
        <f t="shared" si="0"/>
        <v>6375.74</v>
      </c>
      <c r="Q65" s="443">
        <f>' FY 2023 CN Tables 1A-1E'!$B$33</f>
        <v>483.79</v>
      </c>
      <c r="R65" s="442">
        <f>IFERROR(VLOOKUP(C65,'FY 2023 IMPACT FILE CA'!$A$3:$BG$52,48,FALSE),1)</f>
        <v>1</v>
      </c>
      <c r="S65" s="441">
        <f t="shared" si="6"/>
        <v>483.79</v>
      </c>
      <c r="T65" s="444">
        <f t="shared" si="1"/>
        <v>6859.53</v>
      </c>
      <c r="U65" s="445">
        <v>0</v>
      </c>
      <c r="V65" s="449">
        <f>IFERROR(VLOOKUP(C65,'FY 2023 IMPACT FILE CA'!$A$3:$BG$53,23,FALSE),0)</f>
        <v>0</v>
      </c>
      <c r="W65" s="449">
        <f>IFERROR(VLOOKUP(C65,'FY 2023 IMPACT FILE CA'!$A$3:$BG$53,24,FALSE),0)</f>
        <v>0</v>
      </c>
      <c r="X65" s="441">
        <f t="shared" si="10"/>
        <v>0</v>
      </c>
      <c r="Y65" s="441">
        <f t="shared" si="11"/>
        <v>0</v>
      </c>
      <c r="Z65" s="451">
        <f t="shared" si="7"/>
        <v>0</v>
      </c>
      <c r="AA65" s="449">
        <v>0</v>
      </c>
      <c r="AB65" s="452">
        <f t="shared" si="8"/>
        <v>0</v>
      </c>
      <c r="AC65" s="449">
        <f>IFERROR(VLOOKUP(C65,'Table 15'!$A$479:$B$528,2,FALSE),0)</f>
        <v>0</v>
      </c>
      <c r="AD65" s="452">
        <f t="shared" si="9"/>
        <v>0</v>
      </c>
      <c r="AE65" s="19" t="s">
        <v>144</v>
      </c>
      <c r="AF65" s="455">
        <f t="shared" si="4"/>
        <v>0</v>
      </c>
      <c r="AG65" s="454">
        <f t="shared" si="12"/>
        <v>0</v>
      </c>
    </row>
    <row r="66" spans="1:33" x14ac:dyDescent="0.35">
      <c r="A66" s="19">
        <v>13</v>
      </c>
      <c r="B66" s="25">
        <v>61311</v>
      </c>
      <c r="C66" s="26" t="s">
        <v>165</v>
      </c>
      <c r="D66" s="27" t="s">
        <v>166</v>
      </c>
      <c r="E66" s="27">
        <v>1285727297</v>
      </c>
      <c r="F66" s="381" t="s">
        <v>1</v>
      </c>
      <c r="G66" s="380">
        <v>1</v>
      </c>
      <c r="H66" s="311"/>
      <c r="I66" s="311"/>
      <c r="J66" s="25">
        <v>61311</v>
      </c>
      <c r="K66" s="440">
        <f>IFERROR(VLOOKUP(C66,'FY 2023 IMPACT FILE CA'!$A$3:$BH$52,58,FALSE),0)</f>
        <v>0</v>
      </c>
      <c r="L66" s="29"/>
      <c r="M66" s="441">
        <f>IF(N66&lt;=1,' FY 2023 CN Tables 1A-1E'!$C$5,' FY 2023 CN Tables 1A-1E'!$B$5)</f>
        <v>3952.96</v>
      </c>
      <c r="N66" s="442">
        <f>IFERROR(VLOOKUP($C66,'FY 2023 IMPACT FILE CA'!$A$3:$BG$52,12,FALSE),1)</f>
        <v>1</v>
      </c>
      <c r="O66" s="441">
        <f>IF(N66&lt;=1,' FY 2023 CN Tables 1A-1E'!$C$6,' FY 2023 CN Tables 1A-1E'!$B$6)</f>
        <v>2422.7800000000002</v>
      </c>
      <c r="P66" s="441">
        <f t="shared" si="0"/>
        <v>6375.74</v>
      </c>
      <c r="Q66" s="443">
        <f>' FY 2023 CN Tables 1A-1E'!$B$33</f>
        <v>483.79</v>
      </c>
      <c r="R66" s="442">
        <f>IFERROR(VLOOKUP(C66,'FY 2023 IMPACT FILE CA'!$A$3:$BG$52,48,FALSE),1)</f>
        <v>1</v>
      </c>
      <c r="S66" s="441">
        <f t="shared" si="6"/>
        <v>483.79</v>
      </c>
      <c r="T66" s="444">
        <f t="shared" si="1"/>
        <v>6859.53</v>
      </c>
      <c r="U66" s="445">
        <v>0</v>
      </c>
      <c r="V66" s="449">
        <f>IFERROR(VLOOKUP(C66,'FY 2023 IMPACT FILE CA'!$A$3:$BG$53,23,FALSE),0)</f>
        <v>0</v>
      </c>
      <c r="W66" s="449">
        <f>IFERROR(VLOOKUP(C66,'FY 2023 IMPACT FILE CA'!$A$3:$BG$53,24,FALSE),0)</f>
        <v>0</v>
      </c>
      <c r="X66" s="441">
        <f t="shared" si="10"/>
        <v>0</v>
      </c>
      <c r="Y66" s="441">
        <f t="shared" si="11"/>
        <v>0</v>
      </c>
      <c r="Z66" s="451">
        <f t="shared" si="7"/>
        <v>0</v>
      </c>
      <c r="AA66" s="449">
        <v>0</v>
      </c>
      <c r="AB66" s="452">
        <f t="shared" si="8"/>
        <v>0</v>
      </c>
      <c r="AC66" s="449">
        <f>IFERROR(VLOOKUP(C66,'Table 15'!$A$479:$B$528,2,FALSE),0)</f>
        <v>0</v>
      </c>
      <c r="AD66" s="452">
        <f t="shared" si="9"/>
        <v>0</v>
      </c>
      <c r="AE66" s="19" t="s">
        <v>144</v>
      </c>
      <c r="AF66" s="455">
        <f t="shared" si="4"/>
        <v>0</v>
      </c>
      <c r="AG66" s="454">
        <f t="shared" si="12"/>
        <v>0</v>
      </c>
    </row>
    <row r="67" spans="1:33" x14ac:dyDescent="0.35">
      <c r="A67" s="19">
        <v>13</v>
      </c>
      <c r="B67" s="25">
        <v>61312</v>
      </c>
      <c r="C67" s="26" t="s">
        <v>167</v>
      </c>
      <c r="D67" s="27" t="s">
        <v>168</v>
      </c>
      <c r="E67" s="27">
        <v>1154312981</v>
      </c>
      <c r="F67" s="381" t="s">
        <v>1</v>
      </c>
      <c r="G67" s="380">
        <v>0</v>
      </c>
      <c r="H67" s="311"/>
      <c r="I67" s="311"/>
      <c r="J67" s="25">
        <v>61312</v>
      </c>
      <c r="K67" s="440">
        <f>IFERROR(VLOOKUP(C67,'FY 2023 IMPACT FILE CA'!$A$3:$BH$52,58,FALSE),0)</f>
        <v>0</v>
      </c>
      <c r="L67" s="29"/>
      <c r="M67" s="441">
        <f>IF(N67&lt;=1,' FY 2023 CN Tables 1A-1E'!$C$5,' FY 2023 CN Tables 1A-1E'!$B$5)</f>
        <v>3952.96</v>
      </c>
      <c r="N67" s="442">
        <f>IFERROR(VLOOKUP($C67,'FY 2023 IMPACT FILE CA'!$A$3:$BG$52,12,FALSE),1)</f>
        <v>1</v>
      </c>
      <c r="O67" s="441">
        <f>IF(N67&lt;=1,' FY 2023 CN Tables 1A-1E'!$C$6,' FY 2023 CN Tables 1A-1E'!$B$6)</f>
        <v>2422.7800000000002</v>
      </c>
      <c r="P67" s="441">
        <f t="shared" si="0"/>
        <v>6375.74</v>
      </c>
      <c r="Q67" s="443">
        <f>' FY 2023 CN Tables 1A-1E'!$B$33</f>
        <v>483.79</v>
      </c>
      <c r="R67" s="442">
        <f>IFERROR(VLOOKUP(C67,'FY 2023 IMPACT FILE CA'!$A$3:$BG$52,48,FALSE),1)</f>
        <v>1</v>
      </c>
      <c r="S67" s="441">
        <f t="shared" si="6"/>
        <v>483.79</v>
      </c>
      <c r="T67" s="444">
        <f t="shared" si="1"/>
        <v>6859.53</v>
      </c>
      <c r="U67" s="445">
        <v>0</v>
      </c>
      <c r="V67" s="449">
        <f>IFERROR(VLOOKUP(C67,'FY 2023 IMPACT FILE CA'!$A$3:$BG$53,23,FALSE),0)</f>
        <v>0</v>
      </c>
      <c r="W67" s="449">
        <f>IFERROR(VLOOKUP(C67,'FY 2023 IMPACT FILE CA'!$A$3:$BG$53,24,FALSE),0)</f>
        <v>0</v>
      </c>
      <c r="X67" s="441">
        <f t="shared" si="10"/>
        <v>0</v>
      </c>
      <c r="Y67" s="441">
        <f t="shared" si="11"/>
        <v>0</v>
      </c>
      <c r="Z67" s="451">
        <f t="shared" si="7"/>
        <v>0</v>
      </c>
      <c r="AA67" s="449">
        <v>0</v>
      </c>
      <c r="AB67" s="452">
        <f t="shared" si="8"/>
        <v>0</v>
      </c>
      <c r="AC67" s="449">
        <f>IFERROR(VLOOKUP(C67,'Table 15'!$A$479:$B$528,2,FALSE),0)</f>
        <v>0</v>
      </c>
      <c r="AD67" s="452">
        <f t="shared" si="9"/>
        <v>0</v>
      </c>
      <c r="AE67" s="19" t="s">
        <v>144</v>
      </c>
      <c r="AF67" s="455">
        <f t="shared" si="4"/>
        <v>0</v>
      </c>
      <c r="AG67" s="454">
        <f t="shared" si="12"/>
        <v>0</v>
      </c>
    </row>
    <row r="68" spans="1:33" x14ac:dyDescent="0.35">
      <c r="A68" s="19">
        <v>13</v>
      </c>
      <c r="B68" s="25">
        <v>61313</v>
      </c>
      <c r="C68" s="26" t="s">
        <v>169</v>
      </c>
      <c r="D68" s="27" t="s">
        <v>170</v>
      </c>
      <c r="E68" s="27">
        <v>1184711475</v>
      </c>
      <c r="F68" s="381" t="s">
        <v>1</v>
      </c>
      <c r="G68" s="380">
        <v>1</v>
      </c>
      <c r="H68" s="311"/>
      <c r="I68" s="311"/>
      <c r="J68" s="25">
        <v>61313</v>
      </c>
      <c r="K68" s="440">
        <f>IFERROR(VLOOKUP(C68,'FY 2023 IMPACT FILE CA'!$A$3:$BH$52,58,FALSE),0)</f>
        <v>0</v>
      </c>
      <c r="L68" s="29"/>
      <c r="M68" s="441">
        <f>IF(N68&lt;=1,' FY 2023 CN Tables 1A-1E'!$C$5,' FY 2023 CN Tables 1A-1E'!$B$5)</f>
        <v>3952.96</v>
      </c>
      <c r="N68" s="442">
        <f>IFERROR(VLOOKUP($C68,'FY 2023 IMPACT FILE CA'!$A$3:$BG$52,12,FALSE),1)</f>
        <v>1</v>
      </c>
      <c r="O68" s="441">
        <f>IF(N68&lt;=1,' FY 2023 CN Tables 1A-1E'!$C$6,' FY 2023 CN Tables 1A-1E'!$B$6)</f>
        <v>2422.7800000000002</v>
      </c>
      <c r="P68" s="441">
        <f t="shared" si="0"/>
        <v>6375.74</v>
      </c>
      <c r="Q68" s="443">
        <f>' FY 2023 CN Tables 1A-1E'!$B$33</f>
        <v>483.79</v>
      </c>
      <c r="R68" s="442">
        <f>IFERROR(VLOOKUP(C68,'FY 2023 IMPACT FILE CA'!$A$3:$BG$52,48,FALSE),1)</f>
        <v>1</v>
      </c>
      <c r="S68" s="441">
        <f t="shared" si="6"/>
        <v>483.79</v>
      </c>
      <c r="T68" s="444">
        <f t="shared" si="1"/>
        <v>6859.53</v>
      </c>
      <c r="U68" s="445">
        <v>0</v>
      </c>
      <c r="V68" s="449">
        <f>IFERROR(VLOOKUP(C68,'FY 2023 IMPACT FILE CA'!$A$3:$BG$53,23,FALSE),0)</f>
        <v>0</v>
      </c>
      <c r="W68" s="449">
        <f>IFERROR(VLOOKUP(C68,'FY 2023 IMPACT FILE CA'!$A$3:$BG$53,24,FALSE),0)</f>
        <v>0</v>
      </c>
      <c r="X68" s="441">
        <f t="shared" si="10"/>
        <v>0</v>
      </c>
      <c r="Y68" s="441">
        <f t="shared" si="11"/>
        <v>0</v>
      </c>
      <c r="Z68" s="451">
        <f t="shared" si="7"/>
        <v>0</v>
      </c>
      <c r="AA68" s="449">
        <v>0</v>
      </c>
      <c r="AB68" s="452">
        <f t="shared" si="8"/>
        <v>0</v>
      </c>
      <c r="AC68" s="449">
        <f>IFERROR(VLOOKUP(C68,'Table 15'!$A$479:$B$528,2,FALSE),0)</f>
        <v>0</v>
      </c>
      <c r="AD68" s="452">
        <f t="shared" si="9"/>
        <v>0</v>
      </c>
      <c r="AE68" s="19" t="s">
        <v>144</v>
      </c>
      <c r="AF68" s="455">
        <f t="shared" si="4"/>
        <v>0</v>
      </c>
      <c r="AG68" s="454">
        <f t="shared" si="12"/>
        <v>0</v>
      </c>
    </row>
    <row r="69" spans="1:33" x14ac:dyDescent="0.35">
      <c r="A69" s="19">
        <v>13</v>
      </c>
      <c r="B69" s="25">
        <v>61314</v>
      </c>
      <c r="C69" s="26" t="s">
        <v>171</v>
      </c>
      <c r="D69" s="27" t="s">
        <v>172</v>
      </c>
      <c r="E69" s="27">
        <v>1063418424</v>
      </c>
      <c r="F69" s="381" t="s">
        <v>1</v>
      </c>
      <c r="G69" s="382">
        <v>1</v>
      </c>
      <c r="H69" s="311"/>
      <c r="I69" s="311"/>
      <c r="J69" s="25">
        <v>61314</v>
      </c>
      <c r="K69" s="440">
        <f>IFERROR(VLOOKUP(C69,'FY 2023 IMPACT FILE CA'!$A$3:$BH$52,58,FALSE),0)</f>
        <v>0</v>
      </c>
      <c r="L69" s="29"/>
      <c r="M69" s="441">
        <f>IF(N69&lt;=1,' FY 2023 CN Tables 1A-1E'!$C$5,' FY 2023 CN Tables 1A-1E'!$B$5)</f>
        <v>3952.96</v>
      </c>
      <c r="N69" s="442">
        <f>IFERROR(VLOOKUP($C69,'FY 2023 IMPACT FILE CA'!$A$3:$BG$52,12,FALSE),1)</f>
        <v>1</v>
      </c>
      <c r="O69" s="441">
        <f>IF(N69&lt;=1,' FY 2023 CN Tables 1A-1E'!$C$6,' FY 2023 CN Tables 1A-1E'!$B$6)</f>
        <v>2422.7800000000002</v>
      </c>
      <c r="P69" s="441">
        <f t="shared" ref="P69:P88" si="13">IFERROR((M69*N69)+O69," ")</f>
        <v>6375.74</v>
      </c>
      <c r="Q69" s="443">
        <f>' FY 2023 CN Tables 1A-1E'!$B$33</f>
        <v>483.79</v>
      </c>
      <c r="R69" s="442">
        <f>IFERROR(VLOOKUP(C69,'FY 2023 IMPACT FILE CA'!$A$3:$BG$52,48,FALSE),1)</f>
        <v>1</v>
      </c>
      <c r="S69" s="441">
        <f t="shared" ref="S69:S88" si="14">IFERROR(Q69*R69," ")</f>
        <v>483.79</v>
      </c>
      <c r="T69" s="444">
        <f t="shared" ref="T69:T88" si="15">P69+S69</f>
        <v>6859.53</v>
      </c>
      <c r="U69" s="445">
        <v>0</v>
      </c>
      <c r="V69" s="449">
        <f>IFERROR(VLOOKUP(C69,'FY 2023 IMPACT FILE CA'!$A$3:$BG$53,23,FALSE),0)</f>
        <v>0</v>
      </c>
      <c r="W69" s="449">
        <f>IFERROR(VLOOKUP(C69,'FY 2023 IMPACT FILE CA'!$A$3:$BG$53,24,FALSE),0)</f>
        <v>0</v>
      </c>
      <c r="X69" s="441">
        <f t="shared" ref="X69:X88" si="16">IFERROR((P69*V69),0)</f>
        <v>0</v>
      </c>
      <c r="Y69" s="441">
        <f t="shared" ref="Y69:Y88" si="17">IFERROR(S69*W69,0)</f>
        <v>0</v>
      </c>
      <c r="Z69" s="451">
        <f t="shared" si="7"/>
        <v>0</v>
      </c>
      <c r="AA69" s="449">
        <v>0</v>
      </c>
      <c r="AB69" s="452">
        <f t="shared" si="8"/>
        <v>0</v>
      </c>
      <c r="AC69" s="449">
        <f>IFERROR(VLOOKUP(C69,'Table 15'!$A$479:$B$528,2,FALSE),0)</f>
        <v>0</v>
      </c>
      <c r="AD69" s="452">
        <f t="shared" si="9"/>
        <v>0</v>
      </c>
      <c r="AE69" s="19" t="s">
        <v>144</v>
      </c>
      <c r="AF69" s="455">
        <f t="shared" ref="AF69:AF88" si="18">IF(AE69="Yes",-0.01,0)</f>
        <v>0</v>
      </c>
      <c r="AG69" s="454">
        <f t="shared" ref="AG69:AG88" si="19">T69*AF69</f>
        <v>0</v>
      </c>
    </row>
    <row r="70" spans="1:33" x14ac:dyDescent="0.35">
      <c r="A70" s="19">
        <v>13</v>
      </c>
      <c r="B70" s="25">
        <v>61315</v>
      </c>
      <c r="C70" s="26" t="s">
        <v>173</v>
      </c>
      <c r="D70" s="27" t="s">
        <v>174</v>
      </c>
      <c r="E70" s="27">
        <v>1629074182</v>
      </c>
      <c r="F70" s="381" t="s">
        <v>1</v>
      </c>
      <c r="G70" s="382">
        <v>1</v>
      </c>
      <c r="H70" s="311"/>
      <c r="I70" s="311"/>
      <c r="J70" s="25">
        <v>61315</v>
      </c>
      <c r="K70" s="440">
        <f>IFERROR(VLOOKUP(C70,'FY 2023 IMPACT FILE CA'!$A$3:$BH$52,58,FALSE),0)</f>
        <v>0</v>
      </c>
      <c r="L70" s="29"/>
      <c r="M70" s="441">
        <f>IF(N70&lt;=1,' FY 2023 CN Tables 1A-1E'!$C$5,' FY 2023 CN Tables 1A-1E'!$B$5)</f>
        <v>3952.96</v>
      </c>
      <c r="N70" s="442">
        <f>IFERROR(VLOOKUP($C70,'FY 2023 IMPACT FILE CA'!$A$3:$BG$52,12,FALSE),1)</f>
        <v>1</v>
      </c>
      <c r="O70" s="441">
        <f>IF(N70&lt;=1,' FY 2023 CN Tables 1A-1E'!$C$6,' FY 2023 CN Tables 1A-1E'!$B$6)</f>
        <v>2422.7800000000002</v>
      </c>
      <c r="P70" s="441">
        <f t="shared" si="13"/>
        <v>6375.74</v>
      </c>
      <c r="Q70" s="443">
        <f>' FY 2023 CN Tables 1A-1E'!$B$33</f>
        <v>483.79</v>
      </c>
      <c r="R70" s="442">
        <f>IFERROR(VLOOKUP(C70,'FY 2023 IMPACT FILE CA'!$A$3:$BG$52,48,FALSE),1)</f>
        <v>1</v>
      </c>
      <c r="S70" s="441">
        <f t="shared" si="14"/>
        <v>483.79</v>
      </c>
      <c r="T70" s="444">
        <f t="shared" si="15"/>
        <v>6859.53</v>
      </c>
      <c r="U70" s="445">
        <v>0</v>
      </c>
      <c r="V70" s="449">
        <f>IFERROR(VLOOKUP(C70,'FY 2023 IMPACT FILE CA'!$A$3:$BG$53,23,FALSE),0)</f>
        <v>0</v>
      </c>
      <c r="W70" s="449">
        <f>IFERROR(VLOOKUP(C70,'FY 2023 IMPACT FILE CA'!$A$3:$BG$53,24,FALSE),0)</f>
        <v>0</v>
      </c>
      <c r="X70" s="441">
        <f t="shared" si="16"/>
        <v>0</v>
      </c>
      <c r="Y70" s="441">
        <f t="shared" si="17"/>
        <v>0</v>
      </c>
      <c r="Z70" s="451">
        <f t="shared" ref="Z70:Z88" si="20">X70+Y70</f>
        <v>0</v>
      </c>
      <c r="AA70" s="449">
        <v>0</v>
      </c>
      <c r="AB70" s="452">
        <f t="shared" ref="AB70" si="21">IF(AA70=0,0,P70*(AA70-1))</f>
        <v>0</v>
      </c>
      <c r="AC70" s="449">
        <f>IFERROR(VLOOKUP(C70,'Table 15'!$A$479:$B$528,2,FALSE),0)</f>
        <v>0</v>
      </c>
      <c r="AD70" s="452">
        <f t="shared" ref="AD70:AD88" si="22">IF(AC70=0,0,P70*(AC70-1))</f>
        <v>0</v>
      </c>
      <c r="AE70" s="19" t="s">
        <v>144</v>
      </c>
      <c r="AF70" s="455">
        <f t="shared" si="18"/>
        <v>0</v>
      </c>
      <c r="AG70" s="454">
        <f t="shared" si="19"/>
        <v>0</v>
      </c>
    </row>
    <row r="71" spans="1:33" x14ac:dyDescent="0.35">
      <c r="A71" s="19">
        <v>13</v>
      </c>
      <c r="B71" s="25">
        <v>61316</v>
      </c>
      <c r="C71" s="26" t="s">
        <v>175</v>
      </c>
      <c r="D71" s="27" t="s">
        <v>176</v>
      </c>
      <c r="E71" s="27">
        <v>1982612065</v>
      </c>
      <c r="F71" s="381" t="s">
        <v>1</v>
      </c>
      <c r="G71" s="380">
        <v>1</v>
      </c>
      <c r="H71" s="311"/>
      <c r="I71" s="311"/>
      <c r="J71" s="25">
        <v>61316</v>
      </c>
      <c r="K71" s="440">
        <f>IFERROR(VLOOKUP(C71,'FY 2023 IMPACT FILE CA'!$A$3:$BH$52,58,FALSE),0)</f>
        <v>0</v>
      </c>
      <c r="L71" s="29"/>
      <c r="M71" s="441">
        <f>IF(N71&lt;=1,' FY 2023 CN Tables 1A-1E'!$C$5,' FY 2023 CN Tables 1A-1E'!$B$5)</f>
        <v>3952.96</v>
      </c>
      <c r="N71" s="442">
        <f>IFERROR(VLOOKUP($C71,'FY 2023 IMPACT FILE CA'!$A$3:$BG$52,12,FALSE),1)</f>
        <v>1</v>
      </c>
      <c r="O71" s="441">
        <f>IF(N71&lt;=1,' FY 2023 CN Tables 1A-1E'!$C$6,' FY 2023 CN Tables 1A-1E'!$B$6)</f>
        <v>2422.7800000000002</v>
      </c>
      <c r="P71" s="441">
        <f t="shared" si="13"/>
        <v>6375.74</v>
      </c>
      <c r="Q71" s="443">
        <f>' FY 2023 CN Tables 1A-1E'!$B$33</f>
        <v>483.79</v>
      </c>
      <c r="R71" s="442">
        <f>IFERROR(VLOOKUP(C71,'FY 2023 IMPACT FILE CA'!$A$3:$BG$52,48,FALSE),1)</f>
        <v>1</v>
      </c>
      <c r="S71" s="441">
        <f t="shared" si="14"/>
        <v>483.79</v>
      </c>
      <c r="T71" s="444">
        <f t="shared" si="15"/>
        <v>6859.53</v>
      </c>
      <c r="U71" s="445">
        <v>0</v>
      </c>
      <c r="V71" s="449">
        <f>IFERROR(VLOOKUP(C71,'FY 2023 IMPACT FILE CA'!$A$3:$BG$53,23,FALSE),0)</f>
        <v>0</v>
      </c>
      <c r="W71" s="449">
        <f>IFERROR(VLOOKUP(C71,'FY 2023 IMPACT FILE CA'!$A$3:$BG$53,24,FALSE),0)</f>
        <v>0</v>
      </c>
      <c r="X71" s="441">
        <f t="shared" si="16"/>
        <v>0</v>
      </c>
      <c r="Y71" s="441">
        <f t="shared" si="17"/>
        <v>0</v>
      </c>
      <c r="Z71" s="451">
        <f t="shared" si="20"/>
        <v>0</v>
      </c>
      <c r="AA71" s="449">
        <v>0</v>
      </c>
      <c r="AB71" s="452">
        <f t="shared" si="8"/>
        <v>0</v>
      </c>
      <c r="AC71" s="449">
        <f>IFERROR(VLOOKUP(C71,'Table 15'!$A$479:$B$528,2,FALSE),0)</f>
        <v>0</v>
      </c>
      <c r="AD71" s="452">
        <f t="shared" si="22"/>
        <v>0</v>
      </c>
      <c r="AE71" s="19" t="s">
        <v>144</v>
      </c>
      <c r="AF71" s="455">
        <f t="shared" si="18"/>
        <v>0</v>
      </c>
      <c r="AG71" s="454">
        <f t="shared" si="19"/>
        <v>0</v>
      </c>
    </row>
    <row r="72" spans="1:33" x14ac:dyDescent="0.35">
      <c r="A72" s="19">
        <v>13</v>
      </c>
      <c r="B72" s="25">
        <v>61317</v>
      </c>
      <c r="C72" s="26" t="s">
        <v>177</v>
      </c>
      <c r="D72" s="27" t="s">
        <v>178</v>
      </c>
      <c r="E72" s="27">
        <v>1649218991</v>
      </c>
      <c r="F72" s="381" t="s">
        <v>1</v>
      </c>
      <c r="G72" s="380">
        <v>1</v>
      </c>
      <c r="H72" s="311"/>
      <c r="I72" s="311"/>
      <c r="J72" s="25">
        <v>61317</v>
      </c>
      <c r="K72" s="440">
        <f>IFERROR(VLOOKUP(C72,'FY 2023 IMPACT FILE CA'!$A$3:$BH$52,58,FALSE),0)</f>
        <v>0</v>
      </c>
      <c r="L72" s="29"/>
      <c r="M72" s="441">
        <f>IF(N72&lt;=1,' FY 2023 CN Tables 1A-1E'!$C$5,' FY 2023 CN Tables 1A-1E'!$B$5)</f>
        <v>3952.96</v>
      </c>
      <c r="N72" s="442">
        <f>IFERROR(VLOOKUP($C72,'FY 2023 IMPACT FILE CA'!$A$3:$BG$52,12,FALSE),1)</f>
        <v>1</v>
      </c>
      <c r="O72" s="441">
        <f>IF(N72&lt;=1,' FY 2023 CN Tables 1A-1E'!$C$6,' FY 2023 CN Tables 1A-1E'!$B$6)</f>
        <v>2422.7800000000002</v>
      </c>
      <c r="P72" s="441">
        <f t="shared" si="13"/>
        <v>6375.74</v>
      </c>
      <c r="Q72" s="443">
        <f>' FY 2023 CN Tables 1A-1E'!$B$33</f>
        <v>483.79</v>
      </c>
      <c r="R72" s="442">
        <f>IFERROR(VLOOKUP(C72,'FY 2023 IMPACT FILE CA'!$A$3:$BG$52,48,FALSE),1)</f>
        <v>1</v>
      </c>
      <c r="S72" s="441">
        <f t="shared" si="14"/>
        <v>483.79</v>
      </c>
      <c r="T72" s="444">
        <f t="shared" si="15"/>
        <v>6859.53</v>
      </c>
      <c r="U72" s="445">
        <v>0</v>
      </c>
      <c r="V72" s="449">
        <f>IFERROR(VLOOKUP(C72,'FY 2023 IMPACT FILE CA'!$A$3:$BG$53,23,FALSE),0)</f>
        <v>0</v>
      </c>
      <c r="W72" s="449">
        <f>IFERROR(VLOOKUP(C72,'FY 2023 IMPACT FILE CA'!$A$3:$BG$53,24,FALSE),0)</f>
        <v>0</v>
      </c>
      <c r="X72" s="441">
        <f t="shared" si="16"/>
        <v>0</v>
      </c>
      <c r="Y72" s="441">
        <f t="shared" si="17"/>
        <v>0</v>
      </c>
      <c r="Z72" s="451">
        <f t="shared" si="20"/>
        <v>0</v>
      </c>
      <c r="AA72" s="449">
        <v>0</v>
      </c>
      <c r="AB72" s="452">
        <f t="shared" ref="AB72:AB88" si="23">IF(AA72=0,0,P72*(AA72-1))</f>
        <v>0</v>
      </c>
      <c r="AC72" s="449">
        <f>IFERROR(VLOOKUP(C72,'Table 15'!$A$479:$B$528,2,FALSE),0)</f>
        <v>0</v>
      </c>
      <c r="AD72" s="452">
        <f t="shared" si="22"/>
        <v>0</v>
      </c>
      <c r="AE72" s="19" t="s">
        <v>144</v>
      </c>
      <c r="AF72" s="455">
        <f t="shared" si="18"/>
        <v>0</v>
      </c>
      <c r="AG72" s="454">
        <f t="shared" si="19"/>
        <v>0</v>
      </c>
    </row>
    <row r="73" spans="1:33" x14ac:dyDescent="0.35">
      <c r="A73" s="19">
        <v>13</v>
      </c>
      <c r="B73" s="25">
        <v>61318</v>
      </c>
      <c r="C73" s="26" t="s">
        <v>179</v>
      </c>
      <c r="D73" s="27" t="s">
        <v>180</v>
      </c>
      <c r="E73" s="27">
        <v>1619962321</v>
      </c>
      <c r="F73" s="381" t="s">
        <v>1</v>
      </c>
      <c r="G73" s="380">
        <v>1</v>
      </c>
      <c r="H73" s="311"/>
      <c r="I73" s="311"/>
      <c r="J73" s="25">
        <v>61318</v>
      </c>
      <c r="K73" s="440">
        <f>IFERROR(VLOOKUP(C73,'FY 2023 IMPACT FILE CA'!$A$3:$BH$52,58,FALSE),0)</f>
        <v>0</v>
      </c>
      <c r="L73" s="29"/>
      <c r="M73" s="441">
        <f>IF(N73&lt;=1,' FY 2023 CN Tables 1A-1E'!$C$5,' FY 2023 CN Tables 1A-1E'!$B$5)</f>
        <v>3952.96</v>
      </c>
      <c r="N73" s="442">
        <f>IFERROR(VLOOKUP($C73,'FY 2023 IMPACT FILE CA'!$A$3:$BG$52,12,FALSE),1)</f>
        <v>1</v>
      </c>
      <c r="O73" s="441">
        <f>IF(N73&lt;=1,' FY 2023 CN Tables 1A-1E'!$C$6,' FY 2023 CN Tables 1A-1E'!$B$6)</f>
        <v>2422.7800000000002</v>
      </c>
      <c r="P73" s="441">
        <f t="shared" si="13"/>
        <v>6375.74</v>
      </c>
      <c r="Q73" s="443">
        <f>' FY 2023 CN Tables 1A-1E'!$B$33</f>
        <v>483.79</v>
      </c>
      <c r="R73" s="442">
        <f>IFERROR(VLOOKUP(C73,'FY 2023 IMPACT FILE CA'!$A$3:$BG$52,48,FALSE),1)</f>
        <v>1</v>
      </c>
      <c r="S73" s="441">
        <f t="shared" si="14"/>
        <v>483.79</v>
      </c>
      <c r="T73" s="444">
        <f t="shared" si="15"/>
        <v>6859.53</v>
      </c>
      <c r="U73" s="445">
        <v>0</v>
      </c>
      <c r="V73" s="449">
        <f>IFERROR(VLOOKUP(C73,'FY 2023 IMPACT FILE CA'!$A$3:$BG$53,23,FALSE),0)</f>
        <v>0</v>
      </c>
      <c r="W73" s="449">
        <f>IFERROR(VLOOKUP(C73,'FY 2023 IMPACT FILE CA'!$A$3:$BG$53,24,FALSE),0)</f>
        <v>0</v>
      </c>
      <c r="X73" s="441">
        <f t="shared" si="16"/>
        <v>0</v>
      </c>
      <c r="Y73" s="441">
        <f t="shared" si="17"/>
        <v>0</v>
      </c>
      <c r="Z73" s="451">
        <f t="shared" si="20"/>
        <v>0</v>
      </c>
      <c r="AA73" s="449">
        <v>0</v>
      </c>
      <c r="AB73" s="452">
        <f t="shared" si="23"/>
        <v>0</v>
      </c>
      <c r="AC73" s="449">
        <f>IFERROR(VLOOKUP(C73,'Table 15'!$A$479:$B$528,2,FALSE),0)</f>
        <v>0</v>
      </c>
      <c r="AD73" s="452">
        <f t="shared" si="22"/>
        <v>0</v>
      </c>
      <c r="AE73" s="19" t="s">
        <v>144</v>
      </c>
      <c r="AF73" s="455">
        <f t="shared" si="18"/>
        <v>0</v>
      </c>
      <c r="AG73" s="454">
        <f t="shared" si="19"/>
        <v>0</v>
      </c>
    </row>
    <row r="74" spans="1:33" x14ac:dyDescent="0.35">
      <c r="A74" s="19">
        <v>13</v>
      </c>
      <c r="B74" s="25">
        <v>61319</v>
      </c>
      <c r="C74" s="26" t="s">
        <v>181</v>
      </c>
      <c r="D74" s="27" t="s">
        <v>182</v>
      </c>
      <c r="E74" s="27" t="s">
        <v>4</v>
      </c>
      <c r="F74" s="381" t="s">
        <v>1</v>
      </c>
      <c r="G74" s="380">
        <v>1</v>
      </c>
      <c r="H74" s="311"/>
      <c r="I74" s="311"/>
      <c r="J74" s="25">
        <v>61319</v>
      </c>
      <c r="K74" s="440">
        <f>IFERROR(VLOOKUP(C74,'FY 2023 IMPACT FILE CA'!$A$3:$BH$52,58,FALSE),0)</f>
        <v>0</v>
      </c>
      <c r="L74" s="29"/>
      <c r="M74" s="441">
        <f>IF(N74&lt;=1,' FY 2023 CN Tables 1A-1E'!$C$5,' FY 2023 CN Tables 1A-1E'!$B$5)</f>
        <v>3952.96</v>
      </c>
      <c r="N74" s="442">
        <f>IFERROR(VLOOKUP($C74,'FY 2023 IMPACT FILE CA'!$A$3:$BG$52,12,FALSE),1)</f>
        <v>1</v>
      </c>
      <c r="O74" s="441">
        <f>IF(N74&lt;=1,' FY 2023 CN Tables 1A-1E'!$C$6,' FY 2023 CN Tables 1A-1E'!$B$6)</f>
        <v>2422.7800000000002</v>
      </c>
      <c r="P74" s="441">
        <f t="shared" si="13"/>
        <v>6375.74</v>
      </c>
      <c r="Q74" s="443">
        <f>' FY 2023 CN Tables 1A-1E'!$B$33</f>
        <v>483.79</v>
      </c>
      <c r="R74" s="442">
        <f>IFERROR(VLOOKUP(C74,'FY 2023 IMPACT FILE CA'!$A$3:$BG$52,48,FALSE),1)</f>
        <v>1</v>
      </c>
      <c r="S74" s="441">
        <f t="shared" si="14"/>
        <v>483.79</v>
      </c>
      <c r="T74" s="444">
        <f t="shared" si="15"/>
        <v>6859.53</v>
      </c>
      <c r="U74" s="445">
        <v>0</v>
      </c>
      <c r="V74" s="449">
        <f>IFERROR(VLOOKUP(C74,'FY 2023 IMPACT FILE CA'!$A$3:$BG$53,23,FALSE),0)</f>
        <v>0</v>
      </c>
      <c r="W74" s="449">
        <f>IFERROR(VLOOKUP(C74,'FY 2023 IMPACT FILE CA'!$A$3:$BG$53,24,FALSE),0)</f>
        <v>0</v>
      </c>
      <c r="X74" s="441">
        <f t="shared" si="16"/>
        <v>0</v>
      </c>
      <c r="Y74" s="441">
        <f t="shared" si="17"/>
        <v>0</v>
      </c>
      <c r="Z74" s="451">
        <f t="shared" si="20"/>
        <v>0</v>
      </c>
      <c r="AA74" s="449">
        <v>0</v>
      </c>
      <c r="AB74" s="452">
        <f t="shared" si="23"/>
        <v>0</v>
      </c>
      <c r="AC74" s="449">
        <f>IFERROR(VLOOKUP(C74,'Table 15'!$A$479:$B$528,2,FALSE),0)</f>
        <v>0</v>
      </c>
      <c r="AD74" s="452">
        <f t="shared" si="22"/>
        <v>0</v>
      </c>
      <c r="AE74" s="19" t="s">
        <v>144</v>
      </c>
      <c r="AF74" s="455">
        <f t="shared" si="18"/>
        <v>0</v>
      </c>
      <c r="AG74" s="454">
        <f t="shared" si="19"/>
        <v>0</v>
      </c>
    </row>
    <row r="75" spans="1:33" x14ac:dyDescent="0.35">
      <c r="A75" s="19">
        <v>13</v>
      </c>
      <c r="B75" s="25">
        <v>61320</v>
      </c>
      <c r="C75" s="26" t="s">
        <v>183</v>
      </c>
      <c r="D75" s="27" t="s">
        <v>184</v>
      </c>
      <c r="E75" s="27">
        <v>1932109048</v>
      </c>
      <c r="F75" s="381" t="s">
        <v>1</v>
      </c>
      <c r="G75" s="380">
        <v>1</v>
      </c>
      <c r="H75" s="311"/>
      <c r="I75" s="311"/>
      <c r="J75" s="25">
        <v>61320</v>
      </c>
      <c r="K75" s="440">
        <f>IFERROR(VLOOKUP(C75,'FY 2023 IMPACT FILE CA'!$A$3:$BH$52,58,FALSE),0)</f>
        <v>0</v>
      </c>
      <c r="L75" s="29"/>
      <c r="M75" s="441">
        <f>IF(N75&lt;=1,' FY 2023 CN Tables 1A-1E'!$C$5,' FY 2023 CN Tables 1A-1E'!$B$5)</f>
        <v>3952.96</v>
      </c>
      <c r="N75" s="442">
        <f>IFERROR(VLOOKUP($C75,'FY 2023 IMPACT FILE CA'!$A$3:$BG$52,12,FALSE),1)</f>
        <v>1</v>
      </c>
      <c r="O75" s="441">
        <f>IF(N75&lt;=1,' FY 2023 CN Tables 1A-1E'!$C$6,' FY 2023 CN Tables 1A-1E'!$B$6)</f>
        <v>2422.7800000000002</v>
      </c>
      <c r="P75" s="441">
        <f t="shared" si="13"/>
        <v>6375.74</v>
      </c>
      <c r="Q75" s="443">
        <f>' FY 2023 CN Tables 1A-1E'!$B$33</f>
        <v>483.79</v>
      </c>
      <c r="R75" s="442">
        <f>IFERROR(VLOOKUP(C75,'FY 2023 IMPACT FILE CA'!$A$3:$BG$52,48,FALSE),1)</f>
        <v>1</v>
      </c>
      <c r="S75" s="441">
        <f t="shared" si="14"/>
        <v>483.79</v>
      </c>
      <c r="T75" s="444">
        <f t="shared" si="15"/>
        <v>6859.53</v>
      </c>
      <c r="U75" s="445">
        <v>0</v>
      </c>
      <c r="V75" s="449">
        <f>IFERROR(VLOOKUP(C75,'FY 2023 IMPACT FILE CA'!$A$3:$BG$53,23,FALSE),0)</f>
        <v>0</v>
      </c>
      <c r="W75" s="449">
        <f>IFERROR(VLOOKUP(C75,'FY 2023 IMPACT FILE CA'!$A$3:$BG$53,24,FALSE),0)</f>
        <v>0</v>
      </c>
      <c r="X75" s="441">
        <f t="shared" si="16"/>
        <v>0</v>
      </c>
      <c r="Y75" s="441">
        <f t="shared" si="17"/>
        <v>0</v>
      </c>
      <c r="Z75" s="451">
        <f t="shared" si="20"/>
        <v>0</v>
      </c>
      <c r="AA75" s="449">
        <v>0</v>
      </c>
      <c r="AB75" s="452">
        <f t="shared" si="23"/>
        <v>0</v>
      </c>
      <c r="AC75" s="449">
        <f>IFERROR(VLOOKUP(C75,'Table 15'!$A$479:$B$528,2,FALSE),0)</f>
        <v>0</v>
      </c>
      <c r="AD75" s="452">
        <f t="shared" si="22"/>
        <v>0</v>
      </c>
      <c r="AE75" s="19" t="s">
        <v>144</v>
      </c>
      <c r="AF75" s="455">
        <f t="shared" si="18"/>
        <v>0</v>
      </c>
      <c r="AG75" s="454">
        <f t="shared" si="19"/>
        <v>0</v>
      </c>
    </row>
    <row r="76" spans="1:33" x14ac:dyDescent="0.35">
      <c r="A76" s="19">
        <v>13</v>
      </c>
      <c r="B76" s="25">
        <v>61321</v>
      </c>
      <c r="C76" s="26" t="s">
        <v>185</v>
      </c>
      <c r="D76" s="27" t="s">
        <v>186</v>
      </c>
      <c r="E76" s="27">
        <v>1184616740</v>
      </c>
      <c r="F76" s="381" t="s">
        <v>1</v>
      </c>
      <c r="G76" s="380">
        <v>1</v>
      </c>
      <c r="H76" s="311"/>
      <c r="I76" s="311"/>
      <c r="J76" s="25">
        <v>61321</v>
      </c>
      <c r="K76" s="440">
        <f>IFERROR(VLOOKUP(C76,'FY 2023 IMPACT FILE CA'!$A$3:$BH$52,58,FALSE),0)</f>
        <v>0</v>
      </c>
      <c r="L76" s="29"/>
      <c r="M76" s="441">
        <f>IF(N76&lt;=1,' FY 2023 CN Tables 1A-1E'!$C$5,' FY 2023 CN Tables 1A-1E'!$B$5)</f>
        <v>3952.96</v>
      </c>
      <c r="N76" s="442">
        <f>IFERROR(VLOOKUP($C76,'FY 2023 IMPACT FILE CA'!$A$3:$BG$52,12,FALSE),1)</f>
        <v>1</v>
      </c>
      <c r="O76" s="441">
        <f>IF(N76&lt;=1,' FY 2023 CN Tables 1A-1E'!$C$6,' FY 2023 CN Tables 1A-1E'!$B$6)</f>
        <v>2422.7800000000002</v>
      </c>
      <c r="P76" s="441">
        <f t="shared" si="13"/>
        <v>6375.74</v>
      </c>
      <c r="Q76" s="443">
        <f>' FY 2023 CN Tables 1A-1E'!$B$33</f>
        <v>483.79</v>
      </c>
      <c r="R76" s="442">
        <f>IFERROR(VLOOKUP(C76,'FY 2023 IMPACT FILE CA'!$A$3:$BG$52,48,FALSE),1)</f>
        <v>1</v>
      </c>
      <c r="S76" s="441">
        <f t="shared" si="14"/>
        <v>483.79</v>
      </c>
      <c r="T76" s="444">
        <f t="shared" si="15"/>
        <v>6859.53</v>
      </c>
      <c r="U76" s="445">
        <v>0</v>
      </c>
      <c r="V76" s="449">
        <f>IFERROR(VLOOKUP(C76,'FY 2023 IMPACT FILE CA'!$A$3:$BG$53,23,FALSE),0)</f>
        <v>0</v>
      </c>
      <c r="W76" s="449">
        <f>IFERROR(VLOOKUP(C76,'FY 2023 IMPACT FILE CA'!$A$3:$BG$53,24,FALSE),0)</f>
        <v>0</v>
      </c>
      <c r="X76" s="441">
        <f t="shared" si="16"/>
        <v>0</v>
      </c>
      <c r="Y76" s="441">
        <f t="shared" si="17"/>
        <v>0</v>
      </c>
      <c r="Z76" s="451">
        <f t="shared" si="20"/>
        <v>0</v>
      </c>
      <c r="AA76" s="449">
        <v>0</v>
      </c>
      <c r="AB76" s="452">
        <f t="shared" si="23"/>
        <v>0</v>
      </c>
      <c r="AC76" s="449">
        <f>IFERROR(VLOOKUP(C76,'Table 15'!$A$479:$B$528,2,FALSE),0)</f>
        <v>0</v>
      </c>
      <c r="AD76" s="452">
        <f t="shared" si="22"/>
        <v>0</v>
      </c>
      <c r="AE76" s="19" t="s">
        <v>144</v>
      </c>
      <c r="AF76" s="455">
        <f t="shared" si="18"/>
        <v>0</v>
      </c>
      <c r="AG76" s="454">
        <f t="shared" si="19"/>
        <v>0</v>
      </c>
    </row>
    <row r="77" spans="1:33" x14ac:dyDescent="0.35">
      <c r="A77" s="19">
        <v>13</v>
      </c>
      <c r="B77" s="25">
        <v>61322</v>
      </c>
      <c r="C77" s="26" t="s">
        <v>187</v>
      </c>
      <c r="D77" s="27" t="s">
        <v>188</v>
      </c>
      <c r="E77" s="27">
        <v>1730258971</v>
      </c>
      <c r="F77" s="381" t="s">
        <v>1</v>
      </c>
      <c r="G77" s="380">
        <v>1</v>
      </c>
      <c r="H77" s="311"/>
      <c r="I77" s="311"/>
      <c r="J77" s="25">
        <v>61322</v>
      </c>
      <c r="K77" s="440">
        <f>IFERROR(VLOOKUP(C77,'FY 2023 IMPACT FILE CA'!$A$3:$BH$52,58,FALSE),0)</f>
        <v>0</v>
      </c>
      <c r="L77" s="29"/>
      <c r="M77" s="441">
        <f>IF(N77&lt;=1,' FY 2023 CN Tables 1A-1E'!$C$5,' FY 2023 CN Tables 1A-1E'!$B$5)</f>
        <v>3952.96</v>
      </c>
      <c r="N77" s="442">
        <f>IFERROR(VLOOKUP($C77,'FY 2023 IMPACT FILE CA'!$A$3:$BG$52,12,FALSE),1)</f>
        <v>1</v>
      </c>
      <c r="O77" s="441">
        <f>IF(N77&lt;=1,' FY 2023 CN Tables 1A-1E'!$C$6,' FY 2023 CN Tables 1A-1E'!$B$6)</f>
        <v>2422.7800000000002</v>
      </c>
      <c r="P77" s="441">
        <f t="shared" si="13"/>
        <v>6375.74</v>
      </c>
      <c r="Q77" s="443">
        <f>' FY 2023 CN Tables 1A-1E'!$B$33</f>
        <v>483.79</v>
      </c>
      <c r="R77" s="442">
        <f>IFERROR(VLOOKUP(C77,'FY 2023 IMPACT FILE CA'!$A$3:$BG$52,48,FALSE),1)</f>
        <v>1</v>
      </c>
      <c r="S77" s="441">
        <f t="shared" si="14"/>
        <v>483.79</v>
      </c>
      <c r="T77" s="444">
        <f t="shared" si="15"/>
        <v>6859.53</v>
      </c>
      <c r="U77" s="445">
        <v>0</v>
      </c>
      <c r="V77" s="449">
        <f>IFERROR(VLOOKUP(C77,'FY 2023 IMPACT FILE CA'!$A$3:$BG$53,23,FALSE),0)</f>
        <v>0</v>
      </c>
      <c r="W77" s="449">
        <f>IFERROR(VLOOKUP(C77,'FY 2023 IMPACT FILE CA'!$A$3:$BG$53,24,FALSE),0)</f>
        <v>0</v>
      </c>
      <c r="X77" s="441">
        <f t="shared" si="16"/>
        <v>0</v>
      </c>
      <c r="Y77" s="441">
        <f t="shared" si="17"/>
        <v>0</v>
      </c>
      <c r="Z77" s="451">
        <f t="shared" si="20"/>
        <v>0</v>
      </c>
      <c r="AA77" s="449">
        <v>0</v>
      </c>
      <c r="AB77" s="452">
        <f t="shared" si="23"/>
        <v>0</v>
      </c>
      <c r="AC77" s="449">
        <f>IFERROR(VLOOKUP(C77,'Table 15'!$A$479:$B$528,2,FALSE),0)</f>
        <v>0</v>
      </c>
      <c r="AD77" s="452">
        <f t="shared" si="22"/>
        <v>0</v>
      </c>
      <c r="AE77" s="19" t="s">
        <v>144</v>
      </c>
      <c r="AF77" s="455">
        <f t="shared" si="18"/>
        <v>0</v>
      </c>
      <c r="AG77" s="454">
        <f t="shared" si="19"/>
        <v>0</v>
      </c>
    </row>
    <row r="78" spans="1:33" x14ac:dyDescent="0.35">
      <c r="A78" s="19">
        <v>13</v>
      </c>
      <c r="B78" s="25">
        <v>61323</v>
      </c>
      <c r="C78" s="26" t="s">
        <v>189</v>
      </c>
      <c r="D78" s="27" t="s">
        <v>190</v>
      </c>
      <c r="E78" s="27">
        <v>1033448170</v>
      </c>
      <c r="F78" s="381" t="s">
        <v>1</v>
      </c>
      <c r="G78" s="380">
        <v>1</v>
      </c>
      <c r="H78" s="311"/>
      <c r="I78" s="311"/>
      <c r="J78" s="25">
        <v>61323</v>
      </c>
      <c r="K78" s="440">
        <f>IFERROR(VLOOKUP(C78,'FY 2023 IMPACT FILE CA'!$A$3:$BH$52,58,FALSE),0)</f>
        <v>0</v>
      </c>
      <c r="L78" s="29"/>
      <c r="M78" s="441">
        <f>IF(N78&lt;=1,' FY 2023 CN Tables 1A-1E'!$C$5,' FY 2023 CN Tables 1A-1E'!$B$5)</f>
        <v>3952.96</v>
      </c>
      <c r="N78" s="442">
        <f>IFERROR(VLOOKUP($C78,'FY 2023 IMPACT FILE CA'!$A$3:$BG$52,12,FALSE),1)</f>
        <v>1</v>
      </c>
      <c r="O78" s="441">
        <f>IF(N78&lt;=1,' FY 2023 CN Tables 1A-1E'!$C$6,' FY 2023 CN Tables 1A-1E'!$B$6)</f>
        <v>2422.7800000000002</v>
      </c>
      <c r="P78" s="441">
        <f t="shared" si="13"/>
        <v>6375.74</v>
      </c>
      <c r="Q78" s="443">
        <f>' FY 2023 CN Tables 1A-1E'!$B$33</f>
        <v>483.79</v>
      </c>
      <c r="R78" s="442">
        <f>IFERROR(VLOOKUP(C78,'FY 2023 IMPACT FILE CA'!$A$3:$BG$52,48,FALSE),1)</f>
        <v>1</v>
      </c>
      <c r="S78" s="441">
        <f t="shared" si="14"/>
        <v>483.79</v>
      </c>
      <c r="T78" s="444">
        <f t="shared" si="15"/>
        <v>6859.53</v>
      </c>
      <c r="U78" s="445">
        <v>0</v>
      </c>
      <c r="V78" s="449">
        <f>IFERROR(VLOOKUP(C78,'FY 2023 IMPACT FILE CA'!$A$3:$BG$53,23,FALSE),0)</f>
        <v>0</v>
      </c>
      <c r="W78" s="449">
        <f>IFERROR(VLOOKUP(C78,'FY 2023 IMPACT FILE CA'!$A$3:$BG$53,24,FALSE),0)</f>
        <v>0</v>
      </c>
      <c r="X78" s="441">
        <f t="shared" si="16"/>
        <v>0</v>
      </c>
      <c r="Y78" s="441">
        <f t="shared" si="17"/>
        <v>0</v>
      </c>
      <c r="Z78" s="451">
        <f t="shared" si="20"/>
        <v>0</v>
      </c>
      <c r="AA78" s="449">
        <v>0</v>
      </c>
      <c r="AB78" s="452">
        <f t="shared" si="23"/>
        <v>0</v>
      </c>
      <c r="AC78" s="449">
        <f>IFERROR(VLOOKUP(C78,'Table 15'!$A$479:$B$528,2,FALSE),0)</f>
        <v>0</v>
      </c>
      <c r="AD78" s="452">
        <f t="shared" si="22"/>
        <v>0</v>
      </c>
      <c r="AE78" s="19" t="s">
        <v>144</v>
      </c>
      <c r="AF78" s="455">
        <f t="shared" si="18"/>
        <v>0</v>
      </c>
      <c r="AG78" s="454">
        <f t="shared" si="19"/>
        <v>0</v>
      </c>
    </row>
    <row r="79" spans="1:33" x14ac:dyDescent="0.35">
      <c r="A79" s="19">
        <v>13</v>
      </c>
      <c r="B79" s="25">
        <v>61324</v>
      </c>
      <c r="C79" s="26" t="s">
        <v>191</v>
      </c>
      <c r="D79" s="27" t="s">
        <v>192</v>
      </c>
      <c r="E79" s="27">
        <v>1518960814</v>
      </c>
      <c r="F79" s="381" t="s">
        <v>1</v>
      </c>
      <c r="G79" s="380">
        <v>1</v>
      </c>
      <c r="H79" s="311"/>
      <c r="I79" s="311"/>
      <c r="J79" s="25">
        <v>61324</v>
      </c>
      <c r="K79" s="440">
        <f>IFERROR(VLOOKUP(C79,'FY 2023 IMPACT FILE CA'!$A$3:$BH$52,58,FALSE),0)</f>
        <v>0</v>
      </c>
      <c r="L79" s="29"/>
      <c r="M79" s="441">
        <f>IF(N79&lt;=1,' FY 2023 CN Tables 1A-1E'!$C$5,' FY 2023 CN Tables 1A-1E'!$B$5)</f>
        <v>3952.96</v>
      </c>
      <c r="N79" s="442">
        <f>IFERROR(VLOOKUP($C79,'FY 2023 IMPACT FILE CA'!$A$3:$BG$52,12,FALSE),1)</f>
        <v>1</v>
      </c>
      <c r="O79" s="441">
        <f>IF(N79&lt;=1,' FY 2023 CN Tables 1A-1E'!$C$6,' FY 2023 CN Tables 1A-1E'!$B$6)</f>
        <v>2422.7800000000002</v>
      </c>
      <c r="P79" s="441">
        <f t="shared" si="13"/>
        <v>6375.74</v>
      </c>
      <c r="Q79" s="443">
        <f>' FY 2023 CN Tables 1A-1E'!$B$33</f>
        <v>483.79</v>
      </c>
      <c r="R79" s="442">
        <f>IFERROR(VLOOKUP(C79,'FY 2023 IMPACT FILE CA'!$A$3:$BG$52,48,FALSE),1)</f>
        <v>1</v>
      </c>
      <c r="S79" s="441">
        <f t="shared" si="14"/>
        <v>483.79</v>
      </c>
      <c r="T79" s="444">
        <f t="shared" si="15"/>
        <v>6859.53</v>
      </c>
      <c r="U79" s="445">
        <v>0</v>
      </c>
      <c r="V79" s="449">
        <f>IFERROR(VLOOKUP(C79,'FY 2023 IMPACT FILE CA'!$A$3:$BG$53,23,FALSE),0)</f>
        <v>0</v>
      </c>
      <c r="W79" s="449">
        <f>IFERROR(VLOOKUP(C79,'FY 2023 IMPACT FILE CA'!$A$3:$BG$53,24,FALSE),0)</f>
        <v>0</v>
      </c>
      <c r="X79" s="441">
        <f t="shared" si="16"/>
        <v>0</v>
      </c>
      <c r="Y79" s="441">
        <f t="shared" si="17"/>
        <v>0</v>
      </c>
      <c r="Z79" s="451">
        <f t="shared" si="20"/>
        <v>0</v>
      </c>
      <c r="AA79" s="449">
        <v>0</v>
      </c>
      <c r="AB79" s="452">
        <f t="shared" si="23"/>
        <v>0</v>
      </c>
      <c r="AC79" s="449">
        <f>IFERROR(VLOOKUP(C79,'Table 15'!$A$479:$B$528,2,FALSE),0)</f>
        <v>0</v>
      </c>
      <c r="AD79" s="452">
        <f t="shared" si="22"/>
        <v>0</v>
      </c>
      <c r="AE79" s="19" t="s">
        <v>144</v>
      </c>
      <c r="AF79" s="455">
        <f t="shared" si="18"/>
        <v>0</v>
      </c>
      <c r="AG79" s="454">
        <f t="shared" si="19"/>
        <v>0</v>
      </c>
    </row>
    <row r="80" spans="1:33" x14ac:dyDescent="0.35">
      <c r="A80" s="19">
        <v>13</v>
      </c>
      <c r="B80" s="25">
        <v>61325</v>
      </c>
      <c r="C80" s="26" t="s">
        <v>193</v>
      </c>
      <c r="D80" s="27" t="s">
        <v>194</v>
      </c>
      <c r="E80" s="27">
        <v>1801874771</v>
      </c>
      <c r="F80" s="384" t="s">
        <v>1</v>
      </c>
      <c r="G80" s="383">
        <v>1</v>
      </c>
      <c r="H80" s="311"/>
      <c r="I80" s="311"/>
      <c r="J80" s="25">
        <v>61325</v>
      </c>
      <c r="K80" s="440">
        <f>IFERROR(VLOOKUP(C80,'FY 2023 IMPACT FILE CA'!$A$3:$BH$52,58,FALSE),0)</f>
        <v>0</v>
      </c>
      <c r="L80" s="29"/>
      <c r="M80" s="441">
        <f>IF(N80&lt;=1,' FY 2023 CN Tables 1A-1E'!$C$5,' FY 2023 CN Tables 1A-1E'!$B$5)</f>
        <v>3952.96</v>
      </c>
      <c r="N80" s="442">
        <f>IFERROR(VLOOKUP($C80,'FY 2023 IMPACT FILE CA'!$A$3:$BG$52,12,FALSE),1)</f>
        <v>1</v>
      </c>
      <c r="O80" s="441">
        <f>IF(N80&lt;=1,' FY 2023 CN Tables 1A-1E'!$C$6,' FY 2023 CN Tables 1A-1E'!$B$6)</f>
        <v>2422.7800000000002</v>
      </c>
      <c r="P80" s="441">
        <f t="shared" si="13"/>
        <v>6375.74</v>
      </c>
      <c r="Q80" s="443">
        <f>' FY 2023 CN Tables 1A-1E'!$B$33</f>
        <v>483.79</v>
      </c>
      <c r="R80" s="442">
        <f>IFERROR(VLOOKUP(C80,'FY 2023 IMPACT FILE CA'!$A$3:$BG$52,48,FALSE),1)</f>
        <v>1</v>
      </c>
      <c r="S80" s="441">
        <f t="shared" si="14"/>
        <v>483.79</v>
      </c>
      <c r="T80" s="444">
        <f t="shared" si="15"/>
        <v>6859.53</v>
      </c>
      <c r="U80" s="445">
        <v>0</v>
      </c>
      <c r="V80" s="449">
        <f>IFERROR(VLOOKUP(C80,'FY 2023 IMPACT FILE CA'!$A$3:$BG$53,23,FALSE),0)</f>
        <v>0</v>
      </c>
      <c r="W80" s="449">
        <f>IFERROR(VLOOKUP(C80,'FY 2023 IMPACT FILE CA'!$A$3:$BG$53,24,FALSE),0)</f>
        <v>0</v>
      </c>
      <c r="X80" s="441">
        <f t="shared" si="16"/>
        <v>0</v>
      </c>
      <c r="Y80" s="441">
        <f t="shared" si="17"/>
        <v>0</v>
      </c>
      <c r="Z80" s="451">
        <f t="shared" si="20"/>
        <v>0</v>
      </c>
      <c r="AA80" s="449">
        <v>0</v>
      </c>
      <c r="AB80" s="452">
        <f t="shared" si="23"/>
        <v>0</v>
      </c>
      <c r="AC80" s="449">
        <f>IFERROR(VLOOKUP(C80,'Table 15'!$A$479:$B$528,2,FALSE),0)</f>
        <v>0</v>
      </c>
      <c r="AD80" s="452">
        <f t="shared" si="22"/>
        <v>0</v>
      </c>
      <c r="AE80" s="19" t="s">
        <v>144</v>
      </c>
      <c r="AF80" s="455">
        <f t="shared" si="18"/>
        <v>0</v>
      </c>
      <c r="AG80" s="454">
        <f t="shared" si="19"/>
        <v>0</v>
      </c>
    </row>
    <row r="81" spans="1:33" x14ac:dyDescent="0.35">
      <c r="A81" s="19">
        <v>13</v>
      </c>
      <c r="B81" s="25">
        <v>61326</v>
      </c>
      <c r="C81" s="26" t="s">
        <v>195</v>
      </c>
      <c r="D81" s="27" t="s">
        <v>196</v>
      </c>
      <c r="E81" s="27">
        <v>1275703910</v>
      </c>
      <c r="F81" s="381" t="s">
        <v>1</v>
      </c>
      <c r="G81" s="380">
        <v>0</v>
      </c>
      <c r="H81" s="311"/>
      <c r="I81" s="311"/>
      <c r="J81" s="25">
        <v>61326</v>
      </c>
      <c r="K81" s="440">
        <f>IFERROR(VLOOKUP(C81,'FY 2023 IMPACT FILE CA'!$A$3:$BH$52,58,FALSE),0)</f>
        <v>0</v>
      </c>
      <c r="L81" s="29"/>
      <c r="M81" s="441">
        <f>IF(N81&lt;=1,' FY 2023 CN Tables 1A-1E'!$C$5,' FY 2023 CN Tables 1A-1E'!$B$5)</f>
        <v>3952.96</v>
      </c>
      <c r="N81" s="442">
        <f>IFERROR(VLOOKUP($C81,'FY 2023 IMPACT FILE CA'!$A$3:$BG$52,12,FALSE),1)</f>
        <v>1</v>
      </c>
      <c r="O81" s="441">
        <f>IF(N81&lt;=1,' FY 2023 CN Tables 1A-1E'!$C$6,' FY 2023 CN Tables 1A-1E'!$B$6)</f>
        <v>2422.7800000000002</v>
      </c>
      <c r="P81" s="441">
        <f t="shared" si="13"/>
        <v>6375.74</v>
      </c>
      <c r="Q81" s="443">
        <f>' FY 2023 CN Tables 1A-1E'!$B$33</f>
        <v>483.79</v>
      </c>
      <c r="R81" s="442">
        <f>IFERROR(VLOOKUP(C81,'FY 2023 IMPACT FILE CA'!$A$3:$BG$52,48,FALSE),1)</f>
        <v>1</v>
      </c>
      <c r="S81" s="441">
        <f t="shared" si="14"/>
        <v>483.79</v>
      </c>
      <c r="T81" s="444">
        <f t="shared" si="15"/>
        <v>6859.53</v>
      </c>
      <c r="U81" s="445">
        <v>0</v>
      </c>
      <c r="V81" s="449">
        <f>IFERROR(VLOOKUP(C81,'FY 2023 IMPACT FILE CA'!$A$3:$BG$53,23,FALSE),0)</f>
        <v>0</v>
      </c>
      <c r="W81" s="449">
        <f>IFERROR(VLOOKUP(C81,'FY 2023 IMPACT FILE CA'!$A$3:$BG$53,24,FALSE),0)</f>
        <v>0</v>
      </c>
      <c r="X81" s="441">
        <f t="shared" si="16"/>
        <v>0</v>
      </c>
      <c r="Y81" s="441">
        <f t="shared" si="17"/>
        <v>0</v>
      </c>
      <c r="Z81" s="451">
        <f t="shared" si="20"/>
        <v>0</v>
      </c>
      <c r="AA81" s="449">
        <v>0</v>
      </c>
      <c r="AB81" s="452">
        <f t="shared" si="23"/>
        <v>0</v>
      </c>
      <c r="AC81" s="449">
        <f>IFERROR(VLOOKUP(C81,'Table 15'!$A$479:$B$528,2,FALSE),0)</f>
        <v>0</v>
      </c>
      <c r="AD81" s="452">
        <f t="shared" si="22"/>
        <v>0</v>
      </c>
      <c r="AE81" s="19" t="s">
        <v>144</v>
      </c>
      <c r="AF81" s="455">
        <f t="shared" si="18"/>
        <v>0</v>
      </c>
      <c r="AG81" s="454">
        <f t="shared" si="19"/>
        <v>0</v>
      </c>
    </row>
    <row r="82" spans="1:33" x14ac:dyDescent="0.35">
      <c r="A82" s="19">
        <v>13</v>
      </c>
      <c r="B82" s="25">
        <v>61327</v>
      </c>
      <c r="C82" s="35" t="s">
        <v>197</v>
      </c>
      <c r="D82" s="27" t="s">
        <v>198</v>
      </c>
      <c r="E82" s="27">
        <v>1649241571</v>
      </c>
      <c r="F82" s="381" t="s">
        <v>1</v>
      </c>
      <c r="G82" s="380">
        <v>1</v>
      </c>
      <c r="H82" s="311"/>
      <c r="I82" s="311"/>
      <c r="J82" s="25">
        <v>61327</v>
      </c>
      <c r="K82" s="440">
        <f>IFERROR(VLOOKUP(C82,'FY 2023 IMPACT FILE CA'!$A$3:$BH$52,58,FALSE),0)</f>
        <v>0</v>
      </c>
      <c r="L82" s="29"/>
      <c r="M82" s="441">
        <f>IF(N82&lt;=1,' FY 2023 CN Tables 1A-1E'!$C$5,' FY 2023 CN Tables 1A-1E'!$B$5)</f>
        <v>3952.96</v>
      </c>
      <c r="N82" s="442">
        <f>IFERROR(VLOOKUP($C82,'FY 2023 IMPACT FILE CA'!$A$3:$BG$52,12,FALSE),1)</f>
        <v>1</v>
      </c>
      <c r="O82" s="441">
        <f>IF(N82&lt;=1,' FY 2023 CN Tables 1A-1E'!$C$6,' FY 2023 CN Tables 1A-1E'!$B$6)</f>
        <v>2422.7800000000002</v>
      </c>
      <c r="P82" s="441">
        <f t="shared" si="13"/>
        <v>6375.74</v>
      </c>
      <c r="Q82" s="443">
        <f>' FY 2023 CN Tables 1A-1E'!$B$33</f>
        <v>483.79</v>
      </c>
      <c r="R82" s="442">
        <f>IFERROR(VLOOKUP(C82,'FY 2023 IMPACT FILE CA'!$A$3:$BG$52,48,FALSE),1)</f>
        <v>1</v>
      </c>
      <c r="S82" s="441">
        <f t="shared" si="14"/>
        <v>483.79</v>
      </c>
      <c r="T82" s="444">
        <f t="shared" si="15"/>
        <v>6859.53</v>
      </c>
      <c r="U82" s="445">
        <v>0</v>
      </c>
      <c r="V82" s="449">
        <f>IFERROR(VLOOKUP(C82,'FY 2023 IMPACT FILE CA'!$A$3:$BG$53,23,FALSE),0)</f>
        <v>0</v>
      </c>
      <c r="W82" s="449">
        <f>IFERROR(VLOOKUP(C82,'FY 2023 IMPACT FILE CA'!$A$3:$BG$53,24,FALSE),0)</f>
        <v>0</v>
      </c>
      <c r="X82" s="441">
        <f t="shared" si="16"/>
        <v>0</v>
      </c>
      <c r="Y82" s="441">
        <f t="shared" si="17"/>
        <v>0</v>
      </c>
      <c r="Z82" s="451">
        <f t="shared" si="20"/>
        <v>0</v>
      </c>
      <c r="AA82" s="449">
        <v>0</v>
      </c>
      <c r="AB82" s="452">
        <f t="shared" si="23"/>
        <v>0</v>
      </c>
      <c r="AC82" s="449">
        <f>IFERROR(VLOOKUP(C82,'Table 15'!$A$479:$B$528,2,FALSE),0)</f>
        <v>0</v>
      </c>
      <c r="AD82" s="452">
        <f t="shared" si="22"/>
        <v>0</v>
      </c>
      <c r="AE82" s="19" t="s">
        <v>144</v>
      </c>
      <c r="AF82" s="455">
        <f t="shared" si="18"/>
        <v>0</v>
      </c>
      <c r="AG82" s="454">
        <f t="shared" si="19"/>
        <v>0</v>
      </c>
    </row>
    <row r="83" spans="1:33" x14ac:dyDescent="0.35">
      <c r="A83" s="19">
        <v>13</v>
      </c>
      <c r="B83" s="25">
        <v>61328</v>
      </c>
      <c r="C83" s="26" t="s">
        <v>199</v>
      </c>
      <c r="D83" s="27" t="s">
        <v>200</v>
      </c>
      <c r="E83" s="27">
        <v>1245401561</v>
      </c>
      <c r="F83" s="381" t="s">
        <v>1</v>
      </c>
      <c r="G83" s="380">
        <v>1</v>
      </c>
      <c r="H83" s="311"/>
      <c r="I83" s="311"/>
      <c r="J83" s="25">
        <v>61328</v>
      </c>
      <c r="K83" s="440">
        <f>IFERROR(VLOOKUP(C83,'FY 2023 IMPACT FILE CA'!$A$3:$BH$52,58,FALSE),0)</f>
        <v>0</v>
      </c>
      <c r="L83" s="29"/>
      <c r="M83" s="441">
        <f>IF(N83&lt;=1,' FY 2023 CN Tables 1A-1E'!$C$5,' FY 2023 CN Tables 1A-1E'!$B$5)</f>
        <v>3952.96</v>
      </c>
      <c r="N83" s="442">
        <f>IFERROR(VLOOKUP($C83,'FY 2023 IMPACT FILE CA'!$A$3:$BG$52,12,FALSE),1)</f>
        <v>1</v>
      </c>
      <c r="O83" s="441">
        <f>IF(N83&lt;=1,' FY 2023 CN Tables 1A-1E'!$C$6,' FY 2023 CN Tables 1A-1E'!$B$6)</f>
        <v>2422.7800000000002</v>
      </c>
      <c r="P83" s="441">
        <f t="shared" si="13"/>
        <v>6375.74</v>
      </c>
      <c r="Q83" s="443">
        <f>' FY 2023 CN Tables 1A-1E'!$B$33</f>
        <v>483.79</v>
      </c>
      <c r="R83" s="442">
        <f>IFERROR(VLOOKUP(C83,'FY 2023 IMPACT FILE CA'!$A$3:$BG$52,48,FALSE),1)</f>
        <v>1</v>
      </c>
      <c r="S83" s="441">
        <f t="shared" si="14"/>
        <v>483.79</v>
      </c>
      <c r="T83" s="444">
        <f t="shared" si="15"/>
        <v>6859.53</v>
      </c>
      <c r="U83" s="445">
        <v>0</v>
      </c>
      <c r="V83" s="449">
        <f>IFERROR(VLOOKUP(C83,'FY 2023 IMPACT FILE CA'!$A$3:$BG$53,23,FALSE),0)</f>
        <v>0</v>
      </c>
      <c r="W83" s="449">
        <f>IFERROR(VLOOKUP(C83,'FY 2023 IMPACT FILE CA'!$A$3:$BG$53,24,FALSE),0)</f>
        <v>0</v>
      </c>
      <c r="X83" s="441">
        <f t="shared" si="16"/>
        <v>0</v>
      </c>
      <c r="Y83" s="441">
        <f t="shared" si="17"/>
        <v>0</v>
      </c>
      <c r="Z83" s="451">
        <f t="shared" si="20"/>
        <v>0</v>
      </c>
      <c r="AA83" s="449">
        <v>0</v>
      </c>
      <c r="AB83" s="452">
        <f t="shared" si="23"/>
        <v>0</v>
      </c>
      <c r="AC83" s="449">
        <f>IFERROR(VLOOKUP(C83,'Table 15'!$A$479:$B$528,2,FALSE),0)</f>
        <v>0</v>
      </c>
      <c r="AD83" s="452">
        <f t="shared" si="22"/>
        <v>0</v>
      </c>
      <c r="AE83" s="19" t="s">
        <v>144</v>
      </c>
      <c r="AF83" s="455">
        <f t="shared" si="18"/>
        <v>0</v>
      </c>
      <c r="AG83" s="454">
        <f t="shared" si="19"/>
        <v>0</v>
      </c>
    </row>
    <row r="84" spans="1:33" x14ac:dyDescent="0.35">
      <c r="A84" s="19">
        <v>13</v>
      </c>
      <c r="B84" s="25">
        <v>61336</v>
      </c>
      <c r="C84" s="26" t="s">
        <v>201</v>
      </c>
      <c r="D84" s="27" t="s">
        <v>202</v>
      </c>
      <c r="E84" s="27">
        <v>1336289552</v>
      </c>
      <c r="F84" s="381" t="s">
        <v>1</v>
      </c>
      <c r="G84" s="380">
        <v>1</v>
      </c>
      <c r="H84" s="311"/>
      <c r="I84" s="311"/>
      <c r="J84" s="25">
        <v>61336</v>
      </c>
      <c r="K84" s="440">
        <f>IFERROR(VLOOKUP(C84,'FY 2023 IMPACT FILE CA'!$A$3:$BH$52,58,FALSE),0)</f>
        <v>0</v>
      </c>
      <c r="L84" s="29"/>
      <c r="M84" s="441">
        <f>IF(N84&lt;=1,' FY 2023 CN Tables 1A-1E'!$C$5,' FY 2023 CN Tables 1A-1E'!$B$5)</f>
        <v>3952.96</v>
      </c>
      <c r="N84" s="442">
        <f>IFERROR(VLOOKUP($C84,'FY 2023 IMPACT FILE CA'!$A$3:$BG$52,12,FALSE),1)</f>
        <v>1</v>
      </c>
      <c r="O84" s="441">
        <f>IF(N84&lt;=1,' FY 2023 CN Tables 1A-1E'!$C$6,' FY 2023 CN Tables 1A-1E'!$B$6)</f>
        <v>2422.7800000000002</v>
      </c>
      <c r="P84" s="441">
        <f t="shared" si="13"/>
        <v>6375.74</v>
      </c>
      <c r="Q84" s="443">
        <f>' FY 2023 CN Tables 1A-1E'!$B$33</f>
        <v>483.79</v>
      </c>
      <c r="R84" s="442">
        <f>IFERROR(VLOOKUP(C84,'FY 2023 IMPACT FILE CA'!$A$3:$BG$52,48,FALSE),1)</f>
        <v>1</v>
      </c>
      <c r="S84" s="441">
        <f t="shared" si="14"/>
        <v>483.79</v>
      </c>
      <c r="T84" s="444">
        <f t="shared" si="15"/>
        <v>6859.53</v>
      </c>
      <c r="U84" s="445">
        <v>0</v>
      </c>
      <c r="V84" s="449">
        <f>IFERROR(VLOOKUP(C84,'FY 2023 IMPACT FILE CA'!$A$3:$BG$53,23,FALSE),0)</f>
        <v>0</v>
      </c>
      <c r="W84" s="449">
        <f>IFERROR(VLOOKUP(C84,'FY 2023 IMPACT FILE CA'!$A$3:$BG$53,24,FALSE),0)</f>
        <v>0</v>
      </c>
      <c r="X84" s="441">
        <f t="shared" si="16"/>
        <v>0</v>
      </c>
      <c r="Y84" s="441">
        <f t="shared" si="17"/>
        <v>0</v>
      </c>
      <c r="Z84" s="451">
        <f t="shared" si="20"/>
        <v>0</v>
      </c>
      <c r="AA84" s="449">
        <v>0</v>
      </c>
      <c r="AB84" s="452">
        <f t="shared" si="23"/>
        <v>0</v>
      </c>
      <c r="AC84" s="449">
        <f>IFERROR(VLOOKUP(C84,'Table 15'!$A$479:$B$528,2,FALSE),0)</f>
        <v>0</v>
      </c>
      <c r="AD84" s="452">
        <f t="shared" si="22"/>
        <v>0</v>
      </c>
      <c r="AE84" s="19" t="s">
        <v>144</v>
      </c>
      <c r="AF84" s="455">
        <f t="shared" si="18"/>
        <v>0</v>
      </c>
      <c r="AG84" s="454">
        <f t="shared" si="19"/>
        <v>0</v>
      </c>
    </row>
    <row r="85" spans="1:33" x14ac:dyDescent="0.35">
      <c r="A85" s="19">
        <v>13</v>
      </c>
      <c r="B85" s="25">
        <v>61343</v>
      </c>
      <c r="C85" s="26" t="s">
        <v>203</v>
      </c>
      <c r="D85" s="27" t="s">
        <v>204</v>
      </c>
      <c r="E85" s="27">
        <v>1366840688</v>
      </c>
      <c r="F85" s="381" t="s">
        <v>1</v>
      </c>
      <c r="G85" s="380">
        <v>1</v>
      </c>
      <c r="H85" s="311"/>
      <c r="I85" s="311"/>
      <c r="J85" s="25">
        <v>61343</v>
      </c>
      <c r="K85" s="440">
        <f>IFERROR(VLOOKUP(C85,'FY 2023 IMPACT FILE CA'!$A$3:$BH$52,58,FALSE),0)</f>
        <v>0</v>
      </c>
      <c r="L85" s="29"/>
      <c r="M85" s="441">
        <f>IF(N85&lt;=1,' FY 2023 CN Tables 1A-1E'!$C$5,' FY 2023 CN Tables 1A-1E'!$B$5)</f>
        <v>3952.96</v>
      </c>
      <c r="N85" s="442">
        <f>IFERROR(VLOOKUP($C85,'FY 2023 IMPACT FILE CA'!$A$3:$BG$52,12,FALSE),1)</f>
        <v>1</v>
      </c>
      <c r="O85" s="441">
        <f>IF(N85&lt;=1,' FY 2023 CN Tables 1A-1E'!$C$6,' FY 2023 CN Tables 1A-1E'!$B$6)</f>
        <v>2422.7800000000002</v>
      </c>
      <c r="P85" s="441">
        <f t="shared" si="13"/>
        <v>6375.74</v>
      </c>
      <c r="Q85" s="443">
        <f>' FY 2023 CN Tables 1A-1E'!$B$33</f>
        <v>483.79</v>
      </c>
      <c r="R85" s="442">
        <f>IFERROR(VLOOKUP(C85,'FY 2023 IMPACT FILE CA'!$A$3:$BG$52,48,FALSE),1)</f>
        <v>1</v>
      </c>
      <c r="S85" s="441">
        <f t="shared" si="14"/>
        <v>483.79</v>
      </c>
      <c r="T85" s="444">
        <f t="shared" si="15"/>
        <v>6859.53</v>
      </c>
      <c r="U85" s="445">
        <v>0</v>
      </c>
      <c r="V85" s="449">
        <f>IFERROR(VLOOKUP(C85,'FY 2023 IMPACT FILE CA'!$A$3:$BG$53,23,FALSE),0)</f>
        <v>0</v>
      </c>
      <c r="W85" s="449">
        <f>IFERROR(VLOOKUP(C85,'FY 2023 IMPACT FILE CA'!$A$3:$BG$53,24,FALSE),0)</f>
        <v>0</v>
      </c>
      <c r="X85" s="441">
        <f t="shared" si="16"/>
        <v>0</v>
      </c>
      <c r="Y85" s="441">
        <f t="shared" si="17"/>
        <v>0</v>
      </c>
      <c r="Z85" s="451">
        <f t="shared" si="20"/>
        <v>0</v>
      </c>
      <c r="AA85" s="449">
        <v>0</v>
      </c>
      <c r="AB85" s="452">
        <f t="shared" si="23"/>
        <v>0</v>
      </c>
      <c r="AC85" s="449">
        <f>IFERROR(VLOOKUP(C85,'Table 15'!$A$479:$B$528,2,FALSE),0)</f>
        <v>0</v>
      </c>
      <c r="AD85" s="452">
        <f t="shared" si="22"/>
        <v>0</v>
      </c>
      <c r="AE85" s="19" t="s">
        <v>144</v>
      </c>
      <c r="AF85" s="455">
        <f t="shared" si="18"/>
        <v>0</v>
      </c>
      <c r="AG85" s="454">
        <f t="shared" si="19"/>
        <v>0</v>
      </c>
    </row>
    <row r="86" spans="1:33" x14ac:dyDescent="0.35">
      <c r="A86" s="19">
        <v>13</v>
      </c>
      <c r="B86" s="25">
        <v>61344</v>
      </c>
      <c r="C86" s="26" t="s">
        <v>205</v>
      </c>
      <c r="D86" s="27" t="s">
        <v>206</v>
      </c>
      <c r="E86" s="27">
        <v>1922012350</v>
      </c>
      <c r="F86" s="381" t="s">
        <v>1</v>
      </c>
      <c r="G86" s="380">
        <v>1</v>
      </c>
      <c r="H86" s="311"/>
      <c r="I86" s="311"/>
      <c r="J86" s="25">
        <v>61344</v>
      </c>
      <c r="K86" s="440">
        <f>IFERROR(VLOOKUP(C86,'FY 2023 IMPACT FILE CA'!$A$3:$BH$52,58,FALSE),0)</f>
        <v>0</v>
      </c>
      <c r="L86" s="29"/>
      <c r="M86" s="441">
        <f>IF(N86&lt;=1,' FY 2023 CN Tables 1A-1E'!$C$5,' FY 2023 CN Tables 1A-1E'!$B$5)</f>
        <v>3952.96</v>
      </c>
      <c r="N86" s="442">
        <f>IFERROR(VLOOKUP($C86,'FY 2023 IMPACT FILE CA'!$A$3:$BG$52,12,FALSE),1)</f>
        <v>1</v>
      </c>
      <c r="O86" s="441">
        <f>IF(N86&lt;=1,' FY 2023 CN Tables 1A-1E'!$C$6,' FY 2023 CN Tables 1A-1E'!$B$6)</f>
        <v>2422.7800000000002</v>
      </c>
      <c r="P86" s="441">
        <f t="shared" si="13"/>
        <v>6375.74</v>
      </c>
      <c r="Q86" s="443">
        <f>' FY 2023 CN Tables 1A-1E'!$B$33</f>
        <v>483.79</v>
      </c>
      <c r="R86" s="442">
        <f>IFERROR(VLOOKUP(C86,'FY 2023 IMPACT FILE CA'!$A$3:$BG$52,48,FALSE),1)</f>
        <v>1</v>
      </c>
      <c r="S86" s="441">
        <f t="shared" si="14"/>
        <v>483.79</v>
      </c>
      <c r="T86" s="444">
        <f t="shared" si="15"/>
        <v>6859.53</v>
      </c>
      <c r="U86" s="445">
        <v>0</v>
      </c>
      <c r="V86" s="449">
        <f>IFERROR(VLOOKUP(C86,'FY 2023 IMPACT FILE CA'!$A$3:$BG$53,23,FALSE),0)</f>
        <v>0</v>
      </c>
      <c r="W86" s="449">
        <f>IFERROR(VLOOKUP(C86,'FY 2023 IMPACT FILE CA'!$A$3:$BG$53,24,FALSE),0)</f>
        <v>0</v>
      </c>
      <c r="X86" s="441">
        <f t="shared" si="16"/>
        <v>0</v>
      </c>
      <c r="Y86" s="441">
        <f t="shared" si="17"/>
        <v>0</v>
      </c>
      <c r="Z86" s="451">
        <f t="shared" si="20"/>
        <v>0</v>
      </c>
      <c r="AA86" s="449">
        <v>0</v>
      </c>
      <c r="AB86" s="452">
        <f t="shared" si="23"/>
        <v>0</v>
      </c>
      <c r="AC86" s="449">
        <f>IFERROR(VLOOKUP(C86,'Table 15'!$A$479:$B$528,2,FALSE),0)</f>
        <v>0</v>
      </c>
      <c r="AD86" s="452">
        <f t="shared" si="22"/>
        <v>0</v>
      </c>
      <c r="AE86" s="19" t="s">
        <v>144</v>
      </c>
      <c r="AF86" s="455">
        <f t="shared" si="18"/>
        <v>0</v>
      </c>
      <c r="AG86" s="454">
        <f t="shared" si="19"/>
        <v>0</v>
      </c>
    </row>
    <row r="87" spans="1:33" x14ac:dyDescent="0.35">
      <c r="A87" s="19">
        <v>33</v>
      </c>
      <c r="B87" s="25">
        <v>63301</v>
      </c>
      <c r="C87" s="26" t="s">
        <v>207</v>
      </c>
      <c r="D87" s="27" t="s">
        <v>208</v>
      </c>
      <c r="E87" s="27">
        <v>1952762551</v>
      </c>
      <c r="F87" s="381" t="s">
        <v>224</v>
      </c>
      <c r="G87" s="380">
        <v>2</v>
      </c>
      <c r="H87" s="311"/>
      <c r="I87" s="311"/>
      <c r="J87" s="25">
        <v>63301</v>
      </c>
      <c r="K87" s="440">
        <f>IFERROR(VLOOKUP(C87,'FY 2023 IMPACT FILE CA'!$A$3:$BH$52,58,FALSE),0)</f>
        <v>0</v>
      </c>
      <c r="L87" s="29"/>
      <c r="M87" s="441">
        <f>IF(N87&lt;=1,' FY 2023 CN Tables 1A-1E'!$C$5,' FY 2023 CN Tables 1A-1E'!$B$5)</f>
        <v>3952.96</v>
      </c>
      <c r="N87" s="442">
        <f>IFERROR(VLOOKUP($C87,'FY 2023 IMPACT FILE CA'!$A$3:$BG$52,12,FALSE),1)</f>
        <v>1</v>
      </c>
      <c r="O87" s="441">
        <f>IF(N87&lt;=1,' FY 2023 CN Tables 1A-1E'!$C$6,' FY 2023 CN Tables 1A-1E'!$B$6)</f>
        <v>2422.7800000000002</v>
      </c>
      <c r="P87" s="441">
        <f t="shared" si="13"/>
        <v>6375.74</v>
      </c>
      <c r="Q87" s="443">
        <f>' FY 2023 CN Tables 1A-1E'!$B$33</f>
        <v>483.79</v>
      </c>
      <c r="R87" s="442">
        <f>IFERROR(VLOOKUP(C87,'FY 2023 IMPACT FILE CA'!$A$3:$BG$52,48,FALSE),1)</f>
        <v>1</v>
      </c>
      <c r="S87" s="441">
        <f t="shared" si="14"/>
        <v>483.79</v>
      </c>
      <c r="T87" s="444">
        <f t="shared" si="15"/>
        <v>6859.53</v>
      </c>
      <c r="U87" s="445">
        <v>179.00481664010366</v>
      </c>
      <c r="V87" s="449">
        <f>IFERROR(VLOOKUP(C87,'FY 2023 IMPACT FILE CA'!$A$3:$BG$53,23,FALSE),0)</f>
        <v>0</v>
      </c>
      <c r="W87" s="449">
        <f>IFERROR(VLOOKUP(C87,'FY 2023 IMPACT FILE CA'!$A$3:$BG$53,24,FALSE),0)</f>
        <v>0</v>
      </c>
      <c r="X87" s="441">
        <f t="shared" si="16"/>
        <v>0</v>
      </c>
      <c r="Y87" s="441">
        <f t="shared" si="17"/>
        <v>0</v>
      </c>
      <c r="Z87" s="457">
        <v>1872.71</v>
      </c>
      <c r="AA87" s="449">
        <v>0</v>
      </c>
      <c r="AB87" s="452">
        <f t="shared" si="23"/>
        <v>0</v>
      </c>
      <c r="AC87" s="449">
        <f>IFERROR(VLOOKUP(C87,'Table 15'!$A$479:$B$528,2,FALSE),0)</f>
        <v>0</v>
      </c>
      <c r="AD87" s="452">
        <f t="shared" si="22"/>
        <v>0</v>
      </c>
      <c r="AE87" s="19" t="s">
        <v>144</v>
      </c>
      <c r="AF87" s="455">
        <f t="shared" si="18"/>
        <v>0</v>
      </c>
      <c r="AG87" s="454">
        <f t="shared" si="19"/>
        <v>0</v>
      </c>
    </row>
    <row r="88" spans="1:33" x14ac:dyDescent="0.35">
      <c r="A88" s="19">
        <v>33</v>
      </c>
      <c r="B88" s="25">
        <v>63303</v>
      </c>
      <c r="C88" s="26" t="s">
        <v>209</v>
      </c>
      <c r="D88" s="27" t="s">
        <v>210</v>
      </c>
      <c r="E88" s="27">
        <v>1336637438</v>
      </c>
      <c r="F88" s="381" t="s">
        <v>224</v>
      </c>
      <c r="G88" s="380">
        <v>2</v>
      </c>
      <c r="H88" s="311"/>
      <c r="I88" s="311"/>
      <c r="J88" s="25">
        <v>63303</v>
      </c>
      <c r="K88" s="440">
        <f>IFERROR(VLOOKUP(C88,'FY 2023 IMPACT FILE CA'!$A$3:$BH$52,58,FALSE),0)</f>
        <v>0</v>
      </c>
      <c r="L88" s="12"/>
      <c r="M88" s="441">
        <f>IF(N88&lt;=1,' FY 2023 CN Tables 1A-1E'!$C$5,' FY 2023 CN Tables 1A-1E'!$B$5)</f>
        <v>3952.96</v>
      </c>
      <c r="N88" s="442">
        <f>IFERROR(VLOOKUP($C88,'FY 2023 IMPACT FILE CA'!$A$3:$BG$52,12,FALSE),1)</f>
        <v>1</v>
      </c>
      <c r="O88" s="441">
        <f>IF(N88&lt;=1,' FY 2023 CN Tables 1A-1E'!$C$6,' FY 2023 CN Tables 1A-1E'!$B$6)</f>
        <v>2422.7800000000002</v>
      </c>
      <c r="P88" s="441">
        <f t="shared" si="13"/>
        <v>6375.74</v>
      </c>
      <c r="Q88" s="443">
        <f>' FY 2023 CN Tables 1A-1E'!$B$33</f>
        <v>483.79</v>
      </c>
      <c r="R88" s="442">
        <f>IFERROR(VLOOKUP(C88,'FY 2023 IMPACT FILE CA'!$A$3:$BG$52,48,FALSE),1)</f>
        <v>1</v>
      </c>
      <c r="S88" s="441">
        <f t="shared" si="14"/>
        <v>483.79</v>
      </c>
      <c r="T88" s="444">
        <f t="shared" si="15"/>
        <v>6859.53</v>
      </c>
      <c r="U88" s="445">
        <v>0</v>
      </c>
      <c r="V88" s="449">
        <f>IFERROR(VLOOKUP(C88,'FY 2023 IMPACT FILE CA'!$A$3:$BG$53,23,FALSE),0)</f>
        <v>0</v>
      </c>
      <c r="W88" s="449">
        <f>IFERROR(VLOOKUP(C88,'FY 2023 IMPACT FILE CA'!$A$3:$BG$53,24,FALSE),0)</f>
        <v>0</v>
      </c>
      <c r="X88" s="441">
        <f t="shared" si="16"/>
        <v>0</v>
      </c>
      <c r="Y88" s="441">
        <f t="shared" si="17"/>
        <v>0</v>
      </c>
      <c r="Z88" s="451">
        <f t="shared" si="20"/>
        <v>0</v>
      </c>
      <c r="AA88" s="449">
        <v>0</v>
      </c>
      <c r="AB88" s="452">
        <f t="shared" si="23"/>
        <v>0</v>
      </c>
      <c r="AC88" s="449">
        <f>IFERROR(VLOOKUP(C88,'Table 15'!$A$479:$B$528,2,FALSE),0)</f>
        <v>0</v>
      </c>
      <c r="AD88" s="452">
        <f t="shared" si="22"/>
        <v>0</v>
      </c>
      <c r="AE88" s="19" t="s">
        <v>144</v>
      </c>
      <c r="AF88" s="455">
        <f t="shared" si="18"/>
        <v>0</v>
      </c>
      <c r="AG88" s="454">
        <f t="shared" si="19"/>
        <v>0</v>
      </c>
    </row>
    <row r="89" spans="1:33" s="9" customFormat="1" x14ac:dyDescent="0.35">
      <c r="A89" s="36"/>
      <c r="B89" s="37"/>
      <c r="C89" s="38"/>
      <c r="D89" s="37"/>
      <c r="F89" s="30"/>
      <c r="G89" s="30"/>
      <c r="I89" s="41" t="s">
        <v>211</v>
      </c>
      <c r="J89" s="39">
        <f>COUNT(J5:J88)</f>
        <v>84</v>
      </c>
      <c r="K89" s="292"/>
      <c r="L89" s="40"/>
      <c r="M89" s="37"/>
      <c r="N89" s="37"/>
      <c r="O89" s="37"/>
      <c r="P89" s="37"/>
      <c r="Q89" s="37"/>
      <c r="R89" s="37"/>
      <c r="S89" s="37"/>
      <c r="T89" s="37"/>
      <c r="U89" s="44"/>
      <c r="V89" s="37"/>
      <c r="W89" s="37"/>
      <c r="X89" s="37"/>
      <c r="Y89" s="37"/>
      <c r="Z89" s="134"/>
      <c r="AA89" s="46"/>
      <c r="AB89" s="47"/>
      <c r="AC89" s="37"/>
      <c r="AD89" s="47"/>
      <c r="AE89" s="37"/>
      <c r="AF89" s="48"/>
    </row>
    <row r="90" spans="1:33" s="9" customFormat="1" x14ac:dyDescent="0.35">
      <c r="A90" s="15"/>
      <c r="B90" s="16"/>
      <c r="C90" s="17"/>
      <c r="D90" s="16"/>
      <c r="F90" s="30"/>
      <c r="G90" s="30"/>
      <c r="I90" s="41" t="s">
        <v>212</v>
      </c>
      <c r="J90" s="39">
        <v>84</v>
      </c>
      <c r="K90" s="292"/>
      <c r="L90" s="42"/>
      <c r="M90" s="42"/>
      <c r="N90" s="42"/>
      <c r="O90" s="42"/>
      <c r="P90" s="42"/>
      <c r="Q90" s="42"/>
      <c r="R90" s="42"/>
      <c r="S90" s="42"/>
      <c r="T90" s="42"/>
      <c r="U90" s="45"/>
      <c r="V90" s="42"/>
      <c r="W90" s="42"/>
      <c r="X90" s="42"/>
      <c r="Y90" s="293"/>
      <c r="Z90" s="309"/>
      <c r="AA90" s="46"/>
      <c r="AB90" s="47"/>
      <c r="AC90" s="30"/>
      <c r="AD90" s="47"/>
      <c r="AE90" s="30"/>
      <c r="AF90" s="49"/>
    </row>
    <row r="91" spans="1:33" s="9" customFormat="1" x14ac:dyDescent="0.35">
      <c r="A91" s="15"/>
      <c r="B91" s="16"/>
      <c r="C91" s="17"/>
      <c r="D91" s="16"/>
      <c r="F91" s="30"/>
      <c r="G91" s="30"/>
      <c r="I91" s="43" t="s">
        <v>213</v>
      </c>
      <c r="J91" s="30">
        <f>J89-J90</f>
        <v>0</v>
      </c>
      <c r="K91" s="292"/>
      <c r="L91" s="42"/>
      <c r="M91" s="42"/>
      <c r="N91" s="42"/>
      <c r="O91" s="42"/>
      <c r="P91" s="42"/>
      <c r="Q91" s="42"/>
      <c r="R91" s="42"/>
      <c r="S91" s="42"/>
      <c r="T91" s="42"/>
      <c r="U91" s="45"/>
      <c r="V91" s="42"/>
      <c r="W91" s="42"/>
      <c r="X91" s="42"/>
      <c r="Y91" s="293"/>
      <c r="Z91" s="308"/>
      <c r="AA91" s="30"/>
      <c r="AB91" s="30"/>
      <c r="AC91" s="30"/>
      <c r="AD91" s="30"/>
      <c r="AE91" s="30"/>
      <c r="AF91" s="49"/>
    </row>
    <row r="92" spans="1:33" s="9" customFormat="1" x14ac:dyDescent="0.35">
      <c r="A92" s="15"/>
      <c r="B92" s="16"/>
      <c r="C92" s="17"/>
      <c r="D92" s="16"/>
      <c r="F92" s="30"/>
      <c r="G92" s="30"/>
      <c r="I92" s="43" t="s">
        <v>214</v>
      </c>
      <c r="J92" s="325" t="str">
        <f>IF(J91=0,"confirmed","FIX")</f>
        <v>confirmed</v>
      </c>
      <c r="K92" s="292"/>
      <c r="L92" s="42"/>
      <c r="M92" s="42"/>
      <c r="N92" s="42"/>
      <c r="O92" s="42"/>
      <c r="P92" s="42"/>
      <c r="Q92" s="42"/>
      <c r="R92" s="42"/>
      <c r="S92" s="42"/>
      <c r="T92" s="42"/>
      <c r="U92" s="45"/>
      <c r="V92" s="42"/>
      <c r="W92" s="42"/>
      <c r="X92" s="42"/>
      <c r="Y92" s="300"/>
      <c r="Z92" s="301"/>
      <c r="AB92" s="30"/>
      <c r="AC92" s="30"/>
      <c r="AD92" s="30"/>
      <c r="AE92" s="30"/>
      <c r="AF92" s="49"/>
    </row>
    <row r="93" spans="1:33" s="9" customFormat="1" x14ac:dyDescent="0.35">
      <c r="A93" s="15"/>
      <c r="B93" s="16"/>
      <c r="C93" s="17"/>
      <c r="D93" s="16"/>
      <c r="E93" s="16"/>
      <c r="F93" s="30"/>
      <c r="G93" s="30"/>
      <c r="J93" s="30"/>
      <c r="K93" s="292"/>
      <c r="L93" s="42"/>
      <c r="M93" s="42"/>
      <c r="N93" s="42"/>
      <c r="O93" s="42"/>
      <c r="P93" s="42"/>
      <c r="Q93" s="42"/>
      <c r="R93" s="42"/>
      <c r="S93" s="42"/>
      <c r="T93" s="42"/>
      <c r="U93" s="45"/>
      <c r="V93" s="42"/>
      <c r="W93" s="42"/>
      <c r="X93" s="42"/>
      <c r="Y93" s="302"/>
      <c r="Z93" s="303"/>
      <c r="AB93" s="30"/>
      <c r="AC93" s="30"/>
      <c r="AD93" s="30"/>
      <c r="AE93" s="30"/>
      <c r="AF93" s="49"/>
    </row>
    <row r="94" spans="1:33" s="9" customFormat="1" x14ac:dyDescent="0.35">
      <c r="A94" s="15"/>
      <c r="B94" s="16"/>
      <c r="C94" s="17"/>
      <c r="D94" s="16"/>
      <c r="E94" s="16"/>
      <c r="F94" s="30"/>
      <c r="G94" s="30"/>
      <c r="J94" s="16"/>
      <c r="K94" s="292"/>
      <c r="L94" s="42"/>
      <c r="M94" s="42"/>
      <c r="N94" s="42"/>
      <c r="O94" s="42"/>
      <c r="P94" s="42"/>
      <c r="Q94" s="42"/>
      <c r="R94" s="42"/>
      <c r="S94" s="42"/>
      <c r="T94" s="42"/>
      <c r="U94" s="45"/>
      <c r="V94" s="42"/>
      <c r="W94" s="42"/>
      <c r="X94" s="42"/>
      <c r="Y94" s="302"/>
      <c r="Z94" s="304"/>
      <c r="AB94" s="30"/>
      <c r="AC94" s="30"/>
      <c r="AD94" s="30"/>
      <c r="AE94" s="30"/>
      <c r="AF94" s="49"/>
    </row>
    <row r="95" spans="1:33" s="9" customFormat="1" x14ac:dyDescent="0.35">
      <c r="A95" s="15"/>
      <c r="B95" s="16"/>
      <c r="C95" s="17"/>
      <c r="D95" s="16"/>
      <c r="E95" s="16"/>
      <c r="F95" s="30"/>
      <c r="G95" s="30"/>
      <c r="J95" s="16"/>
      <c r="K95" s="292"/>
      <c r="L95" s="42"/>
      <c r="M95" s="42"/>
      <c r="N95" s="42"/>
      <c r="O95" s="42"/>
      <c r="P95" s="42"/>
      <c r="Q95" s="42"/>
      <c r="R95" s="42"/>
      <c r="S95" s="42"/>
      <c r="T95" s="42"/>
      <c r="U95" s="45"/>
      <c r="V95" s="42"/>
      <c r="W95" s="42"/>
      <c r="X95" s="42"/>
      <c r="Y95" s="302"/>
      <c r="Z95" s="304"/>
      <c r="AB95" s="30"/>
      <c r="AC95" s="30"/>
      <c r="AD95" s="30"/>
      <c r="AE95" s="30"/>
      <c r="AF95" s="49"/>
    </row>
    <row r="96" spans="1:33" s="9" customFormat="1" x14ac:dyDescent="0.35">
      <c r="A96" s="15"/>
      <c r="B96" s="16"/>
      <c r="C96" s="17"/>
      <c r="D96" s="16"/>
      <c r="E96" s="16"/>
      <c r="F96" s="30"/>
      <c r="G96" s="30"/>
      <c r="J96" s="16"/>
      <c r="K96" s="292"/>
      <c r="L96" s="42"/>
      <c r="M96" s="42"/>
      <c r="N96" s="42"/>
      <c r="O96" s="42"/>
      <c r="P96" s="42"/>
      <c r="Q96" s="42"/>
      <c r="R96" s="42"/>
      <c r="S96" s="42"/>
      <c r="T96" s="42"/>
      <c r="U96" s="45"/>
      <c r="V96" s="42"/>
      <c r="W96" s="42"/>
      <c r="X96" s="42"/>
      <c r="Y96" s="302"/>
      <c r="Z96" s="305"/>
      <c r="AB96" s="30"/>
      <c r="AC96" s="30"/>
      <c r="AD96" s="30"/>
      <c r="AE96" s="30"/>
      <c r="AF96" s="49"/>
    </row>
    <row r="97" spans="1:32" s="9" customFormat="1" x14ac:dyDescent="0.35">
      <c r="A97" s="15"/>
      <c r="B97" s="16"/>
      <c r="C97" s="17"/>
      <c r="D97" s="16"/>
      <c r="E97" s="16"/>
      <c r="F97" s="30"/>
      <c r="G97" s="30"/>
      <c r="J97" s="16"/>
      <c r="K97" s="292"/>
      <c r="L97" s="42"/>
      <c r="M97" s="42"/>
      <c r="N97" s="42"/>
      <c r="O97" s="42"/>
      <c r="P97" s="42"/>
      <c r="Q97" s="42"/>
      <c r="R97" s="42"/>
      <c r="S97" s="42"/>
      <c r="T97" s="42"/>
      <c r="U97" s="45"/>
      <c r="V97" s="42"/>
      <c r="W97" s="42"/>
      <c r="X97" s="42"/>
      <c r="Y97" s="302"/>
      <c r="Z97" s="305"/>
      <c r="AB97" s="30"/>
      <c r="AC97" s="30"/>
      <c r="AD97" s="30"/>
      <c r="AE97" s="30"/>
      <c r="AF97" s="49"/>
    </row>
    <row r="98" spans="1:32" s="9" customFormat="1" x14ac:dyDescent="0.35">
      <c r="A98" s="15"/>
      <c r="B98" s="16"/>
      <c r="C98" s="17"/>
      <c r="D98" s="16"/>
      <c r="E98" s="16"/>
      <c r="F98" s="30"/>
      <c r="G98" s="30"/>
      <c r="J98" s="16"/>
      <c r="K98" s="292"/>
      <c r="L98" s="42"/>
      <c r="M98" s="42"/>
      <c r="N98" s="42"/>
      <c r="O98" s="42"/>
      <c r="P98" s="42"/>
      <c r="Q98" s="42"/>
      <c r="R98" s="42"/>
      <c r="S98" s="42"/>
      <c r="T98" s="42"/>
      <c r="U98" s="45"/>
      <c r="V98" s="42"/>
      <c r="W98" s="42"/>
      <c r="X98" s="42"/>
      <c r="Y98" s="302"/>
      <c r="Z98" s="306"/>
      <c r="AB98" s="30"/>
      <c r="AC98" s="30"/>
      <c r="AD98" s="30"/>
      <c r="AE98" s="30"/>
      <c r="AF98" s="49"/>
    </row>
    <row r="99" spans="1:32" s="9" customFormat="1" x14ac:dyDescent="0.35">
      <c r="A99" s="15"/>
      <c r="B99" s="16"/>
      <c r="C99" s="17"/>
      <c r="D99" s="16"/>
      <c r="E99" s="16"/>
      <c r="F99" s="30"/>
      <c r="G99" s="30"/>
      <c r="J99" s="16"/>
      <c r="K99" s="292"/>
      <c r="L99" s="42"/>
      <c r="M99" s="42"/>
      <c r="N99" s="42"/>
      <c r="O99" s="42"/>
      <c r="P99" s="42"/>
      <c r="Q99" s="42"/>
      <c r="R99" s="42"/>
      <c r="S99" s="42"/>
      <c r="T99" s="42"/>
      <c r="U99" s="45"/>
      <c r="V99" s="42"/>
      <c r="W99" s="42"/>
      <c r="X99" s="42"/>
      <c r="Y99" s="302"/>
      <c r="Z99" s="306"/>
      <c r="AB99" s="30"/>
      <c r="AC99" s="30"/>
      <c r="AD99" s="30"/>
      <c r="AE99" s="30"/>
      <c r="AF99" s="49"/>
    </row>
    <row r="100" spans="1:32" s="9" customFormat="1" x14ac:dyDescent="0.35">
      <c r="A100" s="15"/>
      <c r="B100" s="16"/>
      <c r="C100" s="17"/>
      <c r="D100" s="16"/>
      <c r="E100" s="16"/>
      <c r="F100" s="30"/>
      <c r="G100" s="30"/>
      <c r="J100" s="16"/>
      <c r="K100" s="292"/>
      <c r="L100" s="42"/>
      <c r="M100" s="42"/>
      <c r="N100" s="42"/>
      <c r="O100" s="42"/>
      <c r="P100" s="42"/>
      <c r="Q100" s="42"/>
      <c r="R100" s="42"/>
      <c r="S100" s="42"/>
      <c r="T100" s="42"/>
      <c r="U100" s="45"/>
      <c r="V100" s="42"/>
      <c r="W100" s="42"/>
      <c r="X100" s="42"/>
      <c r="Y100" s="302"/>
      <c r="Z100" s="307"/>
      <c r="AB100" s="30"/>
      <c r="AC100" s="30"/>
      <c r="AD100" s="30"/>
      <c r="AE100" s="30"/>
      <c r="AF100" s="49"/>
    </row>
    <row r="101" spans="1:32" s="9" customFormat="1" x14ac:dyDescent="0.35">
      <c r="A101" s="15"/>
      <c r="B101" s="16"/>
      <c r="C101" s="17"/>
      <c r="D101" s="16"/>
      <c r="E101" s="16"/>
      <c r="F101" s="30"/>
      <c r="G101" s="30"/>
      <c r="J101" s="16"/>
      <c r="K101" s="292"/>
      <c r="L101" s="42"/>
      <c r="M101" s="42"/>
      <c r="N101" s="42"/>
      <c r="O101" s="42"/>
      <c r="P101" s="42"/>
      <c r="Q101" s="42"/>
      <c r="R101" s="42"/>
      <c r="S101" s="42"/>
      <c r="T101" s="42"/>
      <c r="U101" s="45"/>
      <c r="V101" s="42"/>
      <c r="W101" s="42"/>
      <c r="X101" s="42"/>
      <c r="Y101" s="302"/>
      <c r="Z101" s="307"/>
      <c r="AB101" s="30"/>
      <c r="AC101" s="30"/>
      <c r="AD101" s="30"/>
      <c r="AE101" s="30"/>
      <c r="AF101" s="49"/>
    </row>
    <row r="102" spans="1:32" s="9" customFormat="1" x14ac:dyDescent="0.35">
      <c r="A102" s="15"/>
      <c r="B102" s="16"/>
      <c r="C102" s="17"/>
      <c r="D102" s="16"/>
      <c r="E102" s="16"/>
      <c r="F102" s="30"/>
      <c r="G102" s="30"/>
      <c r="J102" s="16"/>
      <c r="K102" s="293"/>
      <c r="L102" s="42"/>
      <c r="M102" s="42"/>
      <c r="N102" s="42"/>
      <c r="O102" s="42"/>
      <c r="P102" s="42"/>
      <c r="Q102" s="42"/>
      <c r="R102" s="42"/>
      <c r="S102" s="42"/>
      <c r="T102" s="42"/>
      <c r="U102" s="45"/>
      <c r="V102" s="42"/>
      <c r="W102" s="42"/>
      <c r="X102" s="42"/>
      <c r="Y102" s="42"/>
      <c r="AA102" s="30"/>
      <c r="AB102" s="30"/>
      <c r="AC102" s="30"/>
      <c r="AD102" s="30"/>
      <c r="AE102" s="30"/>
      <c r="AF102" s="49"/>
    </row>
    <row r="103" spans="1:32" s="9" customFormat="1" x14ac:dyDescent="0.35">
      <c r="A103" s="15"/>
      <c r="B103" s="16"/>
      <c r="C103" s="17"/>
      <c r="D103" s="16"/>
      <c r="E103" s="16"/>
      <c r="F103" s="30"/>
      <c r="G103" s="30"/>
      <c r="J103" s="16"/>
      <c r="K103" s="42"/>
      <c r="L103" s="42"/>
      <c r="M103" s="42"/>
      <c r="N103" s="42"/>
      <c r="O103" s="42"/>
      <c r="P103" s="42"/>
      <c r="Q103" s="42"/>
      <c r="R103" s="42"/>
      <c r="S103" s="42"/>
      <c r="T103" s="42"/>
      <c r="U103" s="45"/>
      <c r="V103" s="42"/>
      <c r="W103" s="42"/>
      <c r="X103" s="42"/>
      <c r="Y103" s="42"/>
      <c r="AA103" s="30"/>
      <c r="AB103" s="30"/>
      <c r="AC103" s="30"/>
      <c r="AD103" s="30"/>
      <c r="AE103" s="30"/>
      <c r="AF103" s="49"/>
    </row>
    <row r="104" spans="1:32" s="9" customFormat="1" x14ac:dyDescent="0.35">
      <c r="A104" s="15"/>
      <c r="B104" s="16"/>
      <c r="C104" s="17"/>
      <c r="D104" s="16"/>
      <c r="E104" s="16"/>
      <c r="F104" s="30"/>
      <c r="G104" s="30"/>
      <c r="J104" s="16"/>
      <c r="K104" s="42"/>
      <c r="L104" s="42"/>
      <c r="M104" s="42"/>
      <c r="N104" s="42"/>
      <c r="O104" s="42"/>
      <c r="P104" s="42"/>
      <c r="Q104" s="42"/>
      <c r="R104" s="42"/>
      <c r="S104" s="42"/>
      <c r="T104" s="42"/>
      <c r="U104" s="45"/>
      <c r="W104" s="42"/>
      <c r="X104" s="42"/>
      <c r="Y104" s="42"/>
      <c r="AA104" s="30"/>
      <c r="AB104" s="30"/>
      <c r="AC104" s="30"/>
      <c r="AD104" s="30"/>
      <c r="AE104" s="30"/>
      <c r="AF104" s="49"/>
    </row>
    <row r="105" spans="1:32" s="9" customFormat="1" x14ac:dyDescent="0.35">
      <c r="A105" s="15"/>
      <c r="B105" s="16"/>
      <c r="C105" s="17"/>
      <c r="D105" s="16"/>
      <c r="E105" s="16"/>
      <c r="F105" s="30"/>
      <c r="G105" s="30"/>
      <c r="J105" s="16"/>
      <c r="K105" s="42"/>
      <c r="L105" s="42"/>
      <c r="M105" s="42"/>
      <c r="N105" s="42"/>
      <c r="O105" s="42"/>
      <c r="P105" s="42"/>
      <c r="Q105" s="42"/>
      <c r="R105" s="42"/>
      <c r="S105" s="42"/>
      <c r="T105" s="42"/>
      <c r="U105" s="45"/>
      <c r="X105" s="42"/>
      <c r="Y105" s="42"/>
      <c r="AA105" s="30"/>
      <c r="AB105" s="30"/>
      <c r="AC105" s="30"/>
      <c r="AD105" s="30"/>
      <c r="AE105" s="30"/>
      <c r="AF105" s="49"/>
    </row>
    <row r="106" spans="1:32" s="9" customFormat="1" x14ac:dyDescent="0.35">
      <c r="A106" s="15"/>
      <c r="B106" s="16"/>
      <c r="C106" s="17"/>
      <c r="D106" s="16"/>
      <c r="E106" s="16"/>
      <c r="F106" s="30"/>
      <c r="G106" s="30"/>
      <c r="J106" s="16"/>
      <c r="K106" s="42"/>
      <c r="L106" s="42"/>
      <c r="M106" s="42"/>
      <c r="N106" s="42"/>
      <c r="O106" s="42"/>
      <c r="P106" s="42"/>
      <c r="Q106" s="42"/>
      <c r="R106" s="42"/>
      <c r="S106" s="42"/>
      <c r="T106" s="42"/>
      <c r="U106" s="45"/>
      <c r="X106" s="42"/>
      <c r="Y106" s="42"/>
      <c r="AA106" s="30"/>
      <c r="AB106" s="30"/>
      <c r="AC106" s="30"/>
      <c r="AD106" s="30"/>
      <c r="AE106" s="30"/>
      <c r="AF106" s="49"/>
    </row>
    <row r="107" spans="1:32" s="9" customFormat="1" x14ac:dyDescent="0.35">
      <c r="A107" s="15"/>
      <c r="B107" s="16"/>
      <c r="C107" s="17"/>
      <c r="D107" s="16"/>
      <c r="E107" s="16"/>
      <c r="F107" s="30"/>
      <c r="G107" s="30"/>
      <c r="J107" s="16"/>
      <c r="K107" s="42"/>
      <c r="L107" s="42"/>
      <c r="M107" s="42"/>
      <c r="N107" s="42"/>
      <c r="O107" s="42"/>
      <c r="P107" s="42"/>
      <c r="Q107" s="42"/>
      <c r="R107" s="42"/>
      <c r="S107" s="42"/>
      <c r="T107" s="42"/>
      <c r="U107" s="45"/>
      <c r="V107" s="42"/>
      <c r="W107" s="42"/>
      <c r="X107" s="42"/>
      <c r="Y107" s="42"/>
      <c r="AA107" s="30"/>
      <c r="AB107" s="30"/>
      <c r="AC107" s="30"/>
      <c r="AD107" s="30"/>
      <c r="AE107" s="30"/>
      <c r="AF107" s="49"/>
    </row>
    <row r="108" spans="1:32" s="9" customFormat="1" x14ac:dyDescent="0.35">
      <c r="A108" s="15"/>
      <c r="B108" s="16"/>
      <c r="C108" s="17"/>
      <c r="D108" s="16"/>
      <c r="E108" s="16"/>
      <c r="F108" s="30"/>
      <c r="G108" s="30"/>
      <c r="J108" s="16"/>
      <c r="K108" s="42"/>
      <c r="L108" s="42"/>
      <c r="M108" s="42"/>
      <c r="N108" s="42"/>
      <c r="O108" s="42"/>
      <c r="P108" s="42"/>
      <c r="Q108" s="42"/>
      <c r="R108" s="42"/>
      <c r="S108" s="42"/>
      <c r="T108" s="42"/>
      <c r="U108" s="45"/>
      <c r="V108" s="42"/>
      <c r="W108" s="42"/>
      <c r="X108" s="42"/>
      <c r="Y108" s="42"/>
      <c r="AA108" s="30"/>
      <c r="AB108" s="30"/>
      <c r="AC108" s="30"/>
      <c r="AD108" s="30"/>
      <c r="AE108" s="30"/>
      <c r="AF108" s="49"/>
    </row>
    <row r="109" spans="1:32" s="9" customFormat="1" x14ac:dyDescent="0.35">
      <c r="A109" s="15"/>
      <c r="B109" s="16"/>
      <c r="C109" s="17"/>
      <c r="D109" s="16"/>
      <c r="E109" s="16"/>
      <c r="F109" s="30"/>
      <c r="G109" s="30"/>
      <c r="J109" s="16"/>
      <c r="K109" s="42"/>
      <c r="L109" s="42"/>
      <c r="M109" s="42"/>
      <c r="N109" s="42"/>
      <c r="O109" s="42"/>
      <c r="P109" s="42"/>
      <c r="Q109" s="42"/>
      <c r="R109" s="42"/>
      <c r="S109" s="42"/>
      <c r="T109" s="42"/>
      <c r="U109" s="45"/>
      <c r="V109" s="42"/>
      <c r="W109" s="42"/>
      <c r="X109" s="42"/>
      <c r="Y109" s="42"/>
      <c r="AA109" s="30"/>
      <c r="AB109" s="30"/>
      <c r="AC109" s="30"/>
      <c r="AD109" s="30"/>
      <c r="AE109" s="30"/>
      <c r="AF109" s="49"/>
    </row>
    <row r="110" spans="1:32" s="9" customFormat="1" x14ac:dyDescent="0.35">
      <c r="A110" s="15"/>
      <c r="B110" s="16"/>
      <c r="C110" s="17"/>
      <c r="D110" s="16"/>
      <c r="E110" s="16"/>
      <c r="F110" s="30"/>
      <c r="G110" s="30"/>
      <c r="J110" s="16"/>
      <c r="K110" s="42"/>
      <c r="L110" s="42"/>
      <c r="M110" s="42"/>
      <c r="N110" s="42"/>
      <c r="O110" s="42"/>
      <c r="P110" s="42"/>
      <c r="Q110" s="42"/>
      <c r="R110" s="42"/>
      <c r="S110" s="42"/>
      <c r="T110" s="299"/>
      <c r="U110" s="45"/>
      <c r="V110" s="42"/>
      <c r="W110" s="42"/>
      <c r="X110" s="42"/>
      <c r="Y110" s="42"/>
      <c r="AA110" s="30"/>
      <c r="AB110" s="30"/>
      <c r="AC110" s="30"/>
      <c r="AD110" s="30"/>
      <c r="AE110" s="30"/>
      <c r="AF110" s="49"/>
    </row>
    <row r="111" spans="1:32" s="9" customFormat="1" x14ac:dyDescent="0.35">
      <c r="A111" s="15"/>
      <c r="B111" s="16"/>
      <c r="C111" s="17"/>
      <c r="D111" s="16"/>
      <c r="E111" s="16"/>
      <c r="F111" s="30"/>
      <c r="G111" s="30"/>
      <c r="J111" s="16"/>
      <c r="K111" s="42"/>
      <c r="L111" s="42"/>
      <c r="M111" s="42"/>
      <c r="N111" s="42"/>
      <c r="O111" s="42"/>
      <c r="P111" s="42"/>
      <c r="Q111" s="42"/>
      <c r="R111" s="42"/>
      <c r="S111" s="42"/>
      <c r="T111" s="42"/>
      <c r="U111" s="45"/>
      <c r="V111" s="42"/>
      <c r="W111" s="42"/>
      <c r="X111" s="42"/>
      <c r="Y111" s="42"/>
      <c r="AA111" s="30"/>
      <c r="AB111" s="30"/>
      <c r="AC111" s="30"/>
      <c r="AD111" s="30"/>
      <c r="AE111" s="30"/>
      <c r="AF111" s="49"/>
    </row>
    <row r="112" spans="1:32" s="9" customFormat="1" x14ac:dyDescent="0.35">
      <c r="A112" s="15"/>
      <c r="B112" s="16"/>
      <c r="C112" s="17"/>
      <c r="D112" s="16"/>
      <c r="E112" s="16"/>
      <c r="F112" s="30"/>
      <c r="G112" s="30"/>
      <c r="J112" s="16"/>
      <c r="K112" s="42"/>
      <c r="L112" s="42"/>
      <c r="M112" s="42"/>
      <c r="N112" s="42"/>
      <c r="O112" s="42"/>
      <c r="P112" s="42"/>
      <c r="Q112" s="42"/>
      <c r="R112" s="42"/>
      <c r="S112" s="42"/>
      <c r="T112" s="42"/>
      <c r="U112" s="45"/>
      <c r="V112" s="42"/>
      <c r="W112" s="42"/>
      <c r="X112" s="42"/>
      <c r="Y112" s="42"/>
      <c r="AA112" s="30"/>
      <c r="AB112" s="30"/>
      <c r="AC112" s="30"/>
      <c r="AD112" s="30"/>
      <c r="AE112" s="30"/>
      <c r="AF112" s="49"/>
    </row>
    <row r="113" spans="1:32" s="9" customFormat="1" x14ac:dyDescent="0.35">
      <c r="A113" s="15"/>
      <c r="B113" s="16"/>
      <c r="C113" s="17"/>
      <c r="D113" s="16"/>
      <c r="E113" s="16"/>
      <c r="F113" s="30"/>
      <c r="G113" s="30"/>
      <c r="J113" s="16"/>
      <c r="K113" s="42"/>
      <c r="L113" s="42"/>
      <c r="M113" s="42"/>
      <c r="N113" s="42"/>
      <c r="O113" s="42"/>
      <c r="P113" s="42"/>
      <c r="Q113" s="42"/>
      <c r="R113" s="42"/>
      <c r="S113" s="42"/>
      <c r="T113" s="42"/>
      <c r="U113" s="45"/>
      <c r="V113" s="42"/>
      <c r="W113" s="42"/>
      <c r="X113" s="42"/>
      <c r="Y113" s="42"/>
      <c r="AA113" s="30"/>
      <c r="AB113" s="30"/>
      <c r="AC113" s="30"/>
      <c r="AD113" s="30"/>
      <c r="AE113" s="30"/>
      <c r="AF113" s="49"/>
    </row>
    <row r="114" spans="1:32" s="9" customFormat="1" x14ac:dyDescent="0.35">
      <c r="A114" s="15"/>
      <c r="B114" s="16"/>
      <c r="C114" s="17"/>
      <c r="D114" s="16"/>
      <c r="E114" s="16"/>
      <c r="F114" s="30"/>
      <c r="G114" s="30"/>
      <c r="J114" s="16"/>
      <c r="K114" s="42"/>
      <c r="L114" s="42"/>
      <c r="M114" s="42"/>
      <c r="N114" s="42"/>
      <c r="O114" s="42"/>
      <c r="P114" s="42"/>
      <c r="Q114" s="42"/>
      <c r="R114" s="42"/>
      <c r="S114" s="42"/>
      <c r="T114" s="42"/>
      <c r="U114" s="45"/>
      <c r="V114" s="42"/>
      <c r="W114" s="42"/>
      <c r="X114" s="42"/>
      <c r="Y114" s="42"/>
      <c r="AA114" s="30"/>
      <c r="AB114" s="30"/>
      <c r="AC114" s="30"/>
      <c r="AD114" s="30"/>
      <c r="AE114" s="30"/>
      <c r="AF114" s="49"/>
    </row>
    <row r="115" spans="1:32" s="9" customFormat="1" x14ac:dyDescent="0.35">
      <c r="A115" s="15"/>
      <c r="B115" s="16"/>
      <c r="C115" s="17"/>
      <c r="D115" s="16"/>
      <c r="E115" s="16"/>
      <c r="F115" s="30"/>
      <c r="G115" s="30"/>
      <c r="J115" s="16"/>
      <c r="K115" s="42"/>
      <c r="L115" s="42"/>
      <c r="M115" s="42"/>
      <c r="N115" s="42"/>
      <c r="O115" s="42"/>
      <c r="P115" s="42"/>
      <c r="Q115" s="42"/>
      <c r="R115" s="42"/>
      <c r="S115" s="42"/>
      <c r="T115" s="42"/>
      <c r="U115" s="45"/>
      <c r="V115" s="42"/>
      <c r="W115" s="42"/>
      <c r="X115" s="42"/>
      <c r="Y115" s="42"/>
      <c r="AA115" s="30"/>
      <c r="AB115" s="30"/>
      <c r="AC115" s="30"/>
      <c r="AD115" s="30"/>
      <c r="AE115" s="30"/>
      <c r="AF115" s="49"/>
    </row>
    <row r="116" spans="1:32" s="9" customFormat="1" x14ac:dyDescent="0.35">
      <c r="A116" s="15"/>
      <c r="B116" s="16"/>
      <c r="C116" s="17"/>
      <c r="D116" s="16"/>
      <c r="E116" s="16"/>
      <c r="F116" s="30"/>
      <c r="G116" s="30"/>
      <c r="J116" s="16"/>
      <c r="K116" s="42"/>
      <c r="L116" s="42"/>
      <c r="M116" s="42"/>
      <c r="N116" s="42"/>
      <c r="O116" s="42"/>
      <c r="P116" s="42"/>
      <c r="Q116" s="42"/>
      <c r="R116" s="42"/>
      <c r="S116" s="42"/>
      <c r="T116" s="299"/>
      <c r="U116" s="45"/>
      <c r="V116" s="42"/>
      <c r="W116" s="42"/>
      <c r="X116" s="42"/>
      <c r="Y116" s="42"/>
      <c r="AA116" s="30"/>
      <c r="AB116" s="30"/>
      <c r="AC116" s="30"/>
      <c r="AD116" s="30"/>
      <c r="AE116" s="30"/>
      <c r="AF116" s="49"/>
    </row>
    <row r="117" spans="1:32" s="9" customFormat="1" x14ac:dyDescent="0.35">
      <c r="A117" s="15"/>
      <c r="B117" s="16"/>
      <c r="C117" s="17"/>
      <c r="D117" s="16"/>
      <c r="E117" s="16"/>
      <c r="F117" s="30"/>
      <c r="G117" s="30"/>
      <c r="J117" s="16"/>
      <c r="K117" s="42"/>
      <c r="L117" s="42"/>
      <c r="M117" s="42"/>
      <c r="N117" s="42"/>
      <c r="O117" s="42"/>
      <c r="P117" s="42"/>
      <c r="Q117" s="42"/>
      <c r="R117" s="42"/>
      <c r="S117" s="42"/>
      <c r="T117" s="42"/>
      <c r="U117" s="45"/>
      <c r="V117" s="42"/>
      <c r="W117" s="42"/>
      <c r="X117" s="42"/>
      <c r="Y117" s="42"/>
      <c r="AA117" s="30"/>
      <c r="AB117" s="30"/>
      <c r="AC117" s="30"/>
      <c r="AD117" s="30"/>
      <c r="AE117" s="30"/>
      <c r="AF117" s="49"/>
    </row>
    <row r="118" spans="1:32" s="9" customFormat="1" x14ac:dyDescent="0.35">
      <c r="A118" s="15"/>
      <c r="B118" s="16"/>
      <c r="C118" s="17"/>
      <c r="D118" s="16"/>
      <c r="E118" s="16"/>
      <c r="F118" s="30"/>
      <c r="G118" s="30"/>
      <c r="J118" s="16"/>
      <c r="K118" s="42"/>
      <c r="L118" s="42"/>
      <c r="M118" s="42"/>
      <c r="N118" s="42"/>
      <c r="O118" s="42"/>
      <c r="P118" s="42"/>
      <c r="Q118" s="42"/>
      <c r="R118" s="42"/>
      <c r="S118" s="42"/>
      <c r="T118" s="42"/>
      <c r="U118" s="45"/>
      <c r="V118" s="42"/>
      <c r="W118" s="42"/>
      <c r="X118" s="42"/>
      <c r="Y118" s="42"/>
      <c r="AA118" s="30"/>
      <c r="AB118" s="30"/>
      <c r="AC118" s="30"/>
      <c r="AD118" s="30"/>
      <c r="AE118" s="30"/>
      <c r="AF118" s="49"/>
    </row>
    <row r="119" spans="1:32" s="9" customFormat="1" x14ac:dyDescent="0.35">
      <c r="A119" s="15"/>
      <c r="B119" s="16"/>
      <c r="C119" s="17"/>
      <c r="D119" s="16"/>
      <c r="E119" s="16"/>
      <c r="F119" s="30"/>
      <c r="G119" s="30"/>
      <c r="J119" s="16"/>
      <c r="K119" s="42"/>
      <c r="L119" s="42"/>
      <c r="M119" s="42"/>
      <c r="N119" s="42"/>
      <c r="O119" s="42"/>
      <c r="P119" s="42"/>
      <c r="Q119" s="42"/>
      <c r="R119" s="42"/>
      <c r="S119" s="42"/>
      <c r="T119" s="42"/>
      <c r="U119" s="45"/>
      <c r="V119" s="42"/>
      <c r="W119" s="42"/>
      <c r="X119" s="42"/>
      <c r="Y119" s="42"/>
      <c r="AA119" s="30"/>
      <c r="AB119" s="30"/>
      <c r="AC119" s="30"/>
      <c r="AD119" s="30"/>
      <c r="AE119" s="30"/>
      <c r="AF119" s="49"/>
    </row>
    <row r="120" spans="1:32" s="9" customFormat="1" x14ac:dyDescent="0.35">
      <c r="A120" s="15"/>
      <c r="B120" s="16"/>
      <c r="C120" s="17"/>
      <c r="D120" s="16"/>
      <c r="E120" s="16"/>
      <c r="F120" s="30"/>
      <c r="G120" s="30"/>
      <c r="J120" s="16"/>
      <c r="K120" s="42"/>
      <c r="L120" s="42"/>
      <c r="M120" s="42"/>
      <c r="N120" s="42"/>
      <c r="O120" s="42"/>
      <c r="P120" s="42"/>
      <c r="Q120" s="42"/>
      <c r="R120" s="42"/>
      <c r="S120" s="42"/>
      <c r="T120" s="42"/>
      <c r="U120" s="45"/>
      <c r="V120" s="42"/>
      <c r="W120" s="42"/>
      <c r="X120" s="42"/>
      <c r="Y120" s="42"/>
      <c r="AA120" s="30"/>
      <c r="AB120" s="30"/>
      <c r="AC120" s="30"/>
      <c r="AD120" s="30"/>
      <c r="AE120" s="30"/>
      <c r="AF120" s="49"/>
    </row>
    <row r="121" spans="1:32" s="9" customFormat="1" x14ac:dyDescent="0.35">
      <c r="A121" s="15"/>
      <c r="B121" s="16"/>
      <c r="C121" s="17"/>
      <c r="D121" s="16"/>
      <c r="E121" s="16"/>
      <c r="F121" s="30"/>
      <c r="G121" s="30"/>
      <c r="J121" s="16"/>
      <c r="K121" s="42"/>
      <c r="L121" s="42"/>
      <c r="M121" s="42"/>
      <c r="N121" s="42"/>
      <c r="O121" s="42"/>
      <c r="P121" s="42"/>
      <c r="Q121" s="42"/>
      <c r="R121" s="42"/>
      <c r="S121" s="42"/>
      <c r="T121" s="42"/>
      <c r="U121" s="45"/>
      <c r="V121" s="42"/>
      <c r="W121" s="42"/>
      <c r="X121" s="42"/>
      <c r="Y121" s="42"/>
      <c r="AA121" s="30"/>
      <c r="AB121" s="30"/>
      <c r="AC121" s="30"/>
      <c r="AD121" s="30"/>
      <c r="AE121" s="30"/>
      <c r="AF121" s="49"/>
    </row>
    <row r="122" spans="1:32" s="9" customFormat="1" x14ac:dyDescent="0.35">
      <c r="A122" s="15"/>
      <c r="B122" s="16"/>
      <c r="C122" s="17"/>
      <c r="D122" s="16"/>
      <c r="E122" s="16"/>
      <c r="F122" s="30"/>
      <c r="G122" s="30"/>
      <c r="J122" s="16"/>
      <c r="K122" s="42"/>
      <c r="L122" s="42"/>
      <c r="M122" s="42"/>
      <c r="N122" s="42"/>
      <c r="O122" s="42"/>
      <c r="P122" s="42"/>
      <c r="Q122" s="42"/>
      <c r="R122" s="42"/>
      <c r="S122" s="42"/>
      <c r="T122" s="42"/>
      <c r="U122" s="45"/>
      <c r="V122" s="42"/>
      <c r="W122" s="42"/>
      <c r="X122" s="42"/>
      <c r="Y122" s="42"/>
      <c r="AA122" s="30"/>
      <c r="AB122" s="30"/>
      <c r="AC122" s="30"/>
      <c r="AD122" s="30"/>
      <c r="AE122" s="30"/>
      <c r="AF122" s="49"/>
    </row>
    <row r="123" spans="1:32" s="9" customFormat="1" x14ac:dyDescent="0.35">
      <c r="A123" s="15"/>
      <c r="B123" s="16"/>
      <c r="C123" s="17"/>
      <c r="D123" s="16"/>
      <c r="E123" s="16"/>
      <c r="F123" s="30"/>
      <c r="G123" s="30"/>
      <c r="J123" s="16"/>
      <c r="K123" s="42"/>
      <c r="L123" s="42"/>
      <c r="M123" s="42"/>
      <c r="N123" s="42"/>
      <c r="O123" s="42"/>
      <c r="P123" s="42"/>
      <c r="Q123" s="42"/>
      <c r="R123" s="42"/>
      <c r="S123" s="42"/>
      <c r="T123" s="42"/>
      <c r="U123" s="45"/>
      <c r="V123" s="42"/>
      <c r="W123" s="42"/>
      <c r="X123" s="42"/>
      <c r="Y123" s="42"/>
      <c r="AA123" s="30"/>
      <c r="AB123" s="30"/>
      <c r="AC123" s="30"/>
      <c r="AD123" s="30"/>
      <c r="AE123" s="30"/>
      <c r="AF123" s="49"/>
    </row>
    <row r="124" spans="1:32" s="9" customFormat="1" x14ac:dyDescent="0.35">
      <c r="A124" s="15"/>
      <c r="B124" s="16"/>
      <c r="C124" s="17"/>
      <c r="D124" s="16"/>
      <c r="E124" s="16"/>
      <c r="F124" s="30"/>
      <c r="G124" s="30"/>
      <c r="J124" s="16"/>
      <c r="K124" s="42"/>
      <c r="L124" s="42"/>
      <c r="M124" s="42"/>
      <c r="N124" s="42"/>
      <c r="O124" s="42"/>
      <c r="P124" s="42"/>
      <c r="Q124" s="42"/>
      <c r="R124" s="42"/>
      <c r="S124" s="42"/>
      <c r="T124" s="42"/>
      <c r="U124" s="45"/>
      <c r="V124" s="42"/>
      <c r="W124" s="42"/>
      <c r="X124" s="42"/>
      <c r="Y124" s="42"/>
      <c r="AA124" s="30"/>
      <c r="AB124" s="30"/>
      <c r="AC124" s="30"/>
      <c r="AD124" s="30"/>
      <c r="AE124" s="30"/>
      <c r="AF124" s="49"/>
    </row>
    <row r="125" spans="1:32" s="9" customFormat="1" x14ac:dyDescent="0.35">
      <c r="A125" s="15"/>
      <c r="B125" s="16"/>
      <c r="C125" s="17"/>
      <c r="D125" s="16"/>
      <c r="E125" s="16"/>
      <c r="F125" s="30"/>
      <c r="G125" s="30"/>
      <c r="J125" s="16"/>
      <c r="K125" s="42"/>
      <c r="L125" s="42"/>
      <c r="M125" s="42"/>
      <c r="N125" s="42"/>
      <c r="O125" s="42"/>
      <c r="P125" s="42"/>
      <c r="Q125" s="42"/>
      <c r="R125" s="42"/>
      <c r="S125" s="42"/>
      <c r="T125" s="42"/>
      <c r="U125" s="45"/>
      <c r="V125" s="42"/>
      <c r="W125" s="42"/>
      <c r="X125" s="42"/>
      <c r="Y125" s="42"/>
      <c r="AA125" s="30"/>
      <c r="AB125" s="30"/>
      <c r="AC125" s="30"/>
      <c r="AD125" s="30"/>
      <c r="AE125" s="30"/>
      <c r="AF125" s="49"/>
    </row>
    <row r="126" spans="1:32" s="9" customFormat="1" x14ac:dyDescent="0.35">
      <c r="A126" s="15"/>
      <c r="B126" s="16"/>
      <c r="C126" s="17"/>
      <c r="D126" s="16"/>
      <c r="E126" s="16"/>
      <c r="F126" s="30"/>
      <c r="G126" s="30"/>
      <c r="J126" s="16"/>
      <c r="K126" s="42"/>
      <c r="L126" s="42"/>
      <c r="M126" s="42"/>
      <c r="N126" s="42"/>
      <c r="O126" s="42"/>
      <c r="P126" s="42"/>
      <c r="Q126" s="42"/>
      <c r="R126" s="42"/>
      <c r="S126" s="42"/>
      <c r="T126" s="42"/>
      <c r="U126" s="45"/>
      <c r="V126" s="42"/>
      <c r="W126" s="42"/>
      <c r="X126" s="42"/>
      <c r="Y126" s="42"/>
      <c r="AA126" s="30"/>
      <c r="AB126" s="30"/>
      <c r="AC126" s="30"/>
      <c r="AD126" s="30"/>
      <c r="AE126" s="30"/>
      <c r="AF126" s="49"/>
    </row>
    <row r="127" spans="1:32" s="9" customFormat="1" x14ac:dyDescent="0.35">
      <c r="A127" s="15"/>
      <c r="B127" s="16"/>
      <c r="C127" s="17"/>
      <c r="D127" s="16"/>
      <c r="E127" s="16"/>
      <c r="F127" s="30"/>
      <c r="G127" s="30"/>
      <c r="J127" s="16"/>
      <c r="K127" s="42"/>
      <c r="L127" s="42"/>
      <c r="M127" s="42"/>
      <c r="N127" s="42"/>
      <c r="O127" s="42"/>
      <c r="P127" s="42"/>
      <c r="Q127" s="42"/>
      <c r="R127" s="42"/>
      <c r="S127" s="42"/>
      <c r="T127" s="42"/>
      <c r="U127" s="45"/>
      <c r="V127" s="42"/>
      <c r="W127" s="42"/>
      <c r="X127" s="42"/>
      <c r="Y127" s="42"/>
      <c r="AA127" s="30"/>
      <c r="AB127" s="30"/>
      <c r="AC127" s="30"/>
      <c r="AD127" s="30"/>
      <c r="AE127" s="30"/>
      <c r="AF127" s="49"/>
    </row>
    <row r="128" spans="1:32" s="9" customFormat="1" x14ac:dyDescent="0.35">
      <c r="A128" s="15"/>
      <c r="B128" s="16"/>
      <c r="C128" s="17"/>
      <c r="D128" s="16"/>
      <c r="E128" s="16"/>
      <c r="F128" s="30"/>
      <c r="G128" s="30"/>
      <c r="J128" s="16"/>
      <c r="K128" s="42"/>
      <c r="L128" s="42"/>
      <c r="M128" s="42"/>
      <c r="N128" s="42"/>
      <c r="O128" s="42"/>
      <c r="P128" s="42"/>
      <c r="Q128" s="42"/>
      <c r="R128" s="42"/>
      <c r="S128" s="42"/>
      <c r="T128" s="42"/>
      <c r="U128" s="45"/>
      <c r="V128" s="42"/>
      <c r="W128" s="42"/>
      <c r="X128" s="42"/>
      <c r="Y128" s="42"/>
      <c r="AA128" s="30"/>
      <c r="AB128" s="30"/>
      <c r="AC128" s="30"/>
      <c r="AD128" s="30"/>
      <c r="AE128" s="30"/>
      <c r="AF128" s="49"/>
    </row>
    <row r="129" spans="1:32" s="9" customFormat="1" x14ac:dyDescent="0.35">
      <c r="A129" s="15"/>
      <c r="B129" s="16"/>
      <c r="C129" s="17"/>
      <c r="D129" s="16"/>
      <c r="E129" s="16"/>
      <c r="F129" s="30"/>
      <c r="G129" s="30"/>
      <c r="J129" s="16"/>
      <c r="K129" s="42"/>
      <c r="L129" s="42"/>
      <c r="M129" s="42"/>
      <c r="N129" s="42"/>
      <c r="O129" s="42"/>
      <c r="P129" s="42"/>
      <c r="Q129" s="42"/>
      <c r="R129" s="42"/>
      <c r="S129" s="42"/>
      <c r="T129" s="42"/>
      <c r="U129" s="45"/>
      <c r="V129" s="42"/>
      <c r="W129" s="42"/>
      <c r="X129" s="42"/>
      <c r="Y129" s="42"/>
      <c r="AA129" s="30"/>
      <c r="AB129" s="30"/>
      <c r="AC129" s="30"/>
      <c r="AD129" s="30"/>
      <c r="AE129" s="30"/>
      <c r="AF129" s="49"/>
    </row>
    <row r="130" spans="1:32" s="9" customFormat="1" x14ac:dyDescent="0.35">
      <c r="A130" s="15"/>
      <c r="B130" s="16"/>
      <c r="C130" s="17"/>
      <c r="D130" s="16"/>
      <c r="E130" s="16"/>
      <c r="F130" s="30"/>
      <c r="G130" s="30"/>
      <c r="J130" s="16"/>
      <c r="K130" s="42"/>
      <c r="L130" s="42"/>
      <c r="M130" s="42"/>
      <c r="N130" s="42"/>
      <c r="O130" s="42"/>
      <c r="P130" s="42"/>
      <c r="Q130" s="42"/>
      <c r="R130" s="42"/>
      <c r="S130" s="42"/>
      <c r="T130" s="42"/>
      <c r="U130" s="45"/>
      <c r="V130" s="42"/>
      <c r="W130" s="42"/>
      <c r="X130" s="42"/>
      <c r="Y130" s="42"/>
      <c r="AA130" s="30"/>
      <c r="AB130" s="30"/>
      <c r="AC130" s="30"/>
      <c r="AD130" s="30"/>
      <c r="AE130" s="30"/>
      <c r="AF130" s="49"/>
    </row>
    <row r="131" spans="1:32" s="9" customFormat="1" x14ac:dyDescent="0.35">
      <c r="A131" s="15"/>
      <c r="B131" s="16"/>
      <c r="C131" s="17"/>
      <c r="D131" s="16"/>
      <c r="E131" s="16"/>
      <c r="F131" s="30"/>
      <c r="G131" s="30"/>
      <c r="J131" s="16"/>
      <c r="K131" s="42"/>
      <c r="L131" s="42"/>
      <c r="M131" s="42"/>
      <c r="N131" s="42"/>
      <c r="O131" s="42"/>
      <c r="P131" s="42"/>
      <c r="Q131" s="42"/>
      <c r="R131" s="42"/>
      <c r="S131" s="42"/>
      <c r="T131" s="42"/>
      <c r="U131" s="45"/>
      <c r="V131" s="42"/>
      <c r="W131" s="42"/>
      <c r="X131" s="42"/>
      <c r="Y131" s="42"/>
      <c r="AA131" s="30"/>
      <c r="AB131" s="30"/>
      <c r="AC131" s="30"/>
      <c r="AD131" s="30"/>
      <c r="AE131" s="30"/>
      <c r="AF131" s="49"/>
    </row>
    <row r="132" spans="1:32" s="9" customFormat="1" x14ac:dyDescent="0.35">
      <c r="A132" s="15"/>
      <c r="B132" s="16"/>
      <c r="C132" s="17"/>
      <c r="D132" s="16"/>
      <c r="E132" s="16"/>
      <c r="F132" s="30"/>
      <c r="G132" s="30"/>
      <c r="J132" s="16"/>
      <c r="K132" s="42"/>
      <c r="L132" s="42"/>
      <c r="M132" s="42"/>
      <c r="N132" s="42"/>
      <c r="O132" s="42"/>
      <c r="P132" s="42"/>
      <c r="Q132" s="42"/>
      <c r="R132" s="42"/>
      <c r="S132" s="42"/>
      <c r="T132" s="42"/>
      <c r="U132" s="45"/>
      <c r="V132" s="42"/>
      <c r="W132" s="42"/>
      <c r="X132" s="42"/>
      <c r="Y132" s="42"/>
      <c r="AA132" s="30"/>
      <c r="AB132" s="30"/>
      <c r="AC132" s="30"/>
      <c r="AD132" s="30"/>
      <c r="AE132" s="30"/>
      <c r="AF132" s="49"/>
    </row>
    <row r="133" spans="1:32" s="9" customFormat="1" x14ac:dyDescent="0.35">
      <c r="A133" s="15"/>
      <c r="B133" s="16"/>
      <c r="C133" s="17"/>
      <c r="D133" s="16"/>
      <c r="E133" s="16"/>
      <c r="F133" s="30"/>
      <c r="G133" s="30"/>
      <c r="J133" s="16"/>
      <c r="K133" s="42"/>
      <c r="L133" s="42"/>
      <c r="M133" s="42"/>
      <c r="N133" s="42"/>
      <c r="O133" s="42"/>
      <c r="P133" s="42"/>
      <c r="Q133" s="42"/>
      <c r="R133" s="42"/>
      <c r="S133" s="42"/>
      <c r="T133" s="42"/>
      <c r="U133" s="45"/>
      <c r="V133" s="42"/>
      <c r="W133" s="42"/>
      <c r="X133" s="42"/>
      <c r="Y133" s="42"/>
      <c r="AA133" s="30"/>
      <c r="AB133" s="30"/>
      <c r="AC133" s="30"/>
      <c r="AD133" s="30"/>
      <c r="AE133" s="30"/>
      <c r="AF133" s="49"/>
    </row>
    <row r="134" spans="1:32" s="9" customFormat="1" x14ac:dyDescent="0.35">
      <c r="A134" s="15"/>
      <c r="B134" s="16"/>
      <c r="C134" s="17"/>
      <c r="D134" s="16"/>
      <c r="E134" s="16"/>
      <c r="F134" s="30"/>
      <c r="G134" s="30"/>
      <c r="J134" s="16"/>
      <c r="K134" s="42"/>
      <c r="L134" s="42"/>
      <c r="M134" s="42"/>
      <c r="N134" s="42"/>
      <c r="O134" s="42"/>
      <c r="P134" s="42"/>
      <c r="Q134" s="42"/>
      <c r="R134" s="42"/>
      <c r="S134" s="42"/>
      <c r="T134" s="42"/>
      <c r="U134" s="45"/>
      <c r="V134" s="42"/>
      <c r="W134" s="42"/>
      <c r="X134" s="42"/>
      <c r="Y134" s="42"/>
      <c r="AA134" s="30"/>
      <c r="AB134" s="30"/>
      <c r="AC134" s="30"/>
      <c r="AD134" s="30"/>
      <c r="AE134" s="30"/>
      <c r="AF134" s="49"/>
    </row>
    <row r="135" spans="1:32" s="9" customFormat="1" x14ac:dyDescent="0.35">
      <c r="A135" s="15"/>
      <c r="B135" s="16"/>
      <c r="C135" s="17"/>
      <c r="D135" s="16"/>
      <c r="E135" s="16"/>
      <c r="F135" s="30"/>
      <c r="G135" s="30"/>
      <c r="J135" s="16"/>
      <c r="K135" s="42"/>
      <c r="L135" s="42"/>
      <c r="M135" s="42"/>
      <c r="N135" s="42"/>
      <c r="O135" s="42"/>
      <c r="P135" s="42"/>
      <c r="Q135" s="42"/>
      <c r="R135" s="42"/>
      <c r="S135" s="42"/>
      <c r="T135" s="42"/>
      <c r="U135" s="45"/>
      <c r="V135" s="42"/>
      <c r="W135" s="42"/>
      <c r="X135" s="42"/>
      <c r="Y135" s="42"/>
      <c r="AA135" s="30"/>
      <c r="AB135" s="30"/>
      <c r="AC135" s="30"/>
      <c r="AD135" s="30"/>
      <c r="AE135" s="30"/>
      <c r="AF135" s="49"/>
    </row>
    <row r="136" spans="1:32" s="9" customFormat="1" x14ac:dyDescent="0.35">
      <c r="A136" s="15"/>
      <c r="B136" s="16"/>
      <c r="C136" s="17"/>
      <c r="D136" s="16"/>
      <c r="E136" s="16"/>
      <c r="F136" s="30"/>
      <c r="G136" s="30"/>
      <c r="J136" s="16"/>
      <c r="K136" s="42"/>
      <c r="L136" s="42"/>
      <c r="M136" s="42"/>
      <c r="N136" s="42"/>
      <c r="O136" s="42"/>
      <c r="P136" s="42"/>
      <c r="Q136" s="42"/>
      <c r="R136" s="42"/>
      <c r="S136" s="42"/>
      <c r="T136" s="42"/>
      <c r="U136" s="45"/>
      <c r="V136" s="42"/>
      <c r="W136" s="42"/>
      <c r="X136" s="42"/>
      <c r="Y136" s="42"/>
      <c r="AA136" s="30"/>
      <c r="AB136" s="30"/>
      <c r="AC136" s="30"/>
      <c r="AD136" s="30"/>
      <c r="AE136" s="30"/>
      <c r="AF136" s="49"/>
    </row>
    <row r="137" spans="1:32" s="9" customFormat="1" x14ac:dyDescent="0.35">
      <c r="A137" s="15"/>
      <c r="B137" s="16"/>
      <c r="C137" s="17"/>
      <c r="D137" s="16"/>
      <c r="E137" s="16"/>
      <c r="F137" s="30"/>
      <c r="G137" s="30"/>
      <c r="J137" s="16"/>
      <c r="K137" s="42"/>
      <c r="L137" s="42"/>
      <c r="M137" s="42"/>
      <c r="N137" s="42"/>
      <c r="O137" s="42"/>
      <c r="P137" s="42"/>
      <c r="Q137" s="42"/>
      <c r="R137" s="42"/>
      <c r="S137" s="42"/>
      <c r="T137" s="42"/>
      <c r="U137" s="45"/>
      <c r="V137" s="42"/>
      <c r="W137" s="42"/>
      <c r="X137" s="42"/>
      <c r="Y137" s="42"/>
      <c r="AA137" s="30"/>
      <c r="AB137" s="30"/>
      <c r="AC137" s="30"/>
      <c r="AD137" s="30"/>
      <c r="AE137" s="30"/>
      <c r="AF137" s="49"/>
    </row>
    <row r="138" spans="1:32" s="9" customFormat="1" x14ac:dyDescent="0.35">
      <c r="A138" s="15"/>
      <c r="B138" s="16"/>
      <c r="C138" s="17"/>
      <c r="D138" s="16"/>
      <c r="E138" s="16"/>
      <c r="F138" s="30"/>
      <c r="G138" s="30"/>
      <c r="J138" s="16"/>
      <c r="K138" s="42"/>
      <c r="L138" s="42"/>
      <c r="M138" s="42"/>
      <c r="N138" s="42"/>
      <c r="O138" s="42"/>
      <c r="P138" s="42"/>
      <c r="Q138" s="42"/>
      <c r="R138" s="42"/>
      <c r="S138" s="42"/>
      <c r="T138" s="42"/>
      <c r="U138" s="45"/>
      <c r="V138" s="42"/>
      <c r="W138" s="42"/>
      <c r="X138" s="42"/>
      <c r="Y138" s="42"/>
      <c r="AA138" s="30"/>
      <c r="AB138" s="30"/>
      <c r="AC138" s="30"/>
      <c r="AD138" s="30"/>
      <c r="AE138" s="30"/>
      <c r="AF138" s="49"/>
    </row>
    <row r="139" spans="1:32" s="9" customFormat="1" x14ac:dyDescent="0.35">
      <c r="A139" s="15"/>
      <c r="B139" s="16"/>
      <c r="C139" s="17"/>
      <c r="D139" s="16"/>
      <c r="E139" s="16"/>
      <c r="F139" s="30"/>
      <c r="G139" s="30"/>
      <c r="J139" s="16"/>
      <c r="K139" s="42"/>
      <c r="L139" s="42"/>
      <c r="M139" s="42"/>
      <c r="N139" s="42"/>
      <c r="O139" s="42"/>
      <c r="P139" s="42"/>
      <c r="Q139" s="42"/>
      <c r="R139" s="42"/>
      <c r="S139" s="42"/>
      <c r="T139" s="42"/>
      <c r="U139" s="45"/>
      <c r="V139" s="42"/>
      <c r="W139" s="42"/>
      <c r="X139" s="42"/>
      <c r="Y139" s="42"/>
      <c r="AA139" s="30"/>
      <c r="AB139" s="30"/>
      <c r="AC139" s="30"/>
      <c r="AD139" s="30"/>
      <c r="AE139" s="30"/>
      <c r="AF139" s="49"/>
    </row>
    <row r="140" spans="1:32" s="9" customFormat="1" x14ac:dyDescent="0.35">
      <c r="A140" s="15"/>
      <c r="B140" s="16"/>
      <c r="C140" s="17"/>
      <c r="D140" s="16"/>
      <c r="E140" s="16"/>
      <c r="F140" s="30"/>
      <c r="G140" s="30"/>
      <c r="J140" s="16"/>
      <c r="K140" s="42"/>
      <c r="L140" s="42"/>
      <c r="M140" s="42"/>
      <c r="N140" s="42"/>
      <c r="O140" s="42"/>
      <c r="P140" s="42"/>
      <c r="Q140" s="42"/>
      <c r="R140" s="42"/>
      <c r="S140" s="42"/>
      <c r="T140" s="42"/>
      <c r="U140" s="45"/>
      <c r="V140" s="42"/>
      <c r="W140" s="42"/>
      <c r="X140" s="42"/>
      <c r="Y140" s="42"/>
      <c r="AA140" s="30"/>
      <c r="AB140" s="30"/>
      <c r="AC140" s="30"/>
      <c r="AD140" s="30"/>
      <c r="AE140" s="30"/>
      <c r="AF140" s="49"/>
    </row>
    <row r="141" spans="1:32" s="9" customFormat="1" x14ac:dyDescent="0.35">
      <c r="A141" s="15"/>
      <c r="B141" s="16"/>
      <c r="C141" s="17"/>
      <c r="D141" s="16"/>
      <c r="E141" s="16"/>
      <c r="F141" s="30"/>
      <c r="G141" s="30"/>
      <c r="J141" s="16"/>
      <c r="K141" s="42"/>
      <c r="L141" s="42"/>
      <c r="M141" s="42"/>
      <c r="N141" s="42"/>
      <c r="O141" s="42"/>
      <c r="P141" s="42"/>
      <c r="Q141" s="42"/>
      <c r="R141" s="42"/>
      <c r="S141" s="42"/>
      <c r="T141" s="42"/>
      <c r="U141" s="45"/>
      <c r="V141" s="42"/>
      <c r="W141" s="42"/>
      <c r="X141" s="42"/>
      <c r="Y141" s="42"/>
      <c r="AA141" s="30"/>
      <c r="AB141" s="30"/>
      <c r="AC141" s="30"/>
      <c r="AD141" s="30"/>
      <c r="AE141" s="30"/>
      <c r="AF141" s="49"/>
    </row>
    <row r="142" spans="1:32" s="9" customFormat="1" x14ac:dyDescent="0.35">
      <c r="A142" s="15"/>
      <c r="B142" s="16"/>
      <c r="C142" s="17"/>
      <c r="D142" s="16"/>
      <c r="E142" s="16"/>
      <c r="F142" s="30"/>
      <c r="G142" s="30"/>
      <c r="J142" s="16"/>
      <c r="K142" s="42"/>
      <c r="L142" s="42"/>
      <c r="M142" s="42"/>
      <c r="N142" s="42"/>
      <c r="O142" s="42"/>
      <c r="P142" s="42"/>
      <c r="Q142" s="42"/>
      <c r="R142" s="42"/>
      <c r="S142" s="42"/>
      <c r="T142" s="42"/>
      <c r="U142" s="45"/>
      <c r="V142" s="42"/>
      <c r="W142" s="42"/>
      <c r="X142" s="42"/>
      <c r="Y142" s="42"/>
      <c r="AA142" s="30"/>
      <c r="AB142" s="30"/>
      <c r="AC142" s="30"/>
      <c r="AD142" s="30"/>
      <c r="AE142" s="30"/>
      <c r="AF142" s="49"/>
    </row>
    <row r="143" spans="1:32" s="9" customFormat="1" x14ac:dyDescent="0.35">
      <c r="A143" s="15"/>
      <c r="B143" s="16"/>
      <c r="C143" s="17"/>
      <c r="D143" s="16"/>
      <c r="E143" s="16"/>
      <c r="F143" s="30"/>
      <c r="G143" s="30"/>
      <c r="J143" s="16"/>
      <c r="K143" s="42"/>
      <c r="L143" s="42"/>
      <c r="M143" s="42"/>
      <c r="N143" s="42"/>
      <c r="O143" s="42"/>
      <c r="P143" s="42"/>
      <c r="Q143" s="42"/>
      <c r="R143" s="42"/>
      <c r="S143" s="42"/>
      <c r="T143" s="42"/>
      <c r="U143" s="45"/>
      <c r="V143" s="42"/>
      <c r="W143" s="42"/>
      <c r="X143" s="42"/>
      <c r="Y143" s="42"/>
      <c r="AA143" s="30"/>
      <c r="AB143" s="30"/>
      <c r="AC143" s="30"/>
      <c r="AD143" s="30"/>
      <c r="AE143" s="30"/>
      <c r="AF143" s="49"/>
    </row>
    <row r="144" spans="1:32" s="9" customFormat="1" x14ac:dyDescent="0.35">
      <c r="A144" s="15"/>
      <c r="B144" s="16"/>
      <c r="C144" s="17"/>
      <c r="D144" s="16"/>
      <c r="E144" s="16"/>
      <c r="F144" s="30"/>
      <c r="G144" s="30"/>
      <c r="J144" s="16"/>
      <c r="K144" s="42"/>
      <c r="L144" s="42"/>
      <c r="M144" s="42"/>
      <c r="N144" s="42"/>
      <c r="O144" s="42"/>
      <c r="P144" s="42"/>
      <c r="Q144" s="42"/>
      <c r="R144" s="42"/>
      <c r="S144" s="42"/>
      <c r="T144" s="42"/>
      <c r="U144" s="45"/>
      <c r="V144" s="42"/>
      <c r="W144" s="42"/>
      <c r="X144" s="42"/>
      <c r="Y144" s="42"/>
      <c r="AA144" s="30"/>
      <c r="AB144" s="30"/>
      <c r="AC144" s="30"/>
      <c r="AD144" s="30"/>
      <c r="AE144" s="30"/>
      <c r="AF144" s="49"/>
    </row>
    <row r="145" spans="1:32" s="9" customFormat="1" x14ac:dyDescent="0.35">
      <c r="A145" s="15"/>
      <c r="B145" s="16"/>
      <c r="C145" s="17"/>
      <c r="D145" s="16"/>
      <c r="E145" s="16"/>
      <c r="F145" s="30"/>
      <c r="G145" s="30"/>
      <c r="J145" s="16"/>
      <c r="K145" s="42"/>
      <c r="L145" s="42"/>
      <c r="M145" s="42"/>
      <c r="N145" s="42"/>
      <c r="O145" s="42"/>
      <c r="P145" s="42"/>
      <c r="Q145" s="42"/>
      <c r="R145" s="42"/>
      <c r="S145" s="42"/>
      <c r="T145" s="42"/>
      <c r="U145" s="45"/>
      <c r="V145" s="42"/>
      <c r="W145" s="42"/>
      <c r="X145" s="42"/>
      <c r="Y145" s="42"/>
      <c r="AA145" s="30"/>
      <c r="AB145" s="30"/>
      <c r="AC145" s="30"/>
      <c r="AD145" s="30"/>
      <c r="AE145" s="30"/>
      <c r="AF145" s="49"/>
    </row>
    <row r="146" spans="1:32" s="9" customFormat="1" x14ac:dyDescent="0.35">
      <c r="A146" s="15"/>
      <c r="B146" s="16"/>
      <c r="C146" s="17"/>
      <c r="D146" s="16"/>
      <c r="E146" s="16"/>
      <c r="F146" s="30"/>
      <c r="G146" s="30"/>
      <c r="J146" s="16"/>
      <c r="K146" s="42"/>
      <c r="L146" s="42"/>
      <c r="M146" s="42"/>
      <c r="N146" s="42"/>
      <c r="O146" s="42"/>
      <c r="P146" s="42"/>
      <c r="Q146" s="42"/>
      <c r="R146" s="42"/>
      <c r="S146" s="42"/>
      <c r="T146" s="42"/>
      <c r="U146" s="45"/>
      <c r="V146" s="42"/>
      <c r="W146" s="42"/>
      <c r="X146" s="42"/>
      <c r="Y146" s="42"/>
      <c r="AA146" s="30"/>
      <c r="AB146" s="30"/>
      <c r="AC146" s="30"/>
      <c r="AD146" s="30"/>
      <c r="AE146" s="30"/>
      <c r="AF146" s="49"/>
    </row>
    <row r="147" spans="1:32" s="9" customFormat="1" x14ac:dyDescent="0.35">
      <c r="A147" s="15"/>
      <c r="B147" s="16"/>
      <c r="C147" s="17"/>
      <c r="D147" s="16"/>
      <c r="E147" s="16"/>
      <c r="F147" s="30"/>
      <c r="G147" s="30"/>
      <c r="J147" s="16"/>
      <c r="K147" s="42"/>
      <c r="L147" s="42"/>
      <c r="M147" s="42"/>
      <c r="N147" s="42"/>
      <c r="O147" s="42"/>
      <c r="P147" s="42"/>
      <c r="Q147" s="42"/>
      <c r="R147" s="42"/>
      <c r="S147" s="42"/>
      <c r="T147" s="42"/>
      <c r="U147" s="45"/>
      <c r="V147" s="42"/>
      <c r="W147" s="42"/>
      <c r="X147" s="42"/>
      <c r="Y147" s="42"/>
      <c r="AA147" s="30"/>
      <c r="AB147" s="30"/>
      <c r="AC147" s="30"/>
      <c r="AD147" s="30"/>
      <c r="AE147" s="30"/>
      <c r="AF147" s="49"/>
    </row>
    <row r="148" spans="1:32" s="9" customFormat="1" x14ac:dyDescent="0.35">
      <c r="A148" s="15"/>
      <c r="B148" s="16"/>
      <c r="C148" s="17"/>
      <c r="D148" s="16"/>
      <c r="E148" s="16"/>
      <c r="F148" s="30"/>
      <c r="G148" s="30"/>
      <c r="J148" s="16"/>
      <c r="K148" s="42"/>
      <c r="L148" s="42"/>
      <c r="M148" s="42"/>
      <c r="N148" s="42"/>
      <c r="O148" s="42"/>
      <c r="P148" s="42"/>
      <c r="Q148" s="42"/>
      <c r="R148" s="42"/>
      <c r="S148" s="42"/>
      <c r="T148" s="42"/>
      <c r="U148" s="45"/>
      <c r="V148" s="42"/>
      <c r="W148" s="42"/>
      <c r="X148" s="42"/>
      <c r="Y148" s="42"/>
      <c r="AA148" s="30"/>
      <c r="AB148" s="30"/>
      <c r="AC148" s="30"/>
      <c r="AD148" s="30"/>
      <c r="AE148" s="30"/>
      <c r="AF148" s="49"/>
    </row>
    <row r="149" spans="1:32" s="9" customFormat="1" x14ac:dyDescent="0.35">
      <c r="A149" s="15"/>
      <c r="B149" s="16"/>
      <c r="C149" s="17"/>
      <c r="D149" s="16"/>
      <c r="E149" s="16"/>
      <c r="F149" s="30"/>
      <c r="G149" s="30"/>
      <c r="J149" s="16"/>
      <c r="K149" s="42"/>
      <c r="L149" s="42"/>
      <c r="M149" s="42"/>
      <c r="N149" s="42"/>
      <c r="O149" s="42"/>
      <c r="P149" s="42"/>
      <c r="Q149" s="42"/>
      <c r="R149" s="42"/>
      <c r="S149" s="42"/>
      <c r="T149" s="42"/>
      <c r="U149" s="45"/>
      <c r="V149" s="42"/>
      <c r="W149" s="42"/>
      <c r="X149" s="42"/>
      <c r="Y149" s="42"/>
      <c r="AA149" s="30"/>
      <c r="AB149" s="30"/>
      <c r="AC149" s="30"/>
      <c r="AD149" s="30"/>
      <c r="AE149" s="30"/>
      <c r="AF149" s="49"/>
    </row>
    <row r="150" spans="1:32" s="9" customFormat="1" x14ac:dyDescent="0.35">
      <c r="A150" s="15"/>
      <c r="B150" s="16"/>
      <c r="C150" s="17"/>
      <c r="D150" s="16"/>
      <c r="E150" s="16"/>
      <c r="F150" s="30"/>
      <c r="G150" s="30"/>
      <c r="J150" s="16"/>
      <c r="K150" s="42"/>
      <c r="L150" s="42"/>
      <c r="M150" s="42"/>
      <c r="N150" s="42"/>
      <c r="O150" s="42"/>
      <c r="P150" s="42"/>
      <c r="Q150" s="42"/>
      <c r="R150" s="42"/>
      <c r="S150" s="42"/>
      <c r="T150" s="42"/>
      <c r="U150" s="45"/>
      <c r="V150" s="42"/>
      <c r="W150" s="42"/>
      <c r="X150" s="42"/>
      <c r="Y150" s="42"/>
      <c r="AA150" s="30"/>
      <c r="AB150" s="30"/>
      <c r="AC150" s="30"/>
      <c r="AD150" s="30"/>
      <c r="AE150" s="30"/>
      <c r="AF150" s="49"/>
    </row>
    <row r="151" spans="1:32" s="9" customFormat="1" x14ac:dyDescent="0.35">
      <c r="A151" s="15"/>
      <c r="B151" s="16"/>
      <c r="C151" s="17"/>
      <c r="D151" s="16"/>
      <c r="E151" s="16"/>
      <c r="F151" s="30"/>
      <c r="G151" s="30"/>
      <c r="J151" s="16"/>
      <c r="K151" s="42"/>
      <c r="L151" s="42"/>
      <c r="M151" s="42"/>
      <c r="N151" s="42"/>
      <c r="O151" s="42"/>
      <c r="P151" s="42"/>
      <c r="Q151" s="42"/>
      <c r="R151" s="42"/>
      <c r="S151" s="42"/>
      <c r="T151" s="42"/>
      <c r="U151" s="45"/>
      <c r="V151" s="42"/>
      <c r="W151" s="42"/>
      <c r="X151" s="42"/>
      <c r="Y151" s="42"/>
      <c r="AA151" s="30"/>
      <c r="AB151" s="30"/>
      <c r="AC151" s="30"/>
      <c r="AD151" s="30"/>
      <c r="AE151" s="30"/>
      <c r="AF151" s="49"/>
    </row>
    <row r="152" spans="1:32" s="9" customFormat="1" x14ac:dyDescent="0.35">
      <c r="A152" s="15"/>
      <c r="B152" s="16"/>
      <c r="C152" s="17"/>
      <c r="D152" s="16"/>
      <c r="E152" s="16"/>
      <c r="F152" s="30"/>
      <c r="G152" s="30"/>
      <c r="J152" s="16"/>
      <c r="K152" s="42"/>
      <c r="L152" s="42"/>
      <c r="M152" s="42"/>
      <c r="N152" s="42"/>
      <c r="O152" s="42"/>
      <c r="P152" s="42"/>
      <c r="Q152" s="42"/>
      <c r="R152" s="42"/>
      <c r="S152" s="42"/>
      <c r="T152" s="42"/>
      <c r="U152" s="45"/>
      <c r="V152" s="42"/>
      <c r="W152" s="42"/>
      <c r="X152" s="42"/>
      <c r="Y152" s="42"/>
      <c r="AA152" s="30"/>
      <c r="AB152" s="30"/>
      <c r="AC152" s="30"/>
      <c r="AD152" s="30"/>
      <c r="AE152" s="30"/>
      <c r="AF152" s="49"/>
    </row>
    <row r="153" spans="1:32" s="9" customFormat="1" x14ac:dyDescent="0.35">
      <c r="A153" s="15"/>
      <c r="B153" s="16"/>
      <c r="C153" s="17"/>
      <c r="D153" s="16"/>
      <c r="E153" s="16"/>
      <c r="F153" s="30"/>
      <c r="G153" s="30"/>
      <c r="J153" s="16"/>
      <c r="K153" s="42"/>
      <c r="L153" s="42"/>
      <c r="M153" s="42"/>
      <c r="N153" s="42"/>
      <c r="O153" s="42"/>
      <c r="P153" s="42"/>
      <c r="Q153" s="42"/>
      <c r="R153" s="42"/>
      <c r="S153" s="42"/>
      <c r="T153" s="42"/>
      <c r="U153" s="45"/>
      <c r="V153" s="42"/>
      <c r="W153" s="42"/>
      <c r="X153" s="42"/>
      <c r="Y153" s="42"/>
      <c r="AA153" s="30"/>
      <c r="AB153" s="30"/>
      <c r="AC153" s="30"/>
      <c r="AD153" s="30"/>
      <c r="AE153" s="30"/>
      <c r="AF153" s="49"/>
    </row>
    <row r="154" spans="1:32" s="9" customFormat="1" x14ac:dyDescent="0.35">
      <c r="A154" s="15"/>
      <c r="B154" s="16"/>
      <c r="C154" s="17"/>
      <c r="D154" s="16"/>
      <c r="E154" s="16"/>
      <c r="F154" s="30"/>
      <c r="G154" s="30"/>
      <c r="J154" s="16"/>
      <c r="K154" s="42"/>
      <c r="L154" s="42"/>
      <c r="M154" s="42"/>
      <c r="N154" s="42"/>
      <c r="O154" s="42"/>
      <c r="P154" s="42"/>
      <c r="Q154" s="42"/>
      <c r="R154" s="42"/>
      <c r="S154" s="42"/>
      <c r="T154" s="42"/>
      <c r="U154" s="45"/>
      <c r="V154" s="42"/>
      <c r="W154" s="42"/>
      <c r="X154" s="42"/>
      <c r="Y154" s="42"/>
      <c r="AA154" s="30"/>
      <c r="AB154" s="30"/>
      <c r="AC154" s="30"/>
      <c r="AD154" s="30"/>
      <c r="AE154" s="30"/>
      <c r="AF154" s="49"/>
    </row>
    <row r="155" spans="1:32" s="9" customFormat="1" x14ac:dyDescent="0.35">
      <c r="A155" s="15"/>
      <c r="B155" s="16"/>
      <c r="C155" s="17"/>
      <c r="D155" s="16"/>
      <c r="E155" s="16"/>
      <c r="F155" s="30"/>
      <c r="G155" s="30"/>
      <c r="J155" s="16"/>
      <c r="K155" s="42"/>
      <c r="L155" s="42"/>
      <c r="M155" s="42"/>
      <c r="N155" s="42"/>
      <c r="O155" s="42"/>
      <c r="P155" s="42"/>
      <c r="Q155" s="42"/>
      <c r="R155" s="42"/>
      <c r="S155" s="42"/>
      <c r="T155" s="42"/>
      <c r="U155" s="45"/>
      <c r="V155" s="42"/>
      <c r="W155" s="42"/>
      <c r="X155" s="42"/>
      <c r="Y155" s="42"/>
      <c r="AA155" s="30"/>
      <c r="AB155" s="30"/>
      <c r="AC155" s="30"/>
      <c r="AD155" s="30"/>
      <c r="AE155" s="30"/>
      <c r="AF155" s="49"/>
    </row>
    <row r="156" spans="1:32" s="9" customFormat="1" x14ac:dyDescent="0.35">
      <c r="A156" s="15"/>
      <c r="B156" s="16"/>
      <c r="C156" s="17"/>
      <c r="D156" s="16"/>
      <c r="E156" s="16"/>
      <c r="F156" s="30"/>
      <c r="G156" s="30"/>
      <c r="J156" s="16"/>
      <c r="K156" s="42"/>
      <c r="L156" s="42"/>
      <c r="M156" s="42"/>
      <c r="N156" s="42"/>
      <c r="O156" s="42"/>
      <c r="P156" s="42"/>
      <c r="Q156" s="42"/>
      <c r="R156" s="42"/>
      <c r="S156" s="42"/>
      <c r="T156" s="42"/>
      <c r="U156" s="45"/>
      <c r="V156" s="42"/>
      <c r="W156" s="42"/>
      <c r="X156" s="42"/>
      <c r="Y156" s="42"/>
      <c r="AA156" s="30"/>
      <c r="AB156" s="30"/>
      <c r="AC156" s="30"/>
      <c r="AD156" s="30"/>
      <c r="AE156" s="30"/>
      <c r="AF156" s="49"/>
    </row>
    <row r="157" spans="1:32" s="9" customFormat="1" x14ac:dyDescent="0.35">
      <c r="A157" s="15"/>
      <c r="B157" s="16"/>
      <c r="C157" s="17"/>
      <c r="D157" s="16"/>
      <c r="E157" s="16"/>
      <c r="F157" s="30"/>
      <c r="G157" s="30"/>
      <c r="J157" s="16"/>
      <c r="K157" s="42"/>
      <c r="L157" s="42"/>
      <c r="M157" s="42"/>
      <c r="N157" s="42"/>
      <c r="O157" s="42"/>
      <c r="P157" s="42"/>
      <c r="Q157" s="42"/>
      <c r="R157" s="42"/>
      <c r="S157" s="42"/>
      <c r="T157" s="42"/>
      <c r="U157" s="45"/>
      <c r="V157" s="42"/>
      <c r="W157" s="42"/>
      <c r="X157" s="42"/>
      <c r="Y157" s="42"/>
      <c r="AA157" s="30"/>
      <c r="AB157" s="30"/>
      <c r="AC157" s="30"/>
      <c r="AD157" s="30"/>
      <c r="AE157" s="30"/>
      <c r="AF157" s="49"/>
    </row>
    <row r="158" spans="1:32" s="9" customFormat="1" x14ac:dyDescent="0.35">
      <c r="A158" s="15"/>
      <c r="B158" s="16"/>
      <c r="C158" s="17"/>
      <c r="D158" s="16"/>
      <c r="E158" s="16"/>
      <c r="F158" s="30"/>
      <c r="G158" s="30"/>
      <c r="J158" s="16"/>
      <c r="K158" s="42"/>
      <c r="L158" s="42"/>
      <c r="M158" s="42"/>
      <c r="N158" s="42"/>
      <c r="O158" s="42"/>
      <c r="P158" s="42"/>
      <c r="Q158" s="42"/>
      <c r="R158" s="42"/>
      <c r="S158" s="42"/>
      <c r="T158" s="42"/>
      <c r="U158" s="45"/>
      <c r="V158" s="42"/>
      <c r="W158" s="42"/>
      <c r="X158" s="42"/>
      <c r="Y158" s="42"/>
      <c r="AA158" s="30"/>
      <c r="AB158" s="30"/>
      <c r="AC158" s="30"/>
      <c r="AD158" s="30"/>
      <c r="AE158" s="30"/>
      <c r="AF158" s="49"/>
    </row>
    <row r="159" spans="1:32" s="9" customFormat="1" x14ac:dyDescent="0.35">
      <c r="A159" s="15"/>
      <c r="B159" s="16"/>
      <c r="C159" s="17"/>
      <c r="D159" s="16"/>
      <c r="E159" s="16"/>
      <c r="F159" s="30"/>
      <c r="G159" s="30"/>
      <c r="J159" s="16"/>
      <c r="K159" s="42"/>
      <c r="L159" s="42"/>
      <c r="M159" s="42"/>
      <c r="N159" s="42"/>
      <c r="O159" s="42"/>
      <c r="P159" s="42"/>
      <c r="Q159" s="42"/>
      <c r="R159" s="42"/>
      <c r="S159" s="42"/>
      <c r="T159" s="42"/>
      <c r="U159" s="45"/>
      <c r="V159" s="42"/>
      <c r="W159" s="42"/>
      <c r="X159" s="42"/>
      <c r="Y159" s="42"/>
      <c r="AA159" s="30"/>
      <c r="AB159" s="30"/>
      <c r="AC159" s="30"/>
      <c r="AD159" s="30"/>
      <c r="AE159" s="30"/>
      <c r="AF159" s="49"/>
    </row>
    <row r="160" spans="1:32" s="9" customFormat="1" x14ac:dyDescent="0.35">
      <c r="A160" s="15"/>
      <c r="B160" s="16"/>
      <c r="C160" s="17"/>
      <c r="D160" s="16"/>
      <c r="E160" s="16"/>
      <c r="F160" s="30"/>
      <c r="G160" s="30"/>
      <c r="J160" s="16"/>
      <c r="K160" s="42"/>
      <c r="L160" s="42"/>
      <c r="M160" s="42"/>
      <c r="N160" s="42"/>
      <c r="O160" s="42"/>
      <c r="P160" s="42"/>
      <c r="Q160" s="42"/>
      <c r="R160" s="42"/>
      <c r="S160" s="42"/>
      <c r="T160" s="42"/>
      <c r="U160" s="45"/>
      <c r="V160" s="42"/>
      <c r="W160" s="42"/>
      <c r="X160" s="42"/>
      <c r="Y160" s="42"/>
      <c r="AA160" s="30"/>
      <c r="AB160" s="30"/>
      <c r="AC160" s="30"/>
      <c r="AD160" s="30"/>
      <c r="AE160" s="30"/>
      <c r="AF160" s="49"/>
    </row>
    <row r="161" spans="1:32" s="9" customFormat="1" x14ac:dyDescent="0.35">
      <c r="A161" s="15"/>
      <c r="B161" s="16"/>
      <c r="C161" s="17"/>
      <c r="D161" s="16"/>
      <c r="E161" s="16"/>
      <c r="F161" s="30"/>
      <c r="G161" s="30"/>
      <c r="J161" s="16"/>
      <c r="K161" s="42"/>
      <c r="L161" s="42"/>
      <c r="M161" s="42"/>
      <c r="N161" s="42"/>
      <c r="O161" s="42"/>
      <c r="P161" s="42"/>
      <c r="Q161" s="42"/>
      <c r="R161" s="42"/>
      <c r="S161" s="42"/>
      <c r="T161" s="42"/>
      <c r="U161" s="45"/>
      <c r="V161" s="42"/>
      <c r="W161" s="42"/>
      <c r="X161" s="42"/>
      <c r="Y161" s="42"/>
      <c r="AA161" s="30"/>
      <c r="AB161" s="30"/>
      <c r="AC161" s="30"/>
      <c r="AD161" s="30"/>
      <c r="AE161" s="30"/>
      <c r="AF161" s="49"/>
    </row>
    <row r="162" spans="1:32" s="9" customFormat="1" x14ac:dyDescent="0.35">
      <c r="A162" s="15"/>
      <c r="B162" s="16"/>
      <c r="C162" s="17"/>
      <c r="D162" s="16"/>
      <c r="E162" s="16"/>
      <c r="F162" s="30"/>
      <c r="G162" s="30"/>
      <c r="J162" s="16"/>
      <c r="K162" s="42"/>
      <c r="L162" s="42"/>
      <c r="M162" s="42"/>
      <c r="N162" s="42"/>
      <c r="O162" s="42"/>
      <c r="P162" s="42"/>
      <c r="Q162" s="42"/>
      <c r="R162" s="42"/>
      <c r="S162" s="42"/>
      <c r="T162" s="42"/>
      <c r="U162" s="45"/>
      <c r="V162" s="42"/>
      <c r="W162" s="42"/>
      <c r="X162" s="42"/>
      <c r="Y162" s="42"/>
      <c r="AA162" s="30"/>
      <c r="AB162" s="30"/>
      <c r="AC162" s="30"/>
      <c r="AD162" s="30"/>
      <c r="AE162" s="30"/>
      <c r="AF162" s="49"/>
    </row>
    <row r="163" spans="1:32" s="9" customFormat="1" x14ac:dyDescent="0.35">
      <c r="A163" s="15"/>
      <c r="B163" s="16"/>
      <c r="C163" s="17"/>
      <c r="D163" s="16"/>
      <c r="E163" s="16"/>
      <c r="F163" s="30"/>
      <c r="G163" s="30"/>
      <c r="J163" s="16"/>
      <c r="K163" s="42"/>
      <c r="L163" s="42"/>
      <c r="M163" s="42"/>
      <c r="N163" s="42"/>
      <c r="O163" s="42"/>
      <c r="P163" s="42"/>
      <c r="Q163" s="42"/>
      <c r="R163" s="42"/>
      <c r="S163" s="42"/>
      <c r="T163" s="42"/>
      <c r="U163" s="45"/>
      <c r="V163" s="42"/>
      <c r="W163" s="42"/>
      <c r="X163" s="42"/>
      <c r="Y163" s="42"/>
      <c r="AA163" s="30"/>
      <c r="AB163" s="30"/>
      <c r="AC163" s="30"/>
      <c r="AD163" s="30"/>
      <c r="AE163" s="30"/>
      <c r="AF163" s="49"/>
    </row>
    <row r="164" spans="1:32" s="9" customFormat="1" x14ac:dyDescent="0.35">
      <c r="A164" s="15"/>
      <c r="B164" s="16"/>
      <c r="C164" s="17"/>
      <c r="D164" s="16"/>
      <c r="E164" s="16"/>
      <c r="F164" s="30"/>
      <c r="G164" s="30"/>
      <c r="J164" s="16"/>
      <c r="K164" s="42"/>
      <c r="L164" s="42"/>
      <c r="M164" s="42"/>
      <c r="N164" s="42"/>
      <c r="O164" s="42"/>
      <c r="P164" s="42"/>
      <c r="Q164" s="42"/>
      <c r="R164" s="42"/>
      <c r="S164" s="42"/>
      <c r="T164" s="42"/>
      <c r="U164" s="45"/>
      <c r="V164" s="42"/>
      <c r="W164" s="42"/>
      <c r="X164" s="42"/>
      <c r="Y164" s="42"/>
      <c r="AA164" s="30"/>
      <c r="AB164" s="30"/>
      <c r="AC164" s="30"/>
      <c r="AD164" s="30"/>
      <c r="AE164" s="30"/>
      <c r="AF164" s="49"/>
    </row>
    <row r="165" spans="1:32" s="9" customFormat="1" x14ac:dyDescent="0.35">
      <c r="A165" s="15"/>
      <c r="B165" s="16"/>
      <c r="C165" s="17"/>
      <c r="D165" s="16"/>
      <c r="E165" s="16"/>
      <c r="F165" s="30"/>
      <c r="G165" s="30"/>
      <c r="J165" s="16"/>
      <c r="K165" s="42"/>
      <c r="L165" s="42"/>
      <c r="M165" s="42"/>
      <c r="N165" s="42"/>
      <c r="O165" s="42"/>
      <c r="P165" s="42"/>
      <c r="Q165" s="42"/>
      <c r="R165" s="42"/>
      <c r="S165" s="42"/>
      <c r="T165" s="42"/>
      <c r="U165" s="45"/>
      <c r="V165" s="42"/>
      <c r="W165" s="42"/>
      <c r="X165" s="42"/>
      <c r="Y165" s="42"/>
      <c r="AA165" s="30"/>
      <c r="AB165" s="30"/>
      <c r="AC165" s="30"/>
      <c r="AD165" s="30"/>
      <c r="AE165" s="30"/>
      <c r="AF165" s="49"/>
    </row>
    <row r="166" spans="1:32" s="9" customFormat="1" x14ac:dyDescent="0.35">
      <c r="A166" s="15"/>
      <c r="B166" s="16"/>
      <c r="C166" s="17"/>
      <c r="D166" s="16"/>
      <c r="E166" s="16"/>
      <c r="F166" s="30"/>
      <c r="G166" s="30"/>
      <c r="J166" s="16"/>
      <c r="K166" s="42"/>
      <c r="L166" s="42"/>
      <c r="M166" s="42"/>
      <c r="N166" s="42"/>
      <c r="O166" s="42"/>
      <c r="P166" s="42"/>
      <c r="Q166" s="42"/>
      <c r="R166" s="42"/>
      <c r="S166" s="42"/>
      <c r="T166" s="42"/>
      <c r="U166" s="45"/>
      <c r="V166" s="42"/>
      <c r="W166" s="42"/>
      <c r="X166" s="42"/>
      <c r="Y166" s="42"/>
      <c r="AA166" s="30"/>
      <c r="AB166" s="30"/>
      <c r="AC166" s="30"/>
      <c r="AD166" s="30"/>
      <c r="AE166" s="30"/>
      <c r="AF166" s="49"/>
    </row>
    <row r="167" spans="1:32" s="9" customFormat="1" x14ac:dyDescent="0.35">
      <c r="A167" s="15"/>
      <c r="B167" s="16"/>
      <c r="C167" s="17"/>
      <c r="D167" s="16"/>
      <c r="E167" s="16"/>
      <c r="F167" s="30"/>
      <c r="G167" s="30"/>
      <c r="J167" s="16"/>
      <c r="K167" s="42"/>
      <c r="L167" s="42"/>
      <c r="M167" s="42"/>
      <c r="N167" s="42"/>
      <c r="O167" s="42"/>
      <c r="P167" s="42"/>
      <c r="Q167" s="42"/>
      <c r="R167" s="42"/>
      <c r="S167" s="42"/>
      <c r="T167" s="42"/>
      <c r="U167" s="45"/>
      <c r="V167" s="42"/>
      <c r="W167" s="42"/>
      <c r="X167" s="42"/>
      <c r="Y167" s="42"/>
      <c r="AA167" s="30"/>
      <c r="AB167" s="30"/>
      <c r="AC167" s="30"/>
      <c r="AD167" s="30"/>
      <c r="AE167" s="30"/>
      <c r="AF167" s="49"/>
    </row>
    <row r="168" spans="1:32" s="9" customFormat="1" x14ac:dyDescent="0.35">
      <c r="A168" s="15"/>
      <c r="B168" s="16"/>
      <c r="C168" s="17"/>
      <c r="D168" s="16"/>
      <c r="E168" s="16"/>
      <c r="F168" s="30"/>
      <c r="G168" s="30"/>
      <c r="J168" s="16"/>
      <c r="K168" s="42"/>
      <c r="L168" s="42"/>
      <c r="M168" s="42"/>
      <c r="N168" s="42"/>
      <c r="O168" s="42"/>
      <c r="P168" s="42"/>
      <c r="Q168" s="42"/>
      <c r="R168" s="42"/>
      <c r="S168" s="42"/>
      <c r="T168" s="42"/>
      <c r="U168" s="45"/>
      <c r="V168" s="42"/>
      <c r="W168" s="42"/>
      <c r="X168" s="42"/>
      <c r="Y168" s="42"/>
      <c r="AA168" s="30"/>
      <c r="AB168" s="30"/>
      <c r="AC168" s="30"/>
      <c r="AD168" s="30"/>
      <c r="AE168" s="30"/>
      <c r="AF168" s="49"/>
    </row>
    <row r="169" spans="1:32" s="9" customFormat="1" x14ac:dyDescent="0.35">
      <c r="A169" s="15"/>
      <c r="B169" s="16"/>
      <c r="C169" s="17"/>
      <c r="D169" s="16"/>
      <c r="E169" s="16"/>
      <c r="F169" s="30"/>
      <c r="G169" s="30"/>
      <c r="J169" s="16"/>
      <c r="K169" s="42"/>
      <c r="L169" s="42"/>
      <c r="M169" s="42"/>
      <c r="N169" s="42"/>
      <c r="O169" s="42"/>
      <c r="P169" s="42"/>
      <c r="Q169" s="42"/>
      <c r="R169" s="42"/>
      <c r="S169" s="42"/>
      <c r="T169" s="42"/>
      <c r="U169" s="45"/>
      <c r="V169" s="42"/>
      <c r="W169" s="42"/>
      <c r="X169" s="42"/>
      <c r="Y169" s="42"/>
      <c r="AA169" s="30"/>
      <c r="AB169" s="30"/>
      <c r="AC169" s="30"/>
      <c r="AD169" s="30"/>
      <c r="AE169" s="30"/>
      <c r="AF169" s="49"/>
    </row>
    <row r="170" spans="1:32" s="9" customFormat="1" x14ac:dyDescent="0.35">
      <c r="A170" s="15"/>
      <c r="B170" s="16"/>
      <c r="C170" s="17"/>
      <c r="D170" s="16"/>
      <c r="E170" s="16"/>
      <c r="F170" s="30"/>
      <c r="G170" s="30"/>
      <c r="J170" s="16"/>
      <c r="K170" s="42"/>
      <c r="L170" s="42"/>
      <c r="M170" s="42"/>
      <c r="N170" s="42"/>
      <c r="O170" s="42"/>
      <c r="P170" s="42"/>
      <c r="Q170" s="42"/>
      <c r="R170" s="42"/>
      <c r="S170" s="42"/>
      <c r="T170" s="42"/>
      <c r="U170" s="45"/>
      <c r="V170" s="42"/>
      <c r="W170" s="42"/>
      <c r="X170" s="42"/>
      <c r="Y170" s="42"/>
      <c r="AA170" s="30"/>
      <c r="AB170" s="30"/>
      <c r="AC170" s="30"/>
      <c r="AD170" s="30"/>
      <c r="AE170" s="30"/>
      <c r="AF170" s="49"/>
    </row>
    <row r="171" spans="1:32" s="9" customFormat="1" x14ac:dyDescent="0.35">
      <c r="A171" s="15"/>
      <c r="B171" s="16"/>
      <c r="C171" s="17"/>
      <c r="D171" s="16"/>
      <c r="E171" s="16"/>
      <c r="F171" s="30"/>
      <c r="G171" s="30"/>
      <c r="J171" s="16"/>
      <c r="K171" s="42"/>
      <c r="L171" s="42"/>
      <c r="M171" s="42"/>
      <c r="N171" s="42"/>
      <c r="O171" s="42"/>
      <c r="P171" s="42"/>
      <c r="Q171" s="42"/>
      <c r="R171" s="42"/>
      <c r="S171" s="42"/>
      <c r="T171" s="42"/>
      <c r="U171" s="45"/>
      <c r="V171" s="42"/>
      <c r="W171" s="42"/>
      <c r="X171" s="42"/>
      <c r="Y171" s="42"/>
      <c r="AA171" s="30"/>
      <c r="AB171" s="30"/>
      <c r="AC171" s="30"/>
      <c r="AD171" s="30"/>
      <c r="AE171" s="30"/>
      <c r="AF171" s="49"/>
    </row>
    <row r="172" spans="1:32" s="9" customFormat="1" x14ac:dyDescent="0.35">
      <c r="A172" s="15"/>
      <c r="B172" s="16"/>
      <c r="C172" s="17"/>
      <c r="D172" s="16"/>
      <c r="E172" s="16"/>
      <c r="F172" s="30"/>
      <c r="G172" s="30"/>
      <c r="J172" s="16"/>
      <c r="K172" s="42"/>
      <c r="L172" s="42"/>
      <c r="M172" s="42"/>
      <c r="N172" s="42"/>
      <c r="O172" s="42"/>
      <c r="P172" s="42"/>
      <c r="Q172" s="42"/>
      <c r="R172" s="42"/>
      <c r="S172" s="42"/>
      <c r="T172" s="42"/>
      <c r="U172" s="45"/>
      <c r="V172" s="42"/>
      <c r="W172" s="42"/>
      <c r="X172" s="42"/>
      <c r="Y172" s="42"/>
      <c r="AA172" s="30"/>
      <c r="AB172" s="30"/>
      <c r="AC172" s="30"/>
      <c r="AD172" s="30"/>
      <c r="AE172" s="30"/>
      <c r="AF172" s="49"/>
    </row>
    <row r="173" spans="1:32" s="9" customFormat="1" x14ac:dyDescent="0.35">
      <c r="A173" s="15"/>
      <c r="B173" s="16"/>
      <c r="C173" s="17"/>
      <c r="D173" s="16"/>
      <c r="E173" s="16"/>
      <c r="F173" s="30"/>
      <c r="G173" s="30"/>
      <c r="J173" s="16"/>
      <c r="K173" s="42"/>
      <c r="L173" s="42"/>
      <c r="M173" s="42"/>
      <c r="N173" s="42"/>
      <c r="O173" s="42"/>
      <c r="P173" s="42"/>
      <c r="Q173" s="42"/>
      <c r="R173" s="42"/>
      <c r="S173" s="42"/>
      <c r="T173" s="42"/>
      <c r="U173" s="45"/>
      <c r="V173" s="42"/>
      <c r="W173" s="42"/>
      <c r="X173" s="42"/>
      <c r="Y173" s="42"/>
      <c r="AA173" s="30"/>
      <c r="AB173" s="30"/>
      <c r="AC173" s="30"/>
      <c r="AD173" s="30"/>
      <c r="AE173" s="30"/>
      <c r="AF173" s="49"/>
    </row>
    <row r="174" spans="1:32" s="9" customFormat="1" x14ac:dyDescent="0.35">
      <c r="A174" s="15"/>
      <c r="B174" s="16"/>
      <c r="C174" s="17"/>
      <c r="D174" s="16"/>
      <c r="E174" s="16"/>
      <c r="F174" s="30"/>
      <c r="G174" s="30"/>
      <c r="J174" s="16"/>
      <c r="K174" s="42"/>
      <c r="L174" s="42"/>
      <c r="M174" s="42"/>
      <c r="N174" s="42"/>
      <c r="O174" s="42"/>
      <c r="P174" s="42"/>
      <c r="Q174" s="42"/>
      <c r="R174" s="42"/>
      <c r="S174" s="42"/>
      <c r="T174" s="42"/>
      <c r="U174" s="45"/>
      <c r="V174" s="42"/>
      <c r="W174" s="42"/>
      <c r="X174" s="42"/>
      <c r="Y174" s="42"/>
      <c r="AA174" s="30"/>
      <c r="AB174" s="30"/>
      <c r="AC174" s="30"/>
      <c r="AD174" s="30"/>
      <c r="AE174" s="30"/>
      <c r="AF174" s="49"/>
    </row>
    <row r="175" spans="1:32" s="9" customFormat="1" x14ac:dyDescent="0.35">
      <c r="A175" s="15"/>
      <c r="B175" s="16"/>
      <c r="C175" s="17"/>
      <c r="D175" s="16"/>
      <c r="E175" s="16"/>
      <c r="F175" s="30"/>
      <c r="G175" s="30"/>
      <c r="J175" s="16"/>
      <c r="K175" s="42"/>
      <c r="L175" s="42"/>
      <c r="M175" s="42"/>
      <c r="N175" s="42"/>
      <c r="O175" s="42"/>
      <c r="P175" s="42"/>
      <c r="Q175" s="42"/>
      <c r="R175" s="42"/>
      <c r="S175" s="42"/>
      <c r="T175" s="42"/>
      <c r="U175" s="45"/>
      <c r="V175" s="42"/>
      <c r="W175" s="42"/>
      <c r="X175" s="42"/>
      <c r="Y175" s="42"/>
      <c r="AA175" s="30"/>
      <c r="AB175" s="30"/>
      <c r="AC175" s="30"/>
      <c r="AD175" s="30"/>
      <c r="AE175" s="30"/>
      <c r="AF175" s="49"/>
    </row>
    <row r="176" spans="1:32" s="9" customFormat="1" x14ac:dyDescent="0.35">
      <c r="A176" s="15"/>
      <c r="B176" s="16"/>
      <c r="C176" s="17"/>
      <c r="D176" s="16"/>
      <c r="E176" s="16"/>
      <c r="F176" s="30"/>
      <c r="G176" s="30"/>
      <c r="J176" s="16"/>
      <c r="K176" s="42"/>
      <c r="L176" s="42"/>
      <c r="M176" s="42"/>
      <c r="N176" s="42"/>
      <c r="O176" s="42"/>
      <c r="P176" s="42"/>
      <c r="Q176" s="42"/>
      <c r="R176" s="42"/>
      <c r="S176" s="42"/>
      <c r="T176" s="42"/>
      <c r="U176" s="45"/>
      <c r="V176" s="42"/>
      <c r="W176" s="42"/>
      <c r="X176" s="42"/>
      <c r="Y176" s="42"/>
      <c r="AA176" s="30"/>
      <c r="AB176" s="30"/>
      <c r="AC176" s="30"/>
      <c r="AD176" s="30"/>
      <c r="AE176" s="30"/>
      <c r="AF176" s="49"/>
    </row>
    <row r="177" spans="1:32" s="9" customFormat="1" x14ac:dyDescent="0.35">
      <c r="A177" s="15"/>
      <c r="B177" s="16"/>
      <c r="C177" s="17"/>
      <c r="D177" s="16"/>
      <c r="E177" s="16"/>
      <c r="F177" s="30"/>
      <c r="G177" s="30"/>
      <c r="J177" s="16"/>
      <c r="K177" s="42"/>
      <c r="L177" s="42"/>
      <c r="M177" s="42"/>
      <c r="N177" s="42"/>
      <c r="O177" s="42"/>
      <c r="P177" s="42"/>
      <c r="Q177" s="42"/>
      <c r="R177" s="42"/>
      <c r="S177" s="42"/>
      <c r="T177" s="42"/>
      <c r="U177" s="45"/>
      <c r="V177" s="42"/>
      <c r="W177" s="42"/>
      <c r="X177" s="42"/>
      <c r="Y177" s="42"/>
      <c r="AA177" s="30"/>
      <c r="AB177" s="30"/>
      <c r="AC177" s="30"/>
      <c r="AD177" s="30"/>
      <c r="AE177" s="30"/>
      <c r="AF177" s="49"/>
    </row>
    <row r="178" spans="1:32" s="9" customFormat="1" x14ac:dyDescent="0.35">
      <c r="A178" s="15"/>
      <c r="B178" s="16"/>
      <c r="C178" s="17"/>
      <c r="D178" s="16"/>
      <c r="E178" s="16"/>
      <c r="F178" s="30"/>
      <c r="G178" s="30"/>
      <c r="J178" s="16"/>
      <c r="K178" s="42"/>
      <c r="L178" s="42"/>
      <c r="M178" s="42"/>
      <c r="N178" s="42"/>
      <c r="O178" s="42"/>
      <c r="P178" s="42"/>
      <c r="Q178" s="42"/>
      <c r="R178" s="42"/>
      <c r="S178" s="42"/>
      <c r="T178" s="42"/>
      <c r="U178" s="45"/>
      <c r="V178" s="42"/>
      <c r="W178" s="42"/>
      <c r="X178" s="42"/>
      <c r="Y178" s="42"/>
      <c r="AA178" s="30"/>
      <c r="AB178" s="30"/>
      <c r="AC178" s="30"/>
      <c r="AD178" s="30"/>
      <c r="AE178" s="30"/>
      <c r="AF178" s="49"/>
    </row>
    <row r="179" spans="1:32" s="9" customFormat="1" x14ac:dyDescent="0.35">
      <c r="A179" s="15"/>
      <c r="B179" s="16"/>
      <c r="C179" s="17"/>
      <c r="D179" s="16"/>
      <c r="E179" s="16"/>
      <c r="F179" s="30"/>
      <c r="G179" s="30"/>
      <c r="J179" s="16"/>
      <c r="K179" s="42"/>
      <c r="L179" s="42"/>
      <c r="M179" s="42"/>
      <c r="N179" s="42"/>
      <c r="O179" s="42"/>
      <c r="P179" s="42"/>
      <c r="Q179" s="42"/>
      <c r="R179" s="42"/>
      <c r="S179" s="42"/>
      <c r="T179" s="42"/>
      <c r="U179" s="45"/>
      <c r="V179" s="42"/>
      <c r="W179" s="42"/>
      <c r="X179" s="42"/>
      <c r="Y179" s="42"/>
      <c r="AA179" s="30"/>
      <c r="AB179" s="30"/>
      <c r="AC179" s="30"/>
      <c r="AD179" s="30"/>
      <c r="AE179" s="30"/>
      <c r="AF179" s="49"/>
    </row>
    <row r="180" spans="1:32" s="9" customFormat="1" x14ac:dyDescent="0.35">
      <c r="A180" s="15"/>
      <c r="B180" s="16"/>
      <c r="C180" s="17"/>
      <c r="D180" s="16"/>
      <c r="E180" s="16"/>
      <c r="F180" s="30"/>
      <c r="G180" s="30"/>
      <c r="J180" s="16"/>
      <c r="K180" s="42"/>
      <c r="L180" s="42"/>
      <c r="M180" s="42"/>
      <c r="N180" s="42"/>
      <c r="O180" s="42"/>
      <c r="P180" s="42"/>
      <c r="Q180" s="42"/>
      <c r="R180" s="42"/>
      <c r="S180" s="42"/>
      <c r="T180" s="42"/>
      <c r="U180" s="45"/>
      <c r="V180" s="42"/>
      <c r="W180" s="42"/>
      <c r="X180" s="42"/>
      <c r="Y180" s="42"/>
      <c r="AA180" s="30"/>
      <c r="AB180" s="30"/>
      <c r="AC180" s="30"/>
      <c r="AD180" s="30"/>
      <c r="AE180" s="30"/>
      <c r="AF180" s="49"/>
    </row>
    <row r="181" spans="1:32" s="9" customFormat="1" x14ac:dyDescent="0.35">
      <c r="A181" s="15"/>
      <c r="B181" s="16"/>
      <c r="C181" s="17"/>
      <c r="D181" s="16"/>
      <c r="E181" s="16"/>
      <c r="F181" s="30"/>
      <c r="G181" s="30"/>
      <c r="J181" s="16"/>
      <c r="K181" s="42"/>
      <c r="L181" s="42"/>
      <c r="M181" s="42"/>
      <c r="N181" s="42"/>
      <c r="O181" s="42"/>
      <c r="P181" s="42"/>
      <c r="Q181" s="42"/>
      <c r="R181" s="42"/>
      <c r="S181" s="42"/>
      <c r="T181" s="42"/>
      <c r="U181" s="45"/>
      <c r="V181" s="42"/>
      <c r="W181" s="42"/>
      <c r="X181" s="42"/>
      <c r="Y181" s="42"/>
      <c r="AA181" s="30"/>
      <c r="AB181" s="30"/>
      <c r="AC181" s="30"/>
      <c r="AD181" s="30"/>
      <c r="AE181" s="30"/>
      <c r="AF181" s="49"/>
    </row>
    <row r="182" spans="1:32" s="9" customFormat="1" x14ac:dyDescent="0.35">
      <c r="A182" s="15"/>
      <c r="B182" s="16"/>
      <c r="C182" s="17"/>
      <c r="D182" s="16"/>
      <c r="E182" s="16"/>
      <c r="F182" s="30"/>
      <c r="G182" s="30"/>
      <c r="J182" s="16"/>
      <c r="K182" s="42"/>
      <c r="L182" s="42"/>
      <c r="M182" s="42"/>
      <c r="N182" s="42"/>
      <c r="O182" s="42"/>
      <c r="P182" s="42"/>
      <c r="Q182" s="42"/>
      <c r="R182" s="42"/>
      <c r="S182" s="42"/>
      <c r="T182" s="42"/>
      <c r="U182" s="45"/>
      <c r="V182" s="42"/>
      <c r="W182" s="42"/>
      <c r="X182" s="42"/>
      <c r="Y182" s="42"/>
      <c r="AA182" s="30"/>
      <c r="AB182" s="30"/>
      <c r="AC182" s="30"/>
      <c r="AD182" s="30"/>
      <c r="AE182" s="30"/>
      <c r="AF182" s="49"/>
    </row>
    <row r="183" spans="1:32" s="9" customFormat="1" x14ac:dyDescent="0.35">
      <c r="A183" s="15"/>
      <c r="B183" s="16"/>
      <c r="C183" s="17"/>
      <c r="D183" s="16"/>
      <c r="E183" s="16"/>
      <c r="F183" s="30"/>
      <c r="G183" s="30"/>
      <c r="J183" s="16"/>
      <c r="K183" s="42"/>
      <c r="L183" s="42"/>
      <c r="M183" s="42"/>
      <c r="N183" s="42"/>
      <c r="O183" s="42"/>
      <c r="P183" s="42"/>
      <c r="Q183" s="42"/>
      <c r="R183" s="42"/>
      <c r="S183" s="42"/>
      <c r="T183" s="42"/>
      <c r="U183" s="45"/>
      <c r="V183" s="42"/>
      <c r="W183" s="42"/>
      <c r="X183" s="42"/>
      <c r="Y183" s="42"/>
      <c r="AA183" s="30"/>
      <c r="AB183" s="30"/>
      <c r="AC183" s="30"/>
      <c r="AD183" s="30"/>
      <c r="AE183" s="30"/>
      <c r="AF183" s="49"/>
    </row>
    <row r="184" spans="1:32" s="9" customFormat="1" x14ac:dyDescent="0.35">
      <c r="A184" s="15"/>
      <c r="B184" s="16"/>
      <c r="C184" s="17"/>
      <c r="D184" s="16"/>
      <c r="E184" s="16"/>
      <c r="F184" s="30"/>
      <c r="G184" s="30"/>
      <c r="J184" s="16"/>
      <c r="K184" s="42"/>
      <c r="L184" s="42"/>
      <c r="M184" s="42"/>
      <c r="N184" s="42"/>
      <c r="O184" s="42"/>
      <c r="P184" s="42"/>
      <c r="Q184" s="42"/>
      <c r="R184" s="42"/>
      <c r="S184" s="42"/>
      <c r="T184" s="42"/>
      <c r="U184" s="45"/>
      <c r="V184" s="42"/>
      <c r="W184" s="42"/>
      <c r="X184" s="42"/>
      <c r="Y184" s="42"/>
      <c r="AA184" s="30"/>
      <c r="AB184" s="30"/>
      <c r="AC184" s="30"/>
      <c r="AD184" s="30"/>
      <c r="AE184" s="30"/>
      <c r="AF184" s="49"/>
    </row>
    <row r="185" spans="1:32" s="9" customFormat="1" x14ac:dyDescent="0.35">
      <c r="A185" s="15"/>
      <c r="B185" s="16"/>
      <c r="C185" s="17"/>
      <c r="D185" s="16"/>
      <c r="E185" s="16"/>
      <c r="F185" s="30"/>
      <c r="G185" s="30"/>
      <c r="J185" s="16"/>
      <c r="K185" s="42"/>
      <c r="L185" s="42"/>
      <c r="M185" s="42"/>
      <c r="N185" s="42"/>
      <c r="O185" s="42"/>
      <c r="P185" s="42"/>
      <c r="Q185" s="42"/>
      <c r="R185" s="42"/>
      <c r="S185" s="42"/>
      <c r="T185" s="42"/>
      <c r="U185" s="45"/>
      <c r="V185" s="42"/>
      <c r="W185" s="42"/>
      <c r="X185" s="42"/>
      <c r="Y185" s="42"/>
      <c r="AA185" s="30"/>
      <c r="AB185" s="30"/>
      <c r="AC185" s="30"/>
      <c r="AD185" s="30"/>
      <c r="AE185" s="30"/>
      <c r="AF185" s="49"/>
    </row>
    <row r="186" spans="1:32" s="9" customFormat="1" x14ac:dyDescent="0.35">
      <c r="A186" s="15"/>
      <c r="B186" s="16"/>
      <c r="C186" s="17"/>
      <c r="D186" s="16"/>
      <c r="E186" s="16"/>
      <c r="F186" s="30"/>
      <c r="G186" s="30"/>
      <c r="J186" s="16"/>
      <c r="K186" s="42"/>
      <c r="L186" s="42"/>
      <c r="M186" s="42"/>
      <c r="N186" s="42"/>
      <c r="O186" s="42"/>
      <c r="P186" s="42"/>
      <c r="Q186" s="42"/>
      <c r="R186" s="42"/>
      <c r="S186" s="42"/>
      <c r="T186" s="42"/>
      <c r="U186" s="45"/>
      <c r="V186" s="42"/>
      <c r="W186" s="42"/>
      <c r="X186" s="42"/>
      <c r="Y186" s="42"/>
      <c r="AA186" s="30"/>
      <c r="AB186" s="30"/>
      <c r="AC186" s="30"/>
      <c r="AD186" s="30"/>
      <c r="AE186" s="30"/>
      <c r="AF186" s="49"/>
    </row>
    <row r="187" spans="1:32" s="9" customFormat="1" x14ac:dyDescent="0.35">
      <c r="A187" s="15"/>
      <c r="B187" s="16"/>
      <c r="C187" s="17"/>
      <c r="D187" s="16"/>
      <c r="E187" s="16"/>
      <c r="F187" s="30"/>
      <c r="G187" s="30"/>
      <c r="J187" s="16"/>
      <c r="K187" s="42"/>
      <c r="L187" s="42"/>
      <c r="M187" s="42"/>
      <c r="N187" s="42"/>
      <c r="O187" s="42"/>
      <c r="P187" s="42"/>
      <c r="Q187" s="42"/>
      <c r="R187" s="42"/>
      <c r="S187" s="42"/>
      <c r="T187" s="42"/>
      <c r="U187" s="45"/>
      <c r="V187" s="42"/>
      <c r="W187" s="42"/>
      <c r="X187" s="42"/>
      <c r="Y187" s="42"/>
      <c r="AA187" s="30"/>
      <c r="AB187" s="30"/>
      <c r="AC187" s="30"/>
      <c r="AD187" s="30"/>
      <c r="AE187" s="30"/>
      <c r="AF187" s="49"/>
    </row>
    <row r="188" spans="1:32" s="9" customFormat="1" x14ac:dyDescent="0.35">
      <c r="A188" s="15"/>
      <c r="B188" s="16"/>
      <c r="C188" s="17"/>
      <c r="D188" s="16"/>
      <c r="E188" s="16"/>
      <c r="F188" s="30"/>
      <c r="G188" s="30"/>
      <c r="J188" s="16"/>
      <c r="K188" s="42"/>
      <c r="L188" s="42"/>
      <c r="M188" s="42"/>
      <c r="N188" s="42"/>
      <c r="O188" s="42"/>
      <c r="P188" s="42"/>
      <c r="Q188" s="42"/>
      <c r="R188" s="42"/>
      <c r="S188" s="42"/>
      <c r="T188" s="42"/>
      <c r="U188" s="45"/>
      <c r="V188" s="42"/>
      <c r="W188" s="42"/>
      <c r="X188" s="42"/>
      <c r="Y188" s="42"/>
      <c r="AA188" s="30"/>
      <c r="AB188" s="30"/>
      <c r="AC188" s="30"/>
      <c r="AD188" s="30"/>
      <c r="AE188" s="30"/>
      <c r="AF188" s="49"/>
    </row>
    <row r="189" spans="1:32" s="9" customFormat="1" x14ac:dyDescent="0.35">
      <c r="A189" s="15"/>
      <c r="B189" s="16"/>
      <c r="C189" s="17"/>
      <c r="D189" s="16"/>
      <c r="E189" s="16"/>
      <c r="F189" s="30"/>
      <c r="G189" s="30"/>
      <c r="J189" s="16"/>
      <c r="K189" s="42"/>
      <c r="L189" s="42"/>
      <c r="M189" s="42"/>
      <c r="N189" s="42"/>
      <c r="O189" s="42"/>
      <c r="P189" s="42"/>
      <c r="Q189" s="42"/>
      <c r="R189" s="42"/>
      <c r="S189" s="42"/>
      <c r="T189" s="42"/>
      <c r="U189" s="45"/>
      <c r="V189" s="42"/>
      <c r="W189" s="42"/>
      <c r="X189" s="42"/>
      <c r="Y189" s="42"/>
      <c r="AA189" s="30"/>
      <c r="AB189" s="30"/>
      <c r="AC189" s="30"/>
      <c r="AD189" s="30"/>
      <c r="AE189" s="30"/>
      <c r="AF189" s="49"/>
    </row>
    <row r="190" spans="1:32" s="9" customFormat="1" x14ac:dyDescent="0.35">
      <c r="A190" s="15"/>
      <c r="B190" s="16"/>
      <c r="C190" s="17"/>
      <c r="D190" s="16"/>
      <c r="E190" s="16"/>
      <c r="F190" s="30"/>
      <c r="G190" s="30"/>
      <c r="J190" s="16"/>
      <c r="K190" s="42"/>
      <c r="L190" s="42"/>
      <c r="M190" s="42"/>
      <c r="N190" s="42"/>
      <c r="O190" s="42"/>
      <c r="P190" s="42"/>
      <c r="Q190" s="42"/>
      <c r="R190" s="42"/>
      <c r="S190" s="42"/>
      <c r="T190" s="42"/>
      <c r="U190" s="45"/>
      <c r="V190" s="42"/>
      <c r="W190" s="42"/>
      <c r="X190" s="42"/>
      <c r="Y190" s="42"/>
      <c r="AA190" s="30"/>
      <c r="AB190" s="30"/>
      <c r="AC190" s="30"/>
      <c r="AD190" s="30"/>
      <c r="AE190" s="30"/>
      <c r="AF190" s="49"/>
    </row>
    <row r="191" spans="1:32" s="9" customFormat="1" x14ac:dyDescent="0.35">
      <c r="A191" s="15"/>
      <c r="B191" s="16"/>
      <c r="C191" s="17"/>
      <c r="D191" s="16"/>
      <c r="E191" s="16"/>
      <c r="F191" s="30"/>
      <c r="G191" s="30"/>
      <c r="J191" s="16"/>
      <c r="K191" s="42"/>
      <c r="L191" s="42"/>
      <c r="M191" s="42"/>
      <c r="N191" s="42"/>
      <c r="O191" s="42"/>
      <c r="P191" s="42"/>
      <c r="Q191" s="42"/>
      <c r="R191" s="42"/>
      <c r="S191" s="42"/>
      <c r="T191" s="42"/>
      <c r="U191" s="45"/>
      <c r="V191" s="42"/>
      <c r="W191" s="42"/>
      <c r="X191" s="42"/>
      <c r="Y191" s="42"/>
      <c r="AA191" s="30"/>
      <c r="AB191" s="30"/>
      <c r="AC191" s="30"/>
      <c r="AD191" s="30"/>
      <c r="AE191" s="30"/>
      <c r="AF191" s="49"/>
    </row>
    <row r="192" spans="1:32" s="9" customFormat="1" x14ac:dyDescent="0.35">
      <c r="A192" s="15"/>
      <c r="B192" s="16"/>
      <c r="C192" s="17"/>
      <c r="D192" s="16"/>
      <c r="E192" s="16"/>
      <c r="F192" s="30"/>
      <c r="G192" s="30"/>
      <c r="J192" s="16"/>
      <c r="K192" s="42"/>
      <c r="L192" s="42"/>
      <c r="M192" s="42"/>
      <c r="N192" s="42"/>
      <c r="O192" s="42"/>
      <c r="P192" s="42"/>
      <c r="Q192" s="42"/>
      <c r="R192" s="42"/>
      <c r="S192" s="42"/>
      <c r="T192" s="42"/>
      <c r="U192" s="45"/>
      <c r="V192" s="42"/>
      <c r="W192" s="42"/>
      <c r="X192" s="42"/>
      <c r="Y192" s="42"/>
      <c r="AA192" s="30"/>
      <c r="AB192" s="30"/>
      <c r="AC192" s="30"/>
      <c r="AD192" s="30"/>
      <c r="AE192" s="30"/>
      <c r="AF192" s="49"/>
    </row>
    <row r="193" spans="1:32" s="9" customFormat="1" x14ac:dyDescent="0.35">
      <c r="A193" s="15"/>
      <c r="B193" s="16"/>
      <c r="C193" s="17"/>
      <c r="D193" s="16"/>
      <c r="E193" s="16"/>
      <c r="F193" s="30"/>
      <c r="G193" s="30"/>
      <c r="J193" s="16"/>
      <c r="K193" s="42"/>
      <c r="L193" s="42"/>
      <c r="M193" s="42"/>
      <c r="N193" s="42"/>
      <c r="O193" s="42"/>
      <c r="P193" s="42"/>
      <c r="Q193" s="42"/>
      <c r="R193" s="42"/>
      <c r="S193" s="42"/>
      <c r="T193" s="42"/>
      <c r="U193" s="45"/>
      <c r="V193" s="42"/>
      <c r="W193" s="42"/>
      <c r="X193" s="42"/>
      <c r="Y193" s="42"/>
      <c r="AA193" s="30"/>
      <c r="AB193" s="30"/>
      <c r="AC193" s="30"/>
      <c r="AD193" s="30"/>
      <c r="AE193" s="30"/>
      <c r="AF193" s="49"/>
    </row>
    <row r="194" spans="1:32" s="9" customFormat="1" x14ac:dyDescent="0.35">
      <c r="A194" s="15"/>
      <c r="B194" s="16"/>
      <c r="C194" s="17"/>
      <c r="D194" s="16"/>
      <c r="E194" s="16"/>
      <c r="F194" s="30"/>
      <c r="G194" s="30"/>
      <c r="J194" s="16"/>
      <c r="K194" s="42"/>
      <c r="L194" s="42"/>
      <c r="M194" s="42"/>
      <c r="N194" s="42"/>
      <c r="O194" s="42"/>
      <c r="P194" s="42"/>
      <c r="Q194" s="42"/>
      <c r="R194" s="42"/>
      <c r="S194" s="42"/>
      <c r="T194" s="42"/>
      <c r="U194" s="45"/>
      <c r="V194" s="42"/>
      <c r="W194" s="42"/>
      <c r="X194" s="42"/>
      <c r="Y194" s="42"/>
      <c r="AA194" s="30"/>
      <c r="AB194" s="30"/>
      <c r="AC194" s="30"/>
      <c r="AD194" s="30"/>
      <c r="AE194" s="30"/>
      <c r="AF194" s="49"/>
    </row>
    <row r="195" spans="1:32" s="9" customFormat="1" x14ac:dyDescent="0.35">
      <c r="A195" s="15"/>
      <c r="B195" s="16"/>
      <c r="C195" s="17"/>
      <c r="D195" s="16"/>
      <c r="E195" s="16"/>
      <c r="F195" s="30"/>
      <c r="G195" s="30"/>
      <c r="J195" s="16"/>
      <c r="K195" s="42"/>
      <c r="L195" s="42"/>
      <c r="M195" s="42"/>
      <c r="N195" s="42"/>
      <c r="O195" s="42"/>
      <c r="P195" s="42"/>
      <c r="Q195" s="42"/>
      <c r="R195" s="42"/>
      <c r="S195" s="42"/>
      <c r="T195" s="42"/>
      <c r="U195" s="45"/>
      <c r="V195" s="42"/>
      <c r="W195" s="42"/>
      <c r="X195" s="42"/>
      <c r="Y195" s="42"/>
      <c r="AA195" s="30"/>
      <c r="AB195" s="30"/>
      <c r="AC195" s="30"/>
      <c r="AD195" s="30"/>
      <c r="AE195" s="30"/>
      <c r="AF195" s="49"/>
    </row>
    <row r="196" spans="1:32" s="9" customFormat="1" x14ac:dyDescent="0.35">
      <c r="A196" s="15"/>
      <c r="B196" s="16"/>
      <c r="C196" s="17"/>
      <c r="D196" s="16"/>
      <c r="E196" s="16"/>
      <c r="F196" s="30"/>
      <c r="G196" s="30"/>
      <c r="J196" s="16"/>
      <c r="K196" s="42"/>
      <c r="L196" s="42"/>
      <c r="M196" s="42"/>
      <c r="N196" s="42"/>
      <c r="O196" s="42"/>
      <c r="P196" s="42"/>
      <c r="Q196" s="42"/>
      <c r="R196" s="42"/>
      <c r="S196" s="42"/>
      <c r="T196" s="42"/>
      <c r="U196" s="45"/>
      <c r="V196" s="42"/>
      <c r="W196" s="42"/>
      <c r="X196" s="42"/>
      <c r="Y196" s="42"/>
      <c r="AA196" s="30"/>
      <c r="AB196" s="30"/>
      <c r="AC196" s="30"/>
      <c r="AD196" s="30"/>
      <c r="AE196" s="30"/>
      <c r="AF196" s="49"/>
    </row>
    <row r="197" spans="1:32" s="9" customFormat="1" x14ac:dyDescent="0.35">
      <c r="A197" s="15"/>
      <c r="B197" s="16"/>
      <c r="C197" s="17"/>
      <c r="D197" s="16"/>
      <c r="E197" s="16"/>
      <c r="F197" s="30"/>
      <c r="G197" s="30"/>
      <c r="J197" s="16"/>
      <c r="K197" s="42"/>
      <c r="L197" s="42"/>
      <c r="M197" s="42"/>
      <c r="N197" s="42"/>
      <c r="O197" s="42"/>
      <c r="P197" s="42"/>
      <c r="Q197" s="42"/>
      <c r="R197" s="42"/>
      <c r="S197" s="42"/>
      <c r="T197" s="42"/>
      <c r="U197" s="45"/>
      <c r="V197" s="42"/>
      <c r="W197" s="42"/>
      <c r="X197" s="42"/>
      <c r="Y197" s="42"/>
      <c r="AA197" s="30"/>
      <c r="AB197" s="30"/>
      <c r="AC197" s="30"/>
      <c r="AD197" s="30"/>
      <c r="AE197" s="30"/>
      <c r="AF197" s="49"/>
    </row>
    <row r="198" spans="1:32" s="9" customFormat="1" x14ac:dyDescent="0.35">
      <c r="A198" s="15"/>
      <c r="B198" s="16"/>
      <c r="C198" s="17"/>
      <c r="D198" s="16"/>
      <c r="E198" s="16"/>
      <c r="F198" s="30"/>
      <c r="G198" s="30"/>
      <c r="J198" s="16"/>
      <c r="K198" s="42"/>
      <c r="L198" s="42"/>
      <c r="M198" s="42"/>
      <c r="N198" s="42"/>
      <c r="O198" s="42"/>
      <c r="P198" s="42"/>
      <c r="Q198" s="42"/>
      <c r="R198" s="42"/>
      <c r="S198" s="42"/>
      <c r="T198" s="42"/>
      <c r="U198" s="45"/>
      <c r="V198" s="42"/>
      <c r="W198" s="42"/>
      <c r="X198" s="42"/>
      <c r="Y198" s="42"/>
      <c r="AA198" s="30"/>
      <c r="AB198" s="30"/>
      <c r="AC198" s="30"/>
      <c r="AD198" s="30"/>
      <c r="AE198" s="30"/>
      <c r="AF198" s="49"/>
    </row>
    <row r="199" spans="1:32" s="9" customFormat="1" x14ac:dyDescent="0.35">
      <c r="A199" s="15"/>
      <c r="B199" s="16"/>
      <c r="C199" s="17"/>
      <c r="D199" s="16"/>
      <c r="E199" s="16"/>
      <c r="F199" s="30"/>
      <c r="G199" s="30"/>
      <c r="J199" s="16"/>
      <c r="K199" s="42"/>
      <c r="L199" s="42"/>
      <c r="M199" s="42"/>
      <c r="N199" s="42"/>
      <c r="O199" s="42"/>
      <c r="P199" s="42"/>
      <c r="Q199" s="42"/>
      <c r="R199" s="42"/>
      <c r="S199" s="42"/>
      <c r="T199" s="42"/>
      <c r="U199" s="45"/>
      <c r="V199" s="42"/>
      <c r="W199" s="42"/>
      <c r="X199" s="42"/>
      <c r="Y199" s="42"/>
      <c r="AA199" s="30"/>
      <c r="AB199" s="30"/>
      <c r="AC199" s="30"/>
      <c r="AD199" s="30"/>
      <c r="AE199" s="30"/>
      <c r="AF199" s="49"/>
    </row>
    <row r="200" spans="1:32" s="9" customFormat="1" x14ac:dyDescent="0.35">
      <c r="A200" s="15"/>
      <c r="B200" s="16"/>
      <c r="C200" s="17"/>
      <c r="D200" s="16"/>
      <c r="E200" s="16"/>
      <c r="F200" s="30"/>
      <c r="G200" s="30"/>
      <c r="J200" s="16"/>
      <c r="K200" s="42"/>
      <c r="L200" s="42"/>
      <c r="M200" s="42"/>
      <c r="N200" s="42"/>
      <c r="O200" s="42"/>
      <c r="P200" s="42"/>
      <c r="Q200" s="42"/>
      <c r="R200" s="42"/>
      <c r="S200" s="42"/>
      <c r="T200" s="42"/>
      <c r="U200" s="45"/>
      <c r="V200" s="42"/>
      <c r="W200" s="42"/>
      <c r="X200" s="42"/>
      <c r="Y200" s="42"/>
      <c r="AA200" s="30"/>
      <c r="AB200" s="30"/>
      <c r="AC200" s="30"/>
      <c r="AD200" s="30"/>
      <c r="AE200" s="30"/>
      <c r="AF200" s="49"/>
    </row>
    <row r="201" spans="1:32" s="9" customFormat="1" x14ac:dyDescent="0.35">
      <c r="A201" s="15"/>
      <c r="B201" s="16"/>
      <c r="C201" s="17"/>
      <c r="D201" s="16"/>
      <c r="E201" s="16"/>
      <c r="F201" s="30"/>
      <c r="G201" s="30"/>
      <c r="J201" s="16"/>
      <c r="K201" s="42"/>
      <c r="L201" s="42"/>
      <c r="M201" s="42"/>
      <c r="N201" s="42"/>
      <c r="O201" s="42"/>
      <c r="P201" s="42"/>
      <c r="Q201" s="42"/>
      <c r="R201" s="42"/>
      <c r="S201" s="42"/>
      <c r="T201" s="42"/>
      <c r="U201" s="45"/>
      <c r="V201" s="42"/>
      <c r="W201" s="42"/>
      <c r="X201" s="42"/>
      <c r="Y201" s="42"/>
      <c r="AA201" s="30"/>
      <c r="AB201" s="30"/>
      <c r="AC201" s="30"/>
      <c r="AD201" s="30"/>
      <c r="AE201" s="30"/>
      <c r="AF201" s="49"/>
    </row>
    <row r="202" spans="1:32" s="9" customFormat="1" x14ac:dyDescent="0.35">
      <c r="A202" s="15"/>
      <c r="B202" s="16"/>
      <c r="C202" s="17"/>
      <c r="D202" s="16"/>
      <c r="E202" s="16"/>
      <c r="F202" s="30"/>
      <c r="G202" s="30"/>
      <c r="J202" s="16"/>
      <c r="K202" s="42"/>
      <c r="L202" s="42"/>
      <c r="M202" s="42"/>
      <c r="N202" s="42"/>
      <c r="O202" s="42"/>
      <c r="P202" s="42"/>
      <c r="Q202" s="42"/>
      <c r="R202" s="42"/>
      <c r="S202" s="42"/>
      <c r="T202" s="42"/>
      <c r="U202" s="45"/>
      <c r="V202" s="42"/>
      <c r="W202" s="42"/>
      <c r="X202" s="42"/>
      <c r="Y202" s="42"/>
      <c r="AA202" s="30"/>
      <c r="AB202" s="30"/>
      <c r="AC202" s="30"/>
      <c r="AD202" s="30"/>
      <c r="AE202" s="30"/>
      <c r="AF202" s="49"/>
    </row>
    <row r="203" spans="1:32" s="9" customFormat="1" x14ac:dyDescent="0.35">
      <c r="A203" s="15"/>
      <c r="B203" s="16"/>
      <c r="C203" s="17"/>
      <c r="D203" s="16"/>
      <c r="E203" s="16"/>
      <c r="F203" s="30"/>
      <c r="G203" s="30"/>
      <c r="J203" s="16"/>
      <c r="K203" s="42"/>
      <c r="L203" s="42"/>
      <c r="M203" s="42"/>
      <c r="N203" s="42"/>
      <c r="O203" s="42"/>
      <c r="P203" s="42"/>
      <c r="Q203" s="42"/>
      <c r="R203" s="42"/>
      <c r="S203" s="42"/>
      <c r="T203" s="42"/>
      <c r="U203" s="45"/>
      <c r="V203" s="42"/>
      <c r="W203" s="42"/>
      <c r="X203" s="42"/>
      <c r="Y203" s="42"/>
      <c r="AA203" s="30"/>
      <c r="AB203" s="30"/>
      <c r="AC203" s="30"/>
      <c r="AD203" s="30"/>
      <c r="AE203" s="30"/>
      <c r="AF203" s="49"/>
    </row>
    <row r="204" spans="1:32" s="9" customFormat="1" x14ac:dyDescent="0.35">
      <c r="A204" s="15"/>
      <c r="B204" s="16"/>
      <c r="C204" s="17"/>
      <c r="D204" s="16"/>
      <c r="E204" s="16"/>
      <c r="F204" s="30"/>
      <c r="G204" s="30"/>
      <c r="J204" s="16"/>
      <c r="K204" s="42"/>
      <c r="L204" s="42"/>
      <c r="M204" s="42"/>
      <c r="N204" s="42"/>
      <c r="O204" s="42"/>
      <c r="P204" s="42"/>
      <c r="Q204" s="42"/>
      <c r="R204" s="42"/>
      <c r="S204" s="42"/>
      <c r="T204" s="42"/>
      <c r="U204" s="45"/>
      <c r="V204" s="42"/>
      <c r="W204" s="42"/>
      <c r="X204" s="42"/>
      <c r="Y204" s="42"/>
      <c r="AA204" s="30"/>
      <c r="AB204" s="30"/>
      <c r="AC204" s="30"/>
      <c r="AD204" s="30"/>
      <c r="AE204" s="30"/>
      <c r="AF204" s="49"/>
    </row>
    <row r="205" spans="1:32" s="9" customFormat="1" x14ac:dyDescent="0.35">
      <c r="A205" s="15"/>
      <c r="B205" s="16"/>
      <c r="C205" s="17"/>
      <c r="D205" s="16"/>
      <c r="E205" s="16"/>
      <c r="F205" s="30"/>
      <c r="G205" s="30"/>
      <c r="J205" s="16"/>
      <c r="K205" s="42"/>
      <c r="L205" s="42"/>
      <c r="M205" s="42"/>
      <c r="N205" s="42"/>
      <c r="O205" s="42"/>
      <c r="P205" s="42"/>
      <c r="Q205" s="42"/>
      <c r="R205" s="42"/>
      <c r="S205" s="42"/>
      <c r="T205" s="42"/>
      <c r="U205" s="45"/>
      <c r="V205" s="42"/>
      <c r="W205" s="42"/>
      <c r="X205" s="42"/>
      <c r="Y205" s="42"/>
      <c r="AA205" s="30"/>
      <c r="AB205" s="30"/>
      <c r="AC205" s="30"/>
      <c r="AD205" s="30"/>
      <c r="AE205" s="30"/>
      <c r="AF205" s="49"/>
    </row>
    <row r="206" spans="1:32" s="9" customFormat="1" x14ac:dyDescent="0.35">
      <c r="A206" s="15"/>
      <c r="B206" s="16"/>
      <c r="C206" s="17"/>
      <c r="D206" s="16"/>
      <c r="E206" s="16"/>
      <c r="F206" s="30"/>
      <c r="G206" s="30"/>
      <c r="J206" s="16"/>
      <c r="K206" s="42"/>
      <c r="L206" s="42"/>
      <c r="M206" s="42"/>
      <c r="N206" s="42"/>
      <c r="O206" s="42"/>
      <c r="P206" s="42"/>
      <c r="Q206" s="42"/>
      <c r="R206" s="42"/>
      <c r="S206" s="42"/>
      <c r="T206" s="42"/>
      <c r="U206" s="45"/>
      <c r="V206" s="42"/>
      <c r="W206" s="42"/>
      <c r="X206" s="42"/>
      <c r="Y206" s="42"/>
      <c r="AA206" s="30"/>
      <c r="AB206" s="30"/>
      <c r="AC206" s="30"/>
      <c r="AD206" s="30"/>
      <c r="AE206" s="30"/>
      <c r="AF206" s="49"/>
    </row>
    <row r="207" spans="1:32" s="9" customFormat="1" x14ac:dyDescent="0.35">
      <c r="A207" s="15"/>
      <c r="B207" s="16"/>
      <c r="C207" s="17"/>
      <c r="D207" s="16"/>
      <c r="E207" s="16"/>
      <c r="F207" s="30"/>
      <c r="G207" s="30"/>
      <c r="J207" s="16"/>
      <c r="K207" s="42"/>
      <c r="L207" s="42"/>
      <c r="M207" s="42"/>
      <c r="N207" s="42"/>
      <c r="O207" s="42"/>
      <c r="P207" s="42"/>
      <c r="Q207" s="42"/>
      <c r="R207" s="42"/>
      <c r="S207" s="42"/>
      <c r="T207" s="42"/>
      <c r="U207" s="45"/>
      <c r="V207" s="42"/>
      <c r="W207" s="42"/>
      <c r="X207" s="42"/>
      <c r="Y207" s="42"/>
      <c r="AA207" s="30"/>
      <c r="AB207" s="30"/>
      <c r="AC207" s="30"/>
      <c r="AD207" s="30"/>
      <c r="AE207" s="30"/>
      <c r="AF207" s="49"/>
    </row>
    <row r="208" spans="1:32" s="9" customFormat="1" x14ac:dyDescent="0.35">
      <c r="A208" s="15"/>
      <c r="B208" s="16"/>
      <c r="C208" s="17"/>
      <c r="D208" s="16"/>
      <c r="E208" s="16"/>
      <c r="F208" s="30"/>
      <c r="G208" s="30"/>
      <c r="J208" s="16"/>
      <c r="K208" s="42"/>
      <c r="L208" s="42"/>
      <c r="M208" s="42"/>
      <c r="N208" s="42"/>
      <c r="O208" s="42"/>
      <c r="P208" s="42"/>
      <c r="Q208" s="42"/>
      <c r="R208" s="42"/>
      <c r="S208" s="42"/>
      <c r="T208" s="42"/>
      <c r="U208" s="45"/>
      <c r="V208" s="42"/>
      <c r="W208" s="42"/>
      <c r="X208" s="42"/>
      <c r="Y208" s="42"/>
      <c r="AA208" s="30"/>
      <c r="AB208" s="30"/>
      <c r="AC208" s="30"/>
      <c r="AD208" s="30"/>
      <c r="AE208" s="30"/>
      <c r="AF208" s="49"/>
    </row>
    <row r="209" spans="1:32" s="9" customFormat="1" x14ac:dyDescent="0.35">
      <c r="A209" s="15"/>
      <c r="B209" s="16"/>
      <c r="C209" s="17"/>
      <c r="D209" s="16"/>
      <c r="E209" s="16"/>
      <c r="F209" s="30"/>
      <c r="G209" s="30"/>
      <c r="J209" s="16"/>
      <c r="K209" s="42"/>
      <c r="L209" s="42"/>
      <c r="M209" s="42"/>
      <c r="N209" s="42"/>
      <c r="O209" s="42"/>
      <c r="P209" s="42"/>
      <c r="Q209" s="42"/>
      <c r="R209" s="42"/>
      <c r="S209" s="42"/>
      <c r="T209" s="42"/>
      <c r="U209" s="45"/>
      <c r="V209" s="42"/>
      <c r="W209" s="42"/>
      <c r="X209" s="42"/>
      <c r="Y209" s="42"/>
      <c r="AA209" s="30"/>
      <c r="AB209" s="30"/>
      <c r="AC209" s="30"/>
      <c r="AD209" s="30"/>
      <c r="AE209" s="30"/>
      <c r="AF209" s="49"/>
    </row>
    <row r="210" spans="1:32" s="9" customFormat="1" x14ac:dyDescent="0.35">
      <c r="A210" s="15"/>
      <c r="B210" s="16"/>
      <c r="C210" s="17"/>
      <c r="D210" s="16"/>
      <c r="E210" s="16"/>
      <c r="F210" s="30"/>
      <c r="G210" s="30"/>
      <c r="J210" s="16"/>
      <c r="K210" s="42"/>
      <c r="L210" s="42"/>
      <c r="M210" s="42"/>
      <c r="N210" s="42"/>
      <c r="O210" s="42"/>
      <c r="P210" s="42"/>
      <c r="Q210" s="42"/>
      <c r="R210" s="42"/>
      <c r="S210" s="42"/>
      <c r="T210" s="42"/>
      <c r="U210" s="45"/>
      <c r="V210" s="42"/>
      <c r="W210" s="42"/>
      <c r="X210" s="42"/>
      <c r="Y210" s="42"/>
      <c r="AA210" s="30"/>
      <c r="AB210" s="30"/>
      <c r="AC210" s="30"/>
      <c r="AD210" s="30"/>
      <c r="AE210" s="30"/>
      <c r="AF210" s="49"/>
    </row>
    <row r="211" spans="1:32" s="9" customFormat="1" x14ac:dyDescent="0.35">
      <c r="A211" s="15"/>
      <c r="B211" s="16"/>
      <c r="C211" s="17"/>
      <c r="D211" s="16"/>
      <c r="E211" s="16"/>
      <c r="F211" s="30"/>
      <c r="G211" s="30"/>
      <c r="J211" s="16"/>
      <c r="K211" s="42"/>
      <c r="L211" s="42"/>
      <c r="M211" s="42"/>
      <c r="N211" s="42"/>
      <c r="O211" s="42"/>
      <c r="P211" s="42"/>
      <c r="Q211" s="42"/>
      <c r="R211" s="42"/>
      <c r="S211" s="42"/>
      <c r="T211" s="42"/>
      <c r="U211" s="45"/>
      <c r="V211" s="42"/>
      <c r="W211" s="42"/>
      <c r="X211" s="42"/>
      <c r="Y211" s="42"/>
      <c r="AA211" s="30"/>
      <c r="AB211" s="30"/>
      <c r="AC211" s="30"/>
      <c r="AD211" s="30"/>
      <c r="AE211" s="30"/>
      <c r="AF211" s="49"/>
    </row>
    <row r="212" spans="1:32" s="9" customFormat="1" x14ac:dyDescent="0.35">
      <c r="A212" s="15"/>
      <c r="B212" s="16"/>
      <c r="C212" s="17"/>
      <c r="D212" s="16"/>
      <c r="E212" s="16"/>
      <c r="F212" s="30"/>
      <c r="G212" s="30"/>
      <c r="J212" s="16"/>
      <c r="K212" s="42"/>
      <c r="L212" s="42"/>
      <c r="M212" s="42"/>
      <c r="N212" s="42"/>
      <c r="O212" s="42"/>
      <c r="P212" s="42"/>
      <c r="Q212" s="42"/>
      <c r="R212" s="42"/>
      <c r="S212" s="42"/>
      <c r="T212" s="42"/>
      <c r="U212" s="45"/>
      <c r="V212" s="42"/>
      <c r="W212" s="42"/>
      <c r="X212" s="42"/>
      <c r="Y212" s="42"/>
      <c r="AA212" s="30"/>
      <c r="AB212" s="30"/>
      <c r="AC212" s="30"/>
      <c r="AD212" s="30"/>
      <c r="AE212" s="30"/>
      <c r="AF212" s="49"/>
    </row>
    <row r="213" spans="1:32" s="9" customFormat="1" x14ac:dyDescent="0.35">
      <c r="A213" s="15"/>
      <c r="B213" s="16"/>
      <c r="C213" s="17"/>
      <c r="D213" s="16"/>
      <c r="E213" s="16"/>
      <c r="F213" s="30"/>
      <c r="G213" s="30"/>
      <c r="J213" s="16"/>
      <c r="K213" s="42"/>
      <c r="L213" s="42"/>
      <c r="M213" s="42"/>
      <c r="N213" s="42"/>
      <c r="O213" s="42"/>
      <c r="P213" s="42"/>
      <c r="Q213" s="42"/>
      <c r="R213" s="42"/>
      <c r="S213" s="42"/>
      <c r="T213" s="42"/>
      <c r="U213" s="45"/>
      <c r="V213" s="42"/>
      <c r="W213" s="42"/>
      <c r="X213" s="42"/>
      <c r="Y213" s="42"/>
      <c r="AA213" s="30"/>
      <c r="AB213" s="30"/>
      <c r="AC213" s="30"/>
      <c r="AD213" s="30"/>
      <c r="AE213" s="30"/>
      <c r="AF213" s="49"/>
    </row>
    <row r="214" spans="1:32" s="9" customFormat="1" x14ac:dyDescent="0.35">
      <c r="A214" s="15"/>
      <c r="B214" s="16"/>
      <c r="C214" s="17"/>
      <c r="D214" s="16"/>
      <c r="E214" s="16"/>
      <c r="F214" s="30"/>
      <c r="G214" s="30"/>
      <c r="J214" s="16"/>
      <c r="K214" s="42"/>
      <c r="L214" s="42"/>
      <c r="M214" s="42"/>
      <c r="N214" s="42"/>
      <c r="O214" s="42"/>
      <c r="P214" s="42"/>
      <c r="Q214" s="42"/>
      <c r="R214" s="42"/>
      <c r="S214" s="42"/>
      <c r="T214" s="42"/>
      <c r="U214" s="45"/>
      <c r="V214" s="42"/>
      <c r="W214" s="42"/>
      <c r="X214" s="42"/>
      <c r="Y214" s="42"/>
      <c r="AA214" s="30"/>
      <c r="AB214" s="30"/>
      <c r="AC214" s="30"/>
      <c r="AD214" s="30"/>
      <c r="AE214" s="30"/>
      <c r="AF214" s="49"/>
    </row>
    <row r="215" spans="1:32" s="9" customFormat="1" x14ac:dyDescent="0.35">
      <c r="A215" s="15"/>
      <c r="B215" s="16"/>
      <c r="C215" s="17"/>
      <c r="D215" s="16"/>
      <c r="E215" s="16"/>
      <c r="F215" s="30"/>
      <c r="G215" s="30"/>
      <c r="J215" s="16"/>
      <c r="K215" s="42"/>
      <c r="L215" s="42"/>
      <c r="M215" s="42"/>
      <c r="N215" s="42"/>
      <c r="O215" s="42"/>
      <c r="P215" s="42"/>
      <c r="Q215" s="42"/>
      <c r="R215" s="42"/>
      <c r="S215" s="42"/>
      <c r="T215" s="42"/>
      <c r="U215" s="45"/>
      <c r="V215" s="42"/>
      <c r="W215" s="42"/>
      <c r="X215" s="42"/>
      <c r="Y215" s="42"/>
      <c r="AA215" s="30"/>
      <c r="AB215" s="30"/>
      <c r="AC215" s="30"/>
      <c r="AD215" s="30"/>
      <c r="AE215" s="30"/>
      <c r="AF215" s="49"/>
    </row>
    <row r="216" spans="1:32" s="9" customFormat="1" x14ac:dyDescent="0.35">
      <c r="A216" s="15"/>
      <c r="B216" s="16"/>
      <c r="C216" s="17"/>
      <c r="D216" s="16"/>
      <c r="E216" s="16"/>
      <c r="F216" s="30"/>
      <c r="G216" s="30"/>
      <c r="J216" s="16"/>
      <c r="K216" s="42"/>
      <c r="L216" s="42"/>
      <c r="M216" s="42"/>
      <c r="N216" s="42"/>
      <c r="O216" s="42"/>
      <c r="P216" s="42"/>
      <c r="Q216" s="42"/>
      <c r="R216" s="42"/>
      <c r="S216" s="42"/>
      <c r="T216" s="42"/>
      <c r="U216" s="45"/>
      <c r="V216" s="42"/>
      <c r="W216" s="42"/>
      <c r="X216" s="42"/>
      <c r="Y216" s="42"/>
      <c r="AA216" s="30"/>
      <c r="AB216" s="30"/>
      <c r="AC216" s="30"/>
      <c r="AD216" s="30"/>
      <c r="AE216" s="30"/>
      <c r="AF216" s="49"/>
    </row>
    <row r="217" spans="1:32" s="9" customFormat="1" x14ac:dyDescent="0.35">
      <c r="A217" s="15"/>
      <c r="B217" s="16"/>
      <c r="C217" s="17"/>
      <c r="D217" s="16"/>
      <c r="E217" s="16"/>
      <c r="F217" s="30"/>
      <c r="G217" s="30"/>
      <c r="J217" s="16"/>
      <c r="K217" s="42"/>
      <c r="L217" s="42"/>
      <c r="M217" s="42"/>
      <c r="N217" s="42"/>
      <c r="O217" s="42"/>
      <c r="P217" s="42"/>
      <c r="Q217" s="42"/>
      <c r="R217" s="42"/>
      <c r="S217" s="42"/>
      <c r="T217" s="42"/>
      <c r="U217" s="45"/>
      <c r="V217" s="42"/>
      <c r="W217" s="42"/>
      <c r="X217" s="42"/>
      <c r="Y217" s="42"/>
      <c r="AA217" s="30"/>
      <c r="AB217" s="30"/>
      <c r="AC217" s="30"/>
      <c r="AD217" s="30"/>
      <c r="AE217" s="30"/>
      <c r="AF217" s="49"/>
    </row>
    <row r="218" spans="1:32" s="9" customFormat="1" x14ac:dyDescent="0.35">
      <c r="A218" s="15"/>
      <c r="B218" s="16"/>
      <c r="C218" s="17"/>
      <c r="D218" s="16"/>
      <c r="E218" s="16"/>
      <c r="F218" s="30"/>
      <c r="G218" s="30"/>
      <c r="J218" s="16"/>
      <c r="K218" s="42"/>
      <c r="L218" s="42"/>
      <c r="M218" s="42"/>
      <c r="N218" s="42"/>
      <c r="O218" s="42"/>
      <c r="P218" s="42"/>
      <c r="Q218" s="42"/>
      <c r="R218" s="42"/>
      <c r="S218" s="42"/>
      <c r="T218" s="42"/>
      <c r="U218" s="45"/>
      <c r="V218" s="42"/>
      <c r="W218" s="42"/>
      <c r="X218" s="42"/>
      <c r="Y218" s="42"/>
      <c r="AA218" s="30"/>
      <c r="AB218" s="30"/>
      <c r="AC218" s="30"/>
      <c r="AD218" s="30"/>
      <c r="AE218" s="30"/>
      <c r="AF218" s="49"/>
    </row>
    <row r="219" spans="1:32" s="9" customFormat="1" x14ac:dyDescent="0.35">
      <c r="A219" s="15"/>
      <c r="B219" s="16"/>
      <c r="C219" s="17"/>
      <c r="D219" s="16"/>
      <c r="E219" s="16"/>
      <c r="F219" s="30"/>
      <c r="G219" s="30"/>
      <c r="J219" s="16"/>
      <c r="K219" s="42"/>
      <c r="L219" s="42"/>
      <c r="M219" s="42"/>
      <c r="N219" s="42"/>
      <c r="O219" s="42"/>
      <c r="P219" s="42"/>
      <c r="Q219" s="42"/>
      <c r="R219" s="42"/>
      <c r="S219" s="42"/>
      <c r="T219" s="42"/>
      <c r="U219" s="45"/>
      <c r="V219" s="42"/>
      <c r="W219" s="42"/>
      <c r="X219" s="42"/>
      <c r="Y219" s="42"/>
      <c r="AA219" s="30"/>
      <c r="AB219" s="30"/>
      <c r="AC219" s="30"/>
      <c r="AD219" s="30"/>
      <c r="AE219" s="30"/>
      <c r="AF219" s="49"/>
    </row>
    <row r="220" spans="1:32" s="9" customFormat="1" x14ac:dyDescent="0.35">
      <c r="A220" s="15"/>
      <c r="B220" s="16"/>
      <c r="C220" s="17"/>
      <c r="D220" s="16"/>
      <c r="E220" s="16"/>
      <c r="F220" s="30"/>
      <c r="G220" s="30"/>
      <c r="J220" s="16"/>
      <c r="K220" s="42"/>
      <c r="L220" s="42"/>
      <c r="M220" s="42"/>
      <c r="N220" s="42"/>
      <c r="O220" s="42"/>
      <c r="P220" s="42"/>
      <c r="Q220" s="42"/>
      <c r="R220" s="42"/>
      <c r="S220" s="42"/>
      <c r="T220" s="42"/>
      <c r="U220" s="45"/>
      <c r="V220" s="42"/>
      <c r="W220" s="42"/>
      <c r="X220" s="42"/>
      <c r="Y220" s="42"/>
      <c r="AA220" s="30"/>
      <c r="AB220" s="30"/>
      <c r="AC220" s="30"/>
      <c r="AD220" s="30"/>
      <c r="AE220" s="30"/>
      <c r="AF220" s="49"/>
    </row>
    <row r="221" spans="1:32" s="9" customFormat="1" x14ac:dyDescent="0.35">
      <c r="A221" s="15"/>
      <c r="B221" s="16"/>
      <c r="C221" s="17"/>
      <c r="D221" s="16"/>
      <c r="E221" s="16"/>
      <c r="F221" s="30"/>
      <c r="G221" s="30"/>
      <c r="J221" s="16"/>
      <c r="K221" s="42"/>
      <c r="L221" s="42"/>
      <c r="M221" s="42"/>
      <c r="N221" s="42"/>
      <c r="O221" s="42"/>
      <c r="P221" s="42"/>
      <c r="Q221" s="42"/>
      <c r="R221" s="42"/>
      <c r="S221" s="42"/>
      <c r="T221" s="42"/>
      <c r="U221" s="45"/>
      <c r="V221" s="42"/>
      <c r="W221" s="42"/>
      <c r="X221" s="42"/>
      <c r="Y221" s="42"/>
      <c r="AA221" s="30"/>
      <c r="AB221" s="30"/>
      <c r="AC221" s="30"/>
      <c r="AD221" s="30"/>
      <c r="AE221" s="30"/>
      <c r="AF221" s="49"/>
    </row>
    <row r="222" spans="1:32" s="9" customFormat="1" x14ac:dyDescent="0.35">
      <c r="A222" s="15"/>
      <c r="B222" s="16"/>
      <c r="C222" s="17"/>
      <c r="D222" s="16"/>
      <c r="E222" s="16"/>
      <c r="F222" s="30"/>
      <c r="G222" s="30"/>
      <c r="J222" s="16"/>
      <c r="K222" s="42"/>
      <c r="L222" s="42"/>
      <c r="M222" s="42"/>
      <c r="N222" s="42"/>
      <c r="O222" s="42"/>
      <c r="P222" s="42"/>
      <c r="Q222" s="42"/>
      <c r="R222" s="42"/>
      <c r="S222" s="42"/>
      <c r="T222" s="42"/>
      <c r="U222" s="45"/>
      <c r="V222" s="42"/>
      <c r="W222" s="42"/>
      <c r="X222" s="42"/>
      <c r="Y222" s="42"/>
      <c r="AA222" s="30"/>
      <c r="AB222" s="30"/>
      <c r="AC222" s="30"/>
      <c r="AD222" s="30"/>
      <c r="AE222" s="30"/>
      <c r="AF222" s="49"/>
    </row>
    <row r="223" spans="1:32" s="9" customFormat="1" x14ac:dyDescent="0.35">
      <c r="A223" s="15"/>
      <c r="B223" s="16"/>
      <c r="C223" s="17"/>
      <c r="D223" s="16"/>
      <c r="E223" s="16"/>
      <c r="F223" s="30"/>
      <c r="G223" s="30"/>
      <c r="J223" s="16"/>
      <c r="K223" s="42"/>
      <c r="L223" s="42"/>
      <c r="M223" s="42"/>
      <c r="N223" s="42"/>
      <c r="O223" s="42"/>
      <c r="P223" s="42"/>
      <c r="Q223" s="42"/>
      <c r="R223" s="42"/>
      <c r="S223" s="42"/>
      <c r="T223" s="42"/>
      <c r="U223" s="45"/>
      <c r="V223" s="42"/>
      <c r="W223" s="42"/>
      <c r="X223" s="42"/>
      <c r="Y223" s="42"/>
      <c r="AA223" s="30"/>
      <c r="AB223" s="30"/>
      <c r="AC223" s="30"/>
      <c r="AD223" s="30"/>
      <c r="AE223" s="30"/>
      <c r="AF223" s="49"/>
    </row>
    <row r="224" spans="1:32" s="9" customFormat="1" x14ac:dyDescent="0.35">
      <c r="A224" s="15"/>
      <c r="B224" s="16"/>
      <c r="C224" s="17"/>
      <c r="D224" s="16"/>
      <c r="E224" s="16"/>
      <c r="F224" s="30"/>
      <c r="G224" s="30"/>
      <c r="J224" s="16"/>
      <c r="K224" s="42"/>
      <c r="L224" s="42"/>
      <c r="M224" s="42"/>
      <c r="N224" s="42"/>
      <c r="O224" s="42"/>
      <c r="P224" s="42"/>
      <c r="Q224" s="42"/>
      <c r="R224" s="42"/>
      <c r="S224" s="42"/>
      <c r="T224" s="42"/>
      <c r="U224" s="45"/>
      <c r="V224" s="42"/>
      <c r="W224" s="42"/>
      <c r="X224" s="42"/>
      <c r="Y224" s="42"/>
      <c r="AA224" s="30"/>
      <c r="AB224" s="30"/>
      <c r="AC224" s="30"/>
      <c r="AD224" s="30"/>
      <c r="AE224" s="30"/>
      <c r="AF224" s="49"/>
    </row>
    <row r="225" spans="1:32" s="9" customFormat="1" x14ac:dyDescent="0.35">
      <c r="A225" s="15"/>
      <c r="B225" s="16"/>
      <c r="C225" s="17"/>
      <c r="D225" s="16"/>
      <c r="E225" s="16"/>
      <c r="F225" s="30"/>
      <c r="G225" s="30"/>
      <c r="J225" s="16"/>
      <c r="K225" s="42"/>
      <c r="L225" s="42"/>
      <c r="M225" s="42"/>
      <c r="N225" s="42"/>
      <c r="O225" s="42"/>
      <c r="P225" s="42"/>
      <c r="Q225" s="42"/>
      <c r="R225" s="42"/>
      <c r="S225" s="42"/>
      <c r="T225" s="42"/>
      <c r="U225" s="45"/>
      <c r="V225" s="42"/>
      <c r="W225" s="42"/>
      <c r="X225" s="42"/>
      <c r="Y225" s="42"/>
      <c r="AA225" s="30"/>
      <c r="AB225" s="30"/>
      <c r="AC225" s="30"/>
      <c r="AD225" s="30"/>
      <c r="AE225" s="30"/>
      <c r="AF225" s="49"/>
    </row>
    <row r="226" spans="1:32" s="9" customFormat="1" x14ac:dyDescent="0.35">
      <c r="A226" s="15"/>
      <c r="B226" s="16"/>
      <c r="C226" s="17"/>
      <c r="D226" s="16"/>
      <c r="E226" s="16"/>
      <c r="F226" s="30"/>
      <c r="G226" s="30"/>
      <c r="J226" s="16"/>
      <c r="K226" s="42"/>
      <c r="L226" s="42"/>
      <c r="M226" s="42"/>
      <c r="N226" s="42"/>
      <c r="O226" s="42"/>
      <c r="P226" s="42"/>
      <c r="Q226" s="42"/>
      <c r="R226" s="42"/>
      <c r="S226" s="42"/>
      <c r="T226" s="42"/>
      <c r="U226" s="45"/>
      <c r="V226" s="42"/>
      <c r="W226" s="42"/>
      <c r="X226" s="42"/>
      <c r="Y226" s="42"/>
      <c r="AA226" s="30"/>
      <c r="AB226" s="30"/>
      <c r="AC226" s="30"/>
      <c r="AD226" s="30"/>
      <c r="AE226" s="30"/>
      <c r="AF226" s="49"/>
    </row>
    <row r="227" spans="1:32" s="9" customFormat="1" x14ac:dyDescent="0.35">
      <c r="A227" s="15"/>
      <c r="B227" s="16"/>
      <c r="C227" s="17"/>
      <c r="D227" s="16"/>
      <c r="E227" s="16"/>
      <c r="F227" s="30"/>
      <c r="G227" s="30"/>
      <c r="J227" s="16"/>
      <c r="K227" s="42"/>
      <c r="L227" s="42"/>
      <c r="M227" s="42"/>
      <c r="N227" s="42"/>
      <c r="O227" s="42"/>
      <c r="P227" s="42"/>
      <c r="Q227" s="42"/>
      <c r="R227" s="42"/>
      <c r="S227" s="42"/>
      <c r="T227" s="42"/>
      <c r="U227" s="45"/>
      <c r="V227" s="42"/>
      <c r="W227" s="42"/>
      <c r="X227" s="42"/>
      <c r="Y227" s="42"/>
      <c r="AA227" s="30"/>
      <c r="AB227" s="30"/>
      <c r="AC227" s="30"/>
      <c r="AD227" s="30"/>
      <c r="AE227" s="30"/>
      <c r="AF227" s="49"/>
    </row>
    <row r="228" spans="1:32" s="9" customFormat="1" x14ac:dyDescent="0.35">
      <c r="A228" s="15"/>
      <c r="B228" s="16"/>
      <c r="C228" s="17"/>
      <c r="D228" s="16"/>
      <c r="E228" s="16"/>
      <c r="F228" s="30"/>
      <c r="G228" s="30"/>
      <c r="J228" s="16"/>
      <c r="K228" s="42"/>
      <c r="L228" s="42"/>
      <c r="M228" s="42"/>
      <c r="N228" s="42"/>
      <c r="O228" s="42"/>
      <c r="P228" s="42"/>
      <c r="Q228" s="42"/>
      <c r="R228" s="42"/>
      <c r="S228" s="42"/>
      <c r="T228" s="42"/>
      <c r="U228" s="45"/>
      <c r="V228" s="42"/>
      <c r="W228" s="42"/>
      <c r="X228" s="42"/>
      <c r="Y228" s="42"/>
      <c r="AA228" s="30"/>
      <c r="AB228" s="30"/>
      <c r="AC228" s="30"/>
      <c r="AD228" s="30"/>
      <c r="AE228" s="30"/>
      <c r="AF228" s="49"/>
    </row>
    <row r="229" spans="1:32" s="9" customFormat="1" x14ac:dyDescent="0.35">
      <c r="A229" s="15"/>
      <c r="B229" s="16"/>
      <c r="C229" s="17"/>
      <c r="D229" s="16"/>
      <c r="E229" s="16"/>
      <c r="F229" s="30"/>
      <c r="G229" s="30"/>
      <c r="J229" s="16"/>
      <c r="K229" s="42"/>
      <c r="L229" s="42"/>
      <c r="M229" s="42"/>
      <c r="N229" s="42"/>
      <c r="O229" s="42"/>
      <c r="P229" s="42"/>
      <c r="Q229" s="42"/>
      <c r="R229" s="42"/>
      <c r="S229" s="42"/>
      <c r="T229" s="42"/>
      <c r="U229" s="45"/>
      <c r="V229" s="42"/>
      <c r="W229" s="42"/>
      <c r="X229" s="42"/>
      <c r="Y229" s="42"/>
      <c r="AA229" s="30"/>
      <c r="AB229" s="30"/>
      <c r="AC229" s="30"/>
      <c r="AD229" s="30"/>
      <c r="AE229" s="30"/>
      <c r="AF229" s="49"/>
    </row>
    <row r="230" spans="1:32" s="9" customFormat="1" x14ac:dyDescent="0.35">
      <c r="A230" s="15"/>
      <c r="B230" s="16"/>
      <c r="C230" s="17"/>
      <c r="D230" s="16"/>
      <c r="E230" s="16"/>
      <c r="F230" s="30"/>
      <c r="G230" s="30"/>
      <c r="J230" s="16"/>
      <c r="K230" s="42"/>
      <c r="L230" s="42"/>
      <c r="M230" s="42"/>
      <c r="N230" s="42"/>
      <c r="O230" s="42"/>
      <c r="P230" s="42"/>
      <c r="Q230" s="42"/>
      <c r="R230" s="42"/>
      <c r="S230" s="42"/>
      <c r="T230" s="42"/>
      <c r="U230" s="45"/>
      <c r="V230" s="42"/>
      <c r="W230" s="42"/>
      <c r="X230" s="42"/>
      <c r="Y230" s="42"/>
      <c r="AA230" s="30"/>
      <c r="AB230" s="30"/>
      <c r="AC230" s="30"/>
      <c r="AD230" s="30"/>
      <c r="AE230" s="30"/>
      <c r="AF230" s="49"/>
    </row>
    <row r="231" spans="1:32" s="9" customFormat="1" x14ac:dyDescent="0.35">
      <c r="A231" s="15"/>
      <c r="B231" s="16"/>
      <c r="C231" s="17"/>
      <c r="D231" s="16"/>
      <c r="E231" s="16"/>
      <c r="F231" s="30"/>
      <c r="G231" s="30"/>
      <c r="J231" s="16"/>
      <c r="K231" s="42"/>
      <c r="L231" s="42"/>
      <c r="M231" s="42"/>
      <c r="N231" s="42"/>
      <c r="O231" s="42"/>
      <c r="P231" s="42"/>
      <c r="Q231" s="42"/>
      <c r="R231" s="42"/>
      <c r="S231" s="42"/>
      <c r="T231" s="42"/>
      <c r="U231" s="45"/>
      <c r="V231" s="42"/>
      <c r="W231" s="42"/>
      <c r="X231" s="42"/>
      <c r="Y231" s="42"/>
      <c r="AA231" s="30"/>
      <c r="AB231" s="30"/>
      <c r="AC231" s="30"/>
      <c r="AD231" s="30"/>
      <c r="AE231" s="30"/>
      <c r="AF231" s="49"/>
    </row>
    <row r="232" spans="1:32" s="9" customFormat="1" x14ac:dyDescent="0.35">
      <c r="A232" s="15"/>
      <c r="B232" s="16"/>
      <c r="C232" s="17"/>
      <c r="D232" s="16"/>
      <c r="E232" s="16"/>
      <c r="F232" s="30"/>
      <c r="G232" s="30"/>
      <c r="J232" s="16"/>
      <c r="K232" s="42"/>
      <c r="L232" s="42"/>
      <c r="M232" s="42"/>
      <c r="N232" s="42"/>
      <c r="O232" s="42"/>
      <c r="P232" s="42"/>
      <c r="Q232" s="42"/>
      <c r="R232" s="42"/>
      <c r="S232" s="42"/>
      <c r="T232" s="42"/>
      <c r="U232" s="45"/>
      <c r="V232" s="42"/>
      <c r="W232" s="42"/>
      <c r="X232" s="42"/>
      <c r="Y232" s="42"/>
      <c r="AA232" s="30"/>
      <c r="AB232" s="30"/>
      <c r="AC232" s="30"/>
      <c r="AD232" s="30"/>
      <c r="AE232" s="30"/>
      <c r="AF232" s="49"/>
    </row>
    <row r="233" spans="1:32" s="9" customFormat="1" x14ac:dyDescent="0.35">
      <c r="A233" s="15"/>
      <c r="B233" s="16"/>
      <c r="C233" s="17"/>
      <c r="D233" s="16"/>
      <c r="E233" s="16"/>
      <c r="F233" s="30"/>
      <c r="G233" s="30"/>
      <c r="J233" s="16"/>
      <c r="K233" s="42"/>
      <c r="L233" s="42"/>
      <c r="M233" s="42"/>
      <c r="N233" s="42"/>
      <c r="O233" s="42"/>
      <c r="P233" s="42"/>
      <c r="Q233" s="42"/>
      <c r="R233" s="42"/>
      <c r="S233" s="42"/>
      <c r="T233" s="42"/>
      <c r="U233" s="45"/>
      <c r="V233" s="42"/>
      <c r="W233" s="42"/>
      <c r="X233" s="42"/>
      <c r="Y233" s="42"/>
      <c r="AA233" s="30"/>
      <c r="AB233" s="30"/>
      <c r="AC233" s="30"/>
      <c r="AD233" s="30"/>
      <c r="AE233" s="30"/>
      <c r="AF233" s="49"/>
    </row>
    <row r="234" spans="1:32" s="9" customFormat="1" x14ac:dyDescent="0.35">
      <c r="A234" s="15"/>
      <c r="B234" s="16"/>
      <c r="C234" s="17"/>
      <c r="D234" s="16"/>
      <c r="E234" s="16"/>
      <c r="F234" s="30"/>
      <c r="G234" s="30"/>
      <c r="J234" s="16"/>
      <c r="K234" s="42"/>
      <c r="L234" s="42"/>
      <c r="M234" s="42"/>
      <c r="N234" s="42"/>
      <c r="O234" s="42"/>
      <c r="P234" s="42"/>
      <c r="Q234" s="42"/>
      <c r="R234" s="42"/>
      <c r="S234" s="42"/>
      <c r="T234" s="42"/>
      <c r="U234" s="45"/>
      <c r="V234" s="42"/>
      <c r="W234" s="42"/>
      <c r="X234" s="42"/>
      <c r="Y234" s="42"/>
      <c r="AA234" s="30"/>
      <c r="AB234" s="30"/>
      <c r="AC234" s="30"/>
      <c r="AD234" s="30"/>
      <c r="AE234" s="30"/>
      <c r="AF234" s="49"/>
    </row>
    <row r="235" spans="1:32" s="9" customFormat="1" x14ac:dyDescent="0.35">
      <c r="A235" s="15"/>
      <c r="B235" s="16"/>
      <c r="C235" s="17"/>
      <c r="D235" s="16"/>
      <c r="E235" s="16"/>
      <c r="F235" s="30"/>
      <c r="G235" s="30"/>
      <c r="J235" s="16"/>
      <c r="K235" s="42"/>
      <c r="L235" s="42"/>
      <c r="M235" s="42"/>
      <c r="N235" s="42"/>
      <c r="O235" s="42"/>
      <c r="P235" s="42"/>
      <c r="Q235" s="42"/>
      <c r="R235" s="42"/>
      <c r="S235" s="42"/>
      <c r="T235" s="42"/>
      <c r="U235" s="45"/>
      <c r="V235" s="42"/>
      <c r="W235" s="42"/>
      <c r="X235" s="42"/>
      <c r="Y235" s="42"/>
      <c r="AA235" s="30"/>
      <c r="AB235" s="30"/>
      <c r="AC235" s="30"/>
      <c r="AD235" s="30"/>
      <c r="AE235" s="30"/>
      <c r="AF235" s="49"/>
    </row>
    <row r="236" spans="1:32" s="9" customFormat="1" x14ac:dyDescent="0.35">
      <c r="A236" s="15"/>
      <c r="B236" s="16"/>
      <c r="C236" s="17"/>
      <c r="D236" s="16"/>
      <c r="E236" s="16"/>
      <c r="F236" s="30"/>
      <c r="G236" s="30"/>
      <c r="J236" s="16"/>
      <c r="K236" s="42"/>
      <c r="L236" s="42"/>
      <c r="M236" s="42"/>
      <c r="N236" s="42"/>
      <c r="O236" s="42"/>
      <c r="P236" s="42"/>
      <c r="Q236" s="42"/>
      <c r="R236" s="42"/>
      <c r="S236" s="42"/>
      <c r="T236" s="42"/>
      <c r="U236" s="45"/>
      <c r="V236" s="42"/>
      <c r="W236" s="42"/>
      <c r="X236" s="42"/>
      <c r="Y236" s="42"/>
      <c r="AA236" s="30"/>
      <c r="AB236" s="30"/>
      <c r="AC236" s="30"/>
      <c r="AD236" s="30"/>
      <c r="AE236" s="30"/>
      <c r="AF236" s="49"/>
    </row>
    <row r="237" spans="1:32" s="9" customFormat="1" x14ac:dyDescent="0.35">
      <c r="A237" s="15"/>
      <c r="B237" s="16"/>
      <c r="C237" s="17"/>
      <c r="D237" s="16"/>
      <c r="E237" s="16"/>
      <c r="F237" s="30"/>
      <c r="G237" s="30"/>
      <c r="J237" s="16"/>
      <c r="K237" s="42"/>
      <c r="L237" s="42"/>
      <c r="M237" s="42"/>
      <c r="N237" s="42"/>
      <c r="O237" s="42"/>
      <c r="P237" s="42"/>
      <c r="Q237" s="42"/>
      <c r="R237" s="42"/>
      <c r="S237" s="42"/>
      <c r="T237" s="42"/>
      <c r="U237" s="45"/>
      <c r="V237" s="42"/>
      <c r="W237" s="42"/>
      <c r="X237" s="42"/>
      <c r="Y237" s="42"/>
      <c r="AA237" s="30"/>
      <c r="AB237" s="30"/>
      <c r="AC237" s="30"/>
      <c r="AD237" s="30"/>
      <c r="AE237" s="30"/>
      <c r="AF237" s="49"/>
    </row>
    <row r="238" spans="1:32" s="9" customFormat="1" x14ac:dyDescent="0.35">
      <c r="A238" s="15"/>
      <c r="B238" s="16"/>
      <c r="C238" s="17"/>
      <c r="D238" s="16"/>
      <c r="E238" s="16"/>
      <c r="F238" s="30"/>
      <c r="G238" s="30"/>
      <c r="J238" s="16"/>
      <c r="K238" s="42"/>
      <c r="L238" s="42"/>
      <c r="M238" s="42"/>
      <c r="N238" s="42"/>
      <c r="O238" s="42"/>
      <c r="P238" s="42"/>
      <c r="Q238" s="42"/>
      <c r="R238" s="42"/>
      <c r="S238" s="42"/>
      <c r="T238" s="42"/>
      <c r="U238" s="45"/>
      <c r="V238" s="42"/>
      <c r="W238" s="42"/>
      <c r="X238" s="42"/>
      <c r="Y238" s="42"/>
      <c r="AA238" s="30"/>
      <c r="AB238" s="30"/>
      <c r="AC238" s="30"/>
      <c r="AD238" s="30"/>
      <c r="AE238" s="30"/>
      <c r="AF238" s="49"/>
    </row>
    <row r="239" spans="1:32" s="9" customFormat="1" x14ac:dyDescent="0.35">
      <c r="A239" s="15"/>
      <c r="B239" s="16"/>
      <c r="C239" s="17"/>
      <c r="D239" s="16"/>
      <c r="E239" s="16"/>
      <c r="F239" s="30"/>
      <c r="G239" s="30"/>
      <c r="J239" s="16"/>
      <c r="K239" s="42"/>
      <c r="L239" s="42"/>
      <c r="M239" s="42"/>
      <c r="N239" s="42"/>
      <c r="O239" s="42"/>
      <c r="P239" s="42"/>
      <c r="Q239" s="42"/>
      <c r="R239" s="42"/>
      <c r="S239" s="42"/>
      <c r="T239" s="42"/>
      <c r="U239" s="45"/>
      <c r="V239" s="42"/>
      <c r="W239" s="42"/>
      <c r="X239" s="42"/>
      <c r="Y239" s="42"/>
      <c r="AA239" s="30"/>
      <c r="AB239" s="30"/>
      <c r="AC239" s="30"/>
      <c r="AD239" s="30"/>
      <c r="AE239" s="30"/>
      <c r="AF239" s="49"/>
    </row>
    <row r="240" spans="1:32" s="9" customFormat="1" x14ac:dyDescent="0.35">
      <c r="A240" s="15"/>
      <c r="B240" s="16"/>
      <c r="C240" s="17"/>
      <c r="D240" s="16"/>
      <c r="E240" s="16"/>
      <c r="F240" s="30"/>
      <c r="G240" s="30"/>
      <c r="J240" s="16"/>
      <c r="K240" s="42"/>
      <c r="L240" s="42"/>
      <c r="M240" s="42"/>
      <c r="N240" s="42"/>
      <c r="O240" s="42"/>
      <c r="P240" s="42"/>
      <c r="Q240" s="42"/>
      <c r="R240" s="42"/>
      <c r="S240" s="42"/>
      <c r="T240" s="42"/>
      <c r="U240" s="45"/>
      <c r="V240" s="42"/>
      <c r="W240" s="42"/>
      <c r="X240" s="42"/>
      <c r="Y240" s="42"/>
      <c r="AA240" s="30"/>
      <c r="AB240" s="30"/>
      <c r="AC240" s="30"/>
      <c r="AD240" s="30"/>
      <c r="AE240" s="30"/>
      <c r="AF240" s="49"/>
    </row>
    <row r="241" spans="1:32" s="9" customFormat="1" x14ac:dyDescent="0.35">
      <c r="A241" s="15"/>
      <c r="B241" s="16"/>
      <c r="C241" s="17"/>
      <c r="D241" s="16"/>
      <c r="E241" s="16"/>
      <c r="F241" s="30"/>
      <c r="G241" s="30"/>
      <c r="J241" s="16"/>
      <c r="K241" s="42"/>
      <c r="L241" s="42"/>
      <c r="M241" s="42"/>
      <c r="N241" s="42"/>
      <c r="O241" s="42"/>
      <c r="P241" s="42"/>
      <c r="Q241" s="42"/>
      <c r="R241" s="42"/>
      <c r="S241" s="42"/>
      <c r="T241" s="42"/>
      <c r="U241" s="45"/>
      <c r="V241" s="42"/>
      <c r="W241" s="42"/>
      <c r="X241" s="42"/>
      <c r="Y241" s="42"/>
      <c r="AA241" s="30"/>
      <c r="AB241" s="30"/>
      <c r="AC241" s="30"/>
      <c r="AD241" s="30"/>
      <c r="AE241" s="30"/>
      <c r="AF241" s="49"/>
    </row>
    <row r="242" spans="1:32" s="9" customFormat="1" x14ac:dyDescent="0.35">
      <c r="A242" s="15"/>
      <c r="B242" s="16"/>
      <c r="C242" s="17"/>
      <c r="D242" s="16"/>
      <c r="E242" s="16"/>
      <c r="F242" s="30"/>
      <c r="G242" s="30"/>
      <c r="J242" s="16"/>
      <c r="K242" s="42"/>
      <c r="L242" s="42"/>
      <c r="M242" s="42"/>
      <c r="N242" s="42"/>
      <c r="O242" s="42"/>
      <c r="P242" s="42"/>
      <c r="Q242" s="42"/>
      <c r="R242" s="42"/>
      <c r="S242" s="42"/>
      <c r="T242" s="42"/>
      <c r="U242" s="45"/>
      <c r="V242" s="42"/>
      <c r="W242" s="42"/>
      <c r="X242" s="42"/>
      <c r="Y242" s="42"/>
      <c r="AA242" s="30"/>
      <c r="AB242" s="30"/>
      <c r="AC242" s="30"/>
      <c r="AD242" s="30"/>
      <c r="AE242" s="30"/>
      <c r="AF242" s="49"/>
    </row>
    <row r="243" spans="1:32" s="9" customFormat="1" x14ac:dyDescent="0.35">
      <c r="A243" s="15"/>
      <c r="B243" s="16"/>
      <c r="C243" s="17"/>
      <c r="D243" s="16"/>
      <c r="E243" s="16"/>
      <c r="F243" s="30"/>
      <c r="G243" s="30"/>
      <c r="J243" s="16"/>
      <c r="K243" s="42"/>
      <c r="L243" s="42"/>
      <c r="M243" s="42"/>
      <c r="N243" s="42"/>
      <c r="O243" s="42"/>
      <c r="P243" s="42"/>
      <c r="Q243" s="42"/>
      <c r="R243" s="42"/>
      <c r="S243" s="42"/>
      <c r="T243" s="42"/>
      <c r="U243" s="45"/>
      <c r="V243" s="42"/>
      <c r="W243" s="42"/>
      <c r="X243" s="42"/>
      <c r="Y243" s="42"/>
      <c r="AA243" s="30"/>
      <c r="AB243" s="30"/>
      <c r="AC243" s="30"/>
      <c r="AD243" s="30"/>
      <c r="AE243" s="30"/>
      <c r="AF243" s="49"/>
    </row>
    <row r="244" spans="1:32" s="9" customFormat="1" x14ac:dyDescent="0.35">
      <c r="A244" s="15"/>
      <c r="B244" s="16"/>
      <c r="C244" s="17"/>
      <c r="D244" s="16"/>
      <c r="E244" s="16"/>
      <c r="F244" s="30"/>
      <c r="G244" s="30"/>
      <c r="J244" s="16"/>
      <c r="K244" s="42"/>
      <c r="L244" s="42"/>
      <c r="M244" s="42"/>
      <c r="N244" s="42"/>
      <c r="O244" s="42"/>
      <c r="P244" s="42"/>
      <c r="Q244" s="42"/>
      <c r="R244" s="42"/>
      <c r="S244" s="42"/>
      <c r="T244" s="42"/>
      <c r="U244" s="45"/>
      <c r="V244" s="42"/>
      <c r="W244" s="42"/>
      <c r="X244" s="42"/>
      <c r="Y244" s="42"/>
      <c r="AA244" s="30"/>
      <c r="AB244" s="30"/>
      <c r="AC244" s="30"/>
      <c r="AD244" s="30"/>
      <c r="AE244" s="30"/>
      <c r="AF244" s="49"/>
    </row>
    <row r="245" spans="1:32" s="9" customFormat="1" x14ac:dyDescent="0.35">
      <c r="A245" s="15"/>
      <c r="B245" s="16"/>
      <c r="C245" s="17"/>
      <c r="D245" s="16"/>
      <c r="E245" s="16"/>
      <c r="F245" s="30"/>
      <c r="G245" s="30"/>
      <c r="J245" s="16"/>
      <c r="K245" s="42"/>
      <c r="L245" s="42"/>
      <c r="M245" s="42"/>
      <c r="N245" s="42"/>
      <c r="O245" s="42"/>
      <c r="P245" s="42"/>
      <c r="Q245" s="42"/>
      <c r="R245" s="42"/>
      <c r="S245" s="42"/>
      <c r="T245" s="42"/>
      <c r="U245" s="45"/>
      <c r="V245" s="42"/>
      <c r="W245" s="42"/>
      <c r="X245" s="42"/>
      <c r="Y245" s="42"/>
      <c r="AA245" s="30"/>
      <c r="AB245" s="30"/>
      <c r="AC245" s="30"/>
      <c r="AD245" s="30"/>
      <c r="AE245" s="30"/>
      <c r="AF245" s="49"/>
    </row>
    <row r="246" spans="1:32" s="9" customFormat="1" x14ac:dyDescent="0.35">
      <c r="A246" s="15"/>
      <c r="B246" s="16"/>
      <c r="C246" s="17"/>
      <c r="D246" s="16"/>
      <c r="E246" s="16"/>
      <c r="F246" s="30"/>
      <c r="G246" s="30"/>
      <c r="J246" s="16"/>
      <c r="K246" s="42"/>
      <c r="L246" s="42"/>
      <c r="M246" s="42"/>
      <c r="N246" s="42"/>
      <c r="O246" s="42"/>
      <c r="P246" s="42"/>
      <c r="Q246" s="42"/>
      <c r="R246" s="42"/>
      <c r="S246" s="42"/>
      <c r="T246" s="42"/>
      <c r="U246" s="45"/>
      <c r="V246" s="42"/>
      <c r="W246" s="42"/>
      <c r="X246" s="42"/>
      <c r="Y246" s="42"/>
      <c r="AA246" s="30"/>
      <c r="AB246" s="30"/>
      <c r="AC246" s="30"/>
      <c r="AD246" s="30"/>
      <c r="AE246" s="30"/>
      <c r="AF246" s="49"/>
    </row>
    <row r="247" spans="1:32" s="9" customFormat="1" x14ac:dyDescent="0.35">
      <c r="A247" s="15"/>
      <c r="B247" s="16"/>
      <c r="C247" s="17"/>
      <c r="D247" s="16"/>
      <c r="E247" s="16"/>
      <c r="F247" s="30"/>
      <c r="G247" s="30"/>
      <c r="J247" s="16"/>
      <c r="K247" s="42"/>
      <c r="L247" s="42"/>
      <c r="M247" s="42"/>
      <c r="N247" s="42"/>
      <c r="O247" s="42"/>
      <c r="P247" s="42"/>
      <c r="Q247" s="42"/>
      <c r="R247" s="42"/>
      <c r="S247" s="42"/>
      <c r="T247" s="42"/>
      <c r="U247" s="45"/>
      <c r="V247" s="42"/>
      <c r="W247" s="42"/>
      <c r="X247" s="42"/>
      <c r="Y247" s="42"/>
      <c r="AA247" s="30"/>
      <c r="AB247" s="30"/>
      <c r="AC247" s="30"/>
      <c r="AD247" s="30"/>
      <c r="AE247" s="30"/>
      <c r="AF247" s="49"/>
    </row>
    <row r="248" spans="1:32" s="9" customFormat="1" x14ac:dyDescent="0.35">
      <c r="A248" s="15"/>
      <c r="B248" s="16"/>
      <c r="C248" s="17"/>
      <c r="D248" s="16"/>
      <c r="E248" s="16"/>
      <c r="F248" s="30"/>
      <c r="G248" s="30"/>
      <c r="J248" s="16"/>
      <c r="K248" s="42"/>
      <c r="L248" s="42"/>
      <c r="M248" s="42"/>
      <c r="N248" s="42"/>
      <c r="O248" s="42"/>
      <c r="P248" s="42"/>
      <c r="Q248" s="42"/>
      <c r="R248" s="42"/>
      <c r="S248" s="42"/>
      <c r="T248" s="42"/>
      <c r="U248" s="45"/>
      <c r="V248" s="42"/>
      <c r="W248" s="42"/>
      <c r="X248" s="42"/>
      <c r="Y248" s="42"/>
      <c r="AA248" s="30"/>
      <c r="AB248" s="30"/>
      <c r="AC248" s="30"/>
      <c r="AD248" s="30"/>
      <c r="AE248" s="30"/>
      <c r="AF248" s="49"/>
    </row>
    <row r="249" spans="1:32" s="9" customFormat="1" x14ac:dyDescent="0.35">
      <c r="A249" s="15"/>
      <c r="B249" s="16"/>
      <c r="C249" s="17"/>
      <c r="D249" s="16"/>
      <c r="E249" s="16"/>
      <c r="F249" s="30"/>
      <c r="G249" s="30"/>
      <c r="J249" s="16"/>
      <c r="K249" s="42"/>
      <c r="L249" s="42"/>
      <c r="M249" s="42"/>
      <c r="N249" s="42"/>
      <c r="O249" s="42"/>
      <c r="P249" s="42"/>
      <c r="Q249" s="42"/>
      <c r="R249" s="42"/>
      <c r="S249" s="42"/>
      <c r="T249" s="42"/>
      <c r="U249" s="45"/>
      <c r="V249" s="42"/>
      <c r="W249" s="42"/>
      <c r="X249" s="42"/>
      <c r="Y249" s="42"/>
      <c r="AA249" s="30"/>
      <c r="AB249" s="30"/>
      <c r="AC249" s="30"/>
      <c r="AD249" s="30"/>
      <c r="AE249" s="30"/>
      <c r="AF249" s="49"/>
    </row>
    <row r="250" spans="1:32" s="9" customFormat="1" x14ac:dyDescent="0.35">
      <c r="A250" s="15"/>
      <c r="B250" s="16"/>
      <c r="C250" s="17"/>
      <c r="D250" s="16"/>
      <c r="E250" s="16"/>
      <c r="F250" s="30"/>
      <c r="G250" s="30"/>
      <c r="J250" s="16"/>
      <c r="K250" s="42"/>
      <c r="L250" s="42"/>
      <c r="M250" s="42"/>
      <c r="N250" s="42"/>
      <c r="O250" s="42"/>
      <c r="P250" s="42"/>
      <c r="Q250" s="42"/>
      <c r="R250" s="42"/>
      <c r="S250" s="42"/>
      <c r="T250" s="42"/>
      <c r="U250" s="45"/>
      <c r="V250" s="42"/>
      <c r="W250" s="42"/>
      <c r="X250" s="42"/>
      <c r="Y250" s="42"/>
      <c r="AA250" s="30"/>
      <c r="AB250" s="30"/>
      <c r="AC250" s="30"/>
      <c r="AD250" s="30"/>
      <c r="AE250" s="30"/>
      <c r="AF250" s="49"/>
    </row>
    <row r="251" spans="1:32" s="9" customFormat="1" x14ac:dyDescent="0.35">
      <c r="A251" s="15"/>
      <c r="B251" s="16"/>
      <c r="C251" s="17"/>
      <c r="D251" s="16"/>
      <c r="E251" s="16"/>
      <c r="F251" s="30"/>
      <c r="G251" s="30"/>
      <c r="J251" s="16"/>
      <c r="K251" s="42"/>
      <c r="L251" s="42"/>
      <c r="M251" s="42"/>
      <c r="N251" s="42"/>
      <c r="O251" s="42"/>
      <c r="P251" s="42"/>
      <c r="Q251" s="42"/>
      <c r="R251" s="42"/>
      <c r="S251" s="42"/>
      <c r="T251" s="42"/>
      <c r="U251" s="45"/>
      <c r="V251" s="42"/>
      <c r="W251" s="42"/>
      <c r="X251" s="42"/>
      <c r="Y251" s="42"/>
      <c r="AA251" s="30"/>
      <c r="AB251" s="30"/>
      <c r="AC251" s="30"/>
      <c r="AD251" s="30"/>
      <c r="AE251" s="30"/>
      <c r="AF251" s="49"/>
    </row>
    <row r="252" spans="1:32" s="9" customFormat="1" x14ac:dyDescent="0.35">
      <c r="A252" s="15"/>
      <c r="B252" s="16"/>
      <c r="C252" s="17"/>
      <c r="D252" s="16"/>
      <c r="E252" s="16"/>
      <c r="F252" s="30"/>
      <c r="G252" s="30"/>
      <c r="J252" s="16"/>
      <c r="K252" s="42"/>
      <c r="L252" s="42"/>
      <c r="M252" s="42"/>
      <c r="N252" s="42"/>
      <c r="O252" s="42"/>
      <c r="P252" s="42"/>
      <c r="Q252" s="42"/>
      <c r="R252" s="42"/>
      <c r="S252" s="42"/>
      <c r="T252" s="42"/>
      <c r="U252" s="45"/>
      <c r="V252" s="42"/>
      <c r="W252" s="42"/>
      <c r="X252" s="42"/>
      <c r="Y252" s="42"/>
      <c r="AA252" s="30"/>
      <c r="AB252" s="30"/>
      <c r="AC252" s="30"/>
      <c r="AD252" s="30"/>
      <c r="AE252" s="30"/>
      <c r="AF252" s="49"/>
    </row>
    <row r="253" spans="1:32" s="9" customFormat="1" x14ac:dyDescent="0.35">
      <c r="A253" s="15"/>
      <c r="B253" s="16"/>
      <c r="C253" s="17"/>
      <c r="D253" s="16"/>
      <c r="E253" s="16"/>
      <c r="F253" s="30"/>
      <c r="G253" s="30"/>
      <c r="J253" s="16"/>
      <c r="K253" s="42"/>
      <c r="L253" s="42"/>
      <c r="M253" s="42"/>
      <c r="N253" s="42"/>
      <c r="O253" s="42"/>
      <c r="P253" s="42"/>
      <c r="Q253" s="42"/>
      <c r="R253" s="42"/>
      <c r="S253" s="42"/>
      <c r="T253" s="42"/>
      <c r="U253" s="45"/>
      <c r="V253" s="42"/>
      <c r="W253" s="42"/>
      <c r="X253" s="42"/>
      <c r="Y253" s="42"/>
      <c r="AA253" s="30"/>
      <c r="AB253" s="30"/>
      <c r="AC253" s="30"/>
      <c r="AD253" s="30"/>
      <c r="AE253" s="30"/>
      <c r="AF253" s="49"/>
    </row>
    <row r="254" spans="1:32" s="9" customFormat="1" x14ac:dyDescent="0.35">
      <c r="A254" s="15"/>
      <c r="B254" s="16"/>
      <c r="C254" s="17"/>
      <c r="D254" s="16"/>
      <c r="E254" s="16"/>
      <c r="F254" s="30"/>
      <c r="G254" s="30"/>
      <c r="J254" s="16"/>
      <c r="K254" s="42"/>
      <c r="L254" s="42"/>
      <c r="M254" s="42"/>
      <c r="N254" s="42"/>
      <c r="O254" s="42"/>
      <c r="P254" s="42"/>
      <c r="Q254" s="42"/>
      <c r="R254" s="42"/>
      <c r="S254" s="42"/>
      <c r="T254" s="42"/>
      <c r="U254" s="45"/>
      <c r="V254" s="42"/>
      <c r="W254" s="42"/>
      <c r="X254" s="42"/>
      <c r="Y254" s="42"/>
      <c r="AA254" s="30"/>
      <c r="AB254" s="30"/>
      <c r="AC254" s="30"/>
      <c r="AD254" s="30"/>
      <c r="AE254" s="30"/>
      <c r="AF254" s="49"/>
    </row>
    <row r="255" spans="1:32" s="9" customFormat="1" x14ac:dyDescent="0.35">
      <c r="A255" s="15"/>
      <c r="B255" s="16"/>
      <c r="C255" s="17"/>
      <c r="D255" s="16"/>
      <c r="E255" s="16"/>
      <c r="F255" s="30"/>
      <c r="G255" s="30"/>
      <c r="J255" s="16"/>
      <c r="K255" s="42"/>
      <c r="L255" s="42"/>
      <c r="M255" s="42"/>
      <c r="N255" s="42"/>
      <c r="O255" s="42"/>
      <c r="P255" s="42"/>
      <c r="Q255" s="42"/>
      <c r="R255" s="42"/>
      <c r="S255" s="42"/>
      <c r="T255" s="42"/>
      <c r="U255" s="45"/>
      <c r="V255" s="42"/>
      <c r="W255" s="42"/>
      <c r="X255" s="42"/>
      <c r="Y255" s="42"/>
      <c r="AA255" s="30"/>
      <c r="AB255" s="30"/>
      <c r="AC255" s="30"/>
      <c r="AD255" s="30"/>
      <c r="AE255" s="30"/>
      <c r="AF255" s="49"/>
    </row>
    <row r="256" spans="1:32" s="9" customFormat="1" x14ac:dyDescent="0.35">
      <c r="A256" s="15"/>
      <c r="B256" s="16"/>
      <c r="C256" s="17"/>
      <c r="D256" s="16"/>
      <c r="E256" s="16"/>
      <c r="F256" s="30"/>
      <c r="G256" s="30"/>
      <c r="J256" s="16"/>
      <c r="K256" s="42"/>
      <c r="L256" s="42"/>
      <c r="M256" s="42"/>
      <c r="N256" s="42"/>
      <c r="O256" s="42"/>
      <c r="P256" s="42"/>
      <c r="Q256" s="42"/>
      <c r="R256" s="42"/>
      <c r="S256" s="42"/>
      <c r="T256" s="42"/>
      <c r="U256" s="45"/>
      <c r="V256" s="42"/>
      <c r="W256" s="42"/>
      <c r="X256" s="42"/>
      <c r="Y256" s="42"/>
      <c r="AA256" s="30"/>
      <c r="AB256" s="30"/>
      <c r="AC256" s="30"/>
      <c r="AD256" s="30"/>
      <c r="AE256" s="30"/>
      <c r="AF256" s="49"/>
    </row>
    <row r="257" spans="1:32" s="9" customFormat="1" x14ac:dyDescent="0.35">
      <c r="A257" s="15"/>
      <c r="B257" s="16"/>
      <c r="C257" s="17"/>
      <c r="D257" s="16"/>
      <c r="E257" s="16"/>
      <c r="F257" s="30"/>
      <c r="G257" s="30"/>
      <c r="J257" s="16"/>
      <c r="K257" s="42"/>
      <c r="L257" s="42"/>
      <c r="M257" s="42"/>
      <c r="N257" s="42"/>
      <c r="O257" s="42"/>
      <c r="P257" s="42"/>
      <c r="Q257" s="42"/>
      <c r="R257" s="42"/>
      <c r="S257" s="42"/>
      <c r="T257" s="42"/>
      <c r="U257" s="45"/>
      <c r="V257" s="42"/>
      <c r="W257" s="42"/>
      <c r="X257" s="42"/>
      <c r="Y257" s="42"/>
      <c r="AA257" s="30"/>
      <c r="AB257" s="30"/>
      <c r="AC257" s="30"/>
      <c r="AD257" s="30"/>
      <c r="AE257" s="30"/>
      <c r="AF257" s="49"/>
    </row>
    <row r="258" spans="1:32" s="9" customFormat="1" x14ac:dyDescent="0.35">
      <c r="A258" s="15"/>
      <c r="B258" s="16"/>
      <c r="C258" s="17"/>
      <c r="D258" s="16"/>
      <c r="E258" s="16"/>
      <c r="F258" s="30"/>
      <c r="G258" s="30"/>
      <c r="J258" s="16"/>
      <c r="K258" s="42"/>
      <c r="L258" s="42"/>
      <c r="M258" s="42"/>
      <c r="N258" s="42"/>
      <c r="O258" s="42"/>
      <c r="P258" s="42"/>
      <c r="Q258" s="42"/>
      <c r="R258" s="42"/>
      <c r="S258" s="42"/>
      <c r="T258" s="42"/>
      <c r="U258" s="45"/>
      <c r="V258" s="42"/>
      <c r="W258" s="42"/>
      <c r="X258" s="42"/>
      <c r="Y258" s="42"/>
      <c r="AA258" s="30"/>
      <c r="AB258" s="30"/>
      <c r="AC258" s="30"/>
      <c r="AD258" s="30"/>
      <c r="AE258" s="30"/>
      <c r="AF258" s="49"/>
    </row>
    <row r="259" spans="1:32" s="9" customFormat="1" x14ac:dyDescent="0.35">
      <c r="A259" s="15"/>
      <c r="B259" s="16"/>
      <c r="C259" s="17"/>
      <c r="D259" s="16"/>
      <c r="E259" s="16"/>
      <c r="F259" s="30"/>
      <c r="G259" s="30"/>
      <c r="J259" s="16"/>
      <c r="K259" s="42"/>
      <c r="L259" s="42"/>
      <c r="M259" s="42"/>
      <c r="N259" s="42"/>
      <c r="O259" s="42"/>
      <c r="P259" s="42"/>
      <c r="Q259" s="42"/>
      <c r="R259" s="42"/>
      <c r="S259" s="42"/>
      <c r="T259" s="42"/>
      <c r="U259" s="45"/>
      <c r="V259" s="42"/>
      <c r="W259" s="42"/>
      <c r="X259" s="42"/>
      <c r="Y259" s="42"/>
      <c r="AA259" s="30"/>
      <c r="AB259" s="30"/>
      <c r="AC259" s="30"/>
      <c r="AD259" s="30"/>
      <c r="AE259" s="30"/>
      <c r="AF259" s="49"/>
    </row>
    <row r="260" spans="1:32" s="9" customFormat="1" x14ac:dyDescent="0.35">
      <c r="A260" s="15"/>
      <c r="B260" s="16"/>
      <c r="C260" s="17"/>
      <c r="D260" s="16"/>
      <c r="E260" s="16"/>
      <c r="F260" s="30"/>
      <c r="G260" s="30"/>
      <c r="J260" s="16"/>
      <c r="K260" s="42"/>
      <c r="L260" s="42"/>
      <c r="M260" s="42"/>
      <c r="N260" s="42"/>
      <c r="O260" s="42"/>
      <c r="P260" s="42"/>
      <c r="Q260" s="42"/>
      <c r="R260" s="42"/>
      <c r="S260" s="42"/>
      <c r="T260" s="42"/>
      <c r="U260" s="45"/>
      <c r="V260" s="42"/>
      <c r="W260" s="42"/>
      <c r="X260" s="42"/>
      <c r="Y260" s="42"/>
      <c r="AA260" s="30"/>
      <c r="AB260" s="30"/>
      <c r="AC260" s="30"/>
      <c r="AD260" s="30"/>
      <c r="AE260" s="30"/>
      <c r="AF260" s="49"/>
    </row>
    <row r="261" spans="1:32" s="9" customFormat="1" x14ac:dyDescent="0.35">
      <c r="A261" s="15"/>
      <c r="B261" s="16"/>
      <c r="C261" s="17"/>
      <c r="D261" s="16"/>
      <c r="E261" s="16"/>
      <c r="F261" s="30"/>
      <c r="G261" s="30"/>
      <c r="J261" s="16"/>
      <c r="K261" s="42"/>
      <c r="L261" s="42"/>
      <c r="M261" s="42"/>
      <c r="N261" s="42"/>
      <c r="O261" s="42"/>
      <c r="P261" s="42"/>
      <c r="Q261" s="42"/>
      <c r="R261" s="42"/>
      <c r="S261" s="42"/>
      <c r="T261" s="42"/>
      <c r="U261" s="45"/>
      <c r="V261" s="42"/>
      <c r="W261" s="42"/>
      <c r="X261" s="42"/>
      <c r="Y261" s="42"/>
      <c r="AA261" s="30"/>
      <c r="AB261" s="30"/>
      <c r="AC261" s="30"/>
      <c r="AD261" s="30"/>
      <c r="AE261" s="30"/>
      <c r="AF261" s="49"/>
    </row>
    <row r="262" spans="1:32" s="9" customFormat="1" x14ac:dyDescent="0.35">
      <c r="A262" s="15"/>
      <c r="B262" s="16"/>
      <c r="C262" s="17"/>
      <c r="D262" s="16"/>
      <c r="E262" s="16"/>
      <c r="F262" s="30"/>
      <c r="G262" s="30"/>
      <c r="J262" s="16"/>
      <c r="K262" s="42"/>
      <c r="L262" s="42"/>
      <c r="M262" s="42"/>
      <c r="N262" s="42"/>
      <c r="O262" s="42"/>
      <c r="P262" s="42"/>
      <c r="Q262" s="42"/>
      <c r="R262" s="42"/>
      <c r="S262" s="42"/>
      <c r="T262" s="42"/>
      <c r="U262" s="45"/>
      <c r="V262" s="42"/>
      <c r="W262" s="42"/>
      <c r="X262" s="42"/>
      <c r="Y262" s="42"/>
      <c r="AA262" s="30"/>
      <c r="AB262" s="30"/>
      <c r="AC262" s="30"/>
      <c r="AD262" s="30"/>
      <c r="AE262" s="30"/>
      <c r="AF262" s="49"/>
    </row>
    <row r="263" spans="1:32" s="9" customFormat="1" x14ac:dyDescent="0.35">
      <c r="A263" s="15"/>
      <c r="B263" s="16"/>
      <c r="C263" s="17"/>
      <c r="D263" s="16"/>
      <c r="E263" s="16"/>
      <c r="F263" s="30"/>
      <c r="G263" s="30"/>
      <c r="J263" s="16"/>
      <c r="K263" s="42"/>
      <c r="L263" s="42"/>
      <c r="M263" s="42"/>
      <c r="N263" s="42"/>
      <c r="O263" s="42"/>
      <c r="P263" s="42"/>
      <c r="Q263" s="42"/>
      <c r="R263" s="42"/>
      <c r="S263" s="42"/>
      <c r="T263" s="42"/>
      <c r="U263" s="45"/>
      <c r="V263" s="42"/>
      <c r="W263" s="42"/>
      <c r="X263" s="42"/>
      <c r="Y263" s="42"/>
      <c r="AA263" s="30"/>
      <c r="AB263" s="30"/>
      <c r="AC263" s="30"/>
      <c r="AD263" s="30"/>
      <c r="AE263" s="30"/>
      <c r="AF263" s="49"/>
    </row>
    <row r="264" spans="1:32" s="9" customFormat="1" x14ac:dyDescent="0.35">
      <c r="A264" s="15"/>
      <c r="B264" s="16"/>
      <c r="C264" s="17"/>
      <c r="D264" s="16"/>
      <c r="E264" s="16"/>
      <c r="F264" s="30"/>
      <c r="G264" s="30"/>
      <c r="J264" s="16"/>
      <c r="K264" s="42"/>
      <c r="L264" s="42"/>
      <c r="M264" s="42"/>
      <c r="N264" s="42"/>
      <c r="O264" s="42"/>
      <c r="P264" s="42"/>
      <c r="Q264" s="42"/>
      <c r="R264" s="42"/>
      <c r="S264" s="42"/>
      <c r="T264" s="42"/>
      <c r="U264" s="45"/>
      <c r="V264" s="42"/>
      <c r="W264" s="42"/>
      <c r="X264" s="42"/>
      <c r="Y264" s="42"/>
      <c r="AA264" s="30"/>
      <c r="AB264" s="30"/>
      <c r="AC264" s="30"/>
      <c r="AD264" s="30"/>
      <c r="AE264" s="30"/>
      <c r="AF264" s="49"/>
    </row>
    <row r="265" spans="1:32" s="9" customFormat="1" x14ac:dyDescent="0.35">
      <c r="A265" s="15"/>
      <c r="B265" s="16"/>
      <c r="C265" s="17"/>
      <c r="D265" s="16"/>
      <c r="E265" s="16"/>
      <c r="F265" s="30"/>
      <c r="G265" s="30"/>
      <c r="J265" s="16"/>
      <c r="K265" s="42"/>
      <c r="L265" s="42"/>
      <c r="M265" s="42"/>
      <c r="N265" s="42"/>
      <c r="O265" s="42"/>
      <c r="P265" s="42"/>
      <c r="Q265" s="42"/>
      <c r="R265" s="42"/>
      <c r="S265" s="42"/>
      <c r="T265" s="42"/>
      <c r="U265" s="45"/>
      <c r="V265" s="42"/>
      <c r="W265" s="42"/>
      <c r="X265" s="42"/>
      <c r="Y265" s="42"/>
      <c r="AA265" s="30"/>
      <c r="AB265" s="30"/>
      <c r="AC265" s="30"/>
      <c r="AD265" s="30"/>
      <c r="AE265" s="30"/>
      <c r="AF265" s="49"/>
    </row>
    <row r="266" spans="1:32" s="9" customFormat="1" x14ac:dyDescent="0.35">
      <c r="A266" s="15"/>
      <c r="B266" s="16"/>
      <c r="C266" s="17"/>
      <c r="D266" s="16"/>
      <c r="E266" s="16"/>
      <c r="F266" s="30"/>
      <c r="G266" s="30"/>
      <c r="J266" s="16"/>
      <c r="K266" s="42"/>
      <c r="L266" s="42"/>
      <c r="M266" s="42"/>
      <c r="N266" s="42"/>
      <c r="O266" s="42"/>
      <c r="P266" s="42"/>
      <c r="Q266" s="42"/>
      <c r="R266" s="42"/>
      <c r="S266" s="42"/>
      <c r="T266" s="42"/>
      <c r="U266" s="45"/>
      <c r="V266" s="42"/>
      <c r="W266" s="42"/>
      <c r="X266" s="42"/>
      <c r="Y266" s="42"/>
      <c r="AA266" s="30"/>
      <c r="AB266" s="30"/>
      <c r="AC266" s="30"/>
      <c r="AD266" s="30"/>
      <c r="AE266" s="30"/>
      <c r="AF266" s="49"/>
    </row>
    <row r="267" spans="1:32" s="9" customFormat="1" x14ac:dyDescent="0.35">
      <c r="A267" s="15"/>
      <c r="B267" s="16"/>
      <c r="C267" s="17"/>
      <c r="D267" s="16"/>
      <c r="E267" s="16"/>
      <c r="F267" s="30"/>
      <c r="G267" s="30"/>
      <c r="J267" s="16"/>
      <c r="K267" s="42"/>
      <c r="L267" s="42"/>
      <c r="M267" s="42"/>
      <c r="N267" s="42"/>
      <c r="O267" s="42"/>
      <c r="P267" s="42"/>
      <c r="Q267" s="42"/>
      <c r="R267" s="42"/>
      <c r="S267" s="42"/>
      <c r="T267" s="42"/>
      <c r="U267" s="45"/>
      <c r="V267" s="42"/>
      <c r="W267" s="42"/>
      <c r="X267" s="42"/>
      <c r="Y267" s="42"/>
      <c r="AA267" s="30"/>
      <c r="AB267" s="30"/>
      <c r="AC267" s="30"/>
      <c r="AD267" s="30"/>
      <c r="AE267" s="30"/>
      <c r="AF267" s="49"/>
    </row>
    <row r="268" spans="1:32" s="9" customFormat="1" x14ac:dyDescent="0.35">
      <c r="A268" s="15"/>
      <c r="B268" s="16"/>
      <c r="C268" s="17"/>
      <c r="D268" s="16"/>
      <c r="E268" s="16"/>
      <c r="F268" s="30"/>
      <c r="G268" s="30"/>
      <c r="J268" s="16"/>
      <c r="K268" s="42"/>
      <c r="L268" s="42"/>
      <c r="M268" s="42"/>
      <c r="N268" s="42"/>
      <c r="O268" s="42"/>
      <c r="P268" s="42"/>
      <c r="Q268" s="42"/>
      <c r="R268" s="42"/>
      <c r="S268" s="42"/>
      <c r="T268" s="42"/>
      <c r="U268" s="45"/>
      <c r="V268" s="42"/>
      <c r="W268" s="42"/>
      <c r="X268" s="42"/>
      <c r="Y268" s="42"/>
      <c r="AA268" s="30"/>
      <c r="AB268" s="30"/>
      <c r="AC268" s="30"/>
      <c r="AD268" s="30"/>
      <c r="AE268" s="30"/>
      <c r="AF268" s="49"/>
    </row>
    <row r="269" spans="1:32" s="9" customFormat="1" x14ac:dyDescent="0.35">
      <c r="A269" s="15"/>
      <c r="B269" s="16"/>
      <c r="C269" s="17"/>
      <c r="D269" s="16"/>
      <c r="E269" s="16"/>
      <c r="F269" s="30"/>
      <c r="G269" s="30"/>
      <c r="J269" s="16"/>
      <c r="K269" s="42"/>
      <c r="L269" s="42"/>
      <c r="M269" s="42"/>
      <c r="N269" s="42"/>
      <c r="O269" s="42"/>
      <c r="P269" s="42"/>
      <c r="Q269" s="42"/>
      <c r="R269" s="42"/>
      <c r="S269" s="42"/>
      <c r="T269" s="42"/>
      <c r="U269" s="45"/>
      <c r="V269" s="42"/>
      <c r="W269" s="42"/>
      <c r="X269" s="42"/>
      <c r="Y269" s="42"/>
      <c r="AA269" s="30"/>
      <c r="AB269" s="30"/>
      <c r="AC269" s="30"/>
      <c r="AD269" s="30"/>
      <c r="AE269" s="30"/>
      <c r="AF269" s="49"/>
    </row>
    <row r="270" spans="1:32" s="9" customFormat="1" x14ac:dyDescent="0.35">
      <c r="A270" s="15"/>
      <c r="B270" s="16"/>
      <c r="C270" s="17"/>
      <c r="D270" s="16"/>
      <c r="E270" s="16"/>
      <c r="F270" s="347"/>
      <c r="G270" s="347"/>
      <c r="J270" s="16"/>
      <c r="K270" s="42"/>
      <c r="L270" s="42"/>
      <c r="M270" s="42"/>
      <c r="N270" s="42"/>
      <c r="O270" s="42"/>
      <c r="P270" s="42"/>
      <c r="Q270" s="42"/>
      <c r="R270" s="42"/>
      <c r="S270" s="42"/>
      <c r="T270" s="42"/>
      <c r="U270" s="45"/>
      <c r="V270" s="42"/>
      <c r="W270" s="42"/>
      <c r="X270" s="42"/>
      <c r="Y270" s="42"/>
      <c r="AA270" s="30"/>
      <c r="AB270" s="30"/>
      <c r="AC270" s="30"/>
      <c r="AD270" s="30"/>
      <c r="AE270" s="30"/>
      <c r="AF270" s="49"/>
    </row>
    <row r="271" spans="1:32" s="9" customFormat="1" x14ac:dyDescent="0.35">
      <c r="A271" s="15"/>
      <c r="B271" s="16"/>
      <c r="C271" s="17"/>
      <c r="D271" s="16"/>
      <c r="E271" s="16"/>
      <c r="F271" s="347"/>
      <c r="G271" s="347"/>
      <c r="J271" s="16"/>
      <c r="K271" s="42"/>
      <c r="L271" s="42"/>
      <c r="M271" s="42"/>
      <c r="N271" s="42"/>
      <c r="O271" s="42"/>
      <c r="P271" s="42"/>
      <c r="Q271" s="42"/>
      <c r="R271" s="42"/>
      <c r="S271" s="42"/>
      <c r="T271" s="42"/>
      <c r="U271" s="45"/>
      <c r="V271" s="42"/>
      <c r="W271" s="42"/>
      <c r="X271" s="42"/>
      <c r="Y271" s="42"/>
      <c r="AA271" s="30"/>
      <c r="AB271" s="30"/>
      <c r="AC271" s="30"/>
      <c r="AD271" s="30"/>
      <c r="AE271" s="30"/>
      <c r="AF271" s="49"/>
    </row>
    <row r="272" spans="1:32" s="9" customFormat="1" x14ac:dyDescent="0.35">
      <c r="A272" s="15"/>
      <c r="B272" s="16"/>
      <c r="C272" s="17"/>
      <c r="D272" s="16"/>
      <c r="E272" s="16"/>
      <c r="F272" s="347"/>
      <c r="G272" s="347"/>
      <c r="J272" s="16"/>
      <c r="K272" s="42"/>
      <c r="L272" s="42"/>
      <c r="M272" s="42"/>
      <c r="N272" s="42"/>
      <c r="O272" s="42"/>
      <c r="P272" s="42"/>
      <c r="Q272" s="42"/>
      <c r="R272" s="42"/>
      <c r="S272" s="42"/>
      <c r="T272" s="42"/>
      <c r="U272" s="45"/>
      <c r="V272" s="42"/>
      <c r="W272" s="42"/>
      <c r="X272" s="42"/>
      <c r="Y272" s="42"/>
      <c r="AA272" s="30"/>
      <c r="AB272" s="30"/>
      <c r="AC272" s="30"/>
      <c r="AD272" s="30"/>
      <c r="AE272" s="30"/>
      <c r="AF272" s="49"/>
    </row>
    <row r="273" spans="1:32" s="9" customFormat="1" x14ac:dyDescent="0.35">
      <c r="A273" s="15"/>
      <c r="B273" s="16"/>
      <c r="C273" s="17"/>
      <c r="D273" s="16"/>
      <c r="E273" s="16"/>
      <c r="F273" s="347"/>
      <c r="G273" s="347"/>
      <c r="J273" s="16"/>
      <c r="K273" s="42"/>
      <c r="L273" s="42"/>
      <c r="M273" s="42"/>
      <c r="N273" s="42"/>
      <c r="O273" s="42"/>
      <c r="P273" s="42"/>
      <c r="Q273" s="42"/>
      <c r="R273" s="42"/>
      <c r="S273" s="42"/>
      <c r="T273" s="42"/>
      <c r="U273" s="45"/>
      <c r="V273" s="42"/>
      <c r="W273" s="42"/>
      <c r="X273" s="42"/>
      <c r="Y273" s="42"/>
      <c r="AA273" s="30"/>
      <c r="AB273" s="30"/>
      <c r="AC273" s="30"/>
      <c r="AD273" s="30"/>
      <c r="AE273" s="30"/>
      <c r="AF273" s="49"/>
    </row>
  </sheetData>
  <autoFilter ref="A4:AG101" xr:uid="{5D4A7991-FE16-4E2C-980A-AFF7F27A62C5}"/>
  <mergeCells count="5">
    <mergeCell ref="AE1:AG1"/>
    <mergeCell ref="M1:P1"/>
    <mergeCell ref="Q1:T1"/>
    <mergeCell ref="AA1:AD1"/>
    <mergeCell ref="V1:Z1"/>
  </mergeCells>
  <phoneticPr fontId="18" type="noConversion"/>
  <conditionalFormatting sqref="K5:K88">
    <cfRule type="cellIs" dxfId="9" priority="1" operator="between">
      <formula>1</formula>
      <formula>11</formula>
    </cfRule>
    <cfRule type="cellIs" dxfId="8" priority="2" operator="equal">
      <formula>1</formula>
    </cfRule>
  </conditionalFormatting>
  <hyperlinks>
    <hyperlink ref="AE1:AG1" r:id="rId1" display="Applied to Whole Fed Base Rate w/Adj / NOT CALCULATED IN FY2023 / Indicator will determine who gets HAC reduction" xr:uid="{57F1A8C5-4977-497D-8997-BC0EFA91B4D5}"/>
    <hyperlink ref="M1:P1" location="' FY 2023 CN Tables 1A-1E'!A1" display="Sources:  FY 2022 CMS Impact File CN / Table 1A-1E Final Rule &amp; Correcting Amendment" xr:uid="{0CFD78F8-F1FF-43D3-BE4F-E4A80F0E306B}"/>
    <hyperlink ref="Q1:T1" location="'FY 2023 IMPACT FILE CA'!A1" display="FY 2022 CMS Impact File CN" xr:uid="{F1F36DE4-706C-4B02-90DC-9B20DC44200E}"/>
    <hyperlink ref="AA1:AD1" r:id="rId2" location="Tables" display="Tables" xr:uid="{41B99D03-AE64-4A57-BC7B-79E8E571CF5B}"/>
    <hyperlink ref="K1" location="'FY 2023 IMPACT FILE CA'!A1" display="FY 2022 CMS Impact File CN" xr:uid="{E23BFBCF-B4C1-448B-A896-9446A24A420F}"/>
    <hyperlink ref="Z2" r:id="rId3" display="https://hcpf.colorado.gov/inpatient-hospital-payment" xr:uid="{FB8D220A-2A33-4550-9F34-91DA034EA088}"/>
    <hyperlink ref="U2" r:id="rId4" display="https://hcpf.colorado.gov/inpatient-hospital-payment" xr:uid="{04924887-E63A-4899-88DE-6EB19750B3AC}"/>
    <hyperlink ref="AA2" location="'Table 16B'!A1" display="'Table 16B'!A1" xr:uid="{BAFC39D9-CBF3-494E-90AB-5BA34690D424}"/>
    <hyperlink ref="AC2" location="'Table 15'!A1" display="'Table 15'!A1" xr:uid="{7FA051D3-1C69-4887-872D-6A93CCFB2DE5}"/>
    <hyperlink ref="AG2" location="FY_2023_HAC_Reduction_Program_H!A1" display="FY_2023_HAC_Reduction_Program_H!A1" xr:uid="{80589041-EB01-45EA-80DA-0EF81E7A29A1}"/>
    <hyperlink ref="V1:Z1" location="'FY 2023 IMPACT FILE CA'!A1" display="FY 2023 CMS Impact File CA" xr:uid="{23F9986B-6E0C-4797-BC3A-0D63BB82AA60}"/>
  </hyperlinks>
  <pageMargins left="0.7" right="0.7" top="0.75" bottom="0.75" header="0.3" footer="0.3"/>
  <pageSetup orientation="portrait" horizontalDpi="1200" verticalDpi="1200"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0921-6E85-46EE-9310-72A6AD7A57C6}">
  <sheetPr>
    <tabColor rgb="FF00B0F0"/>
  </sheetPr>
  <dimension ref="A1:EP107"/>
  <sheetViews>
    <sheetView zoomScaleNormal="100" workbookViewId="0">
      <pane xSplit="2" ySplit="8" topLeftCell="C9" activePane="bottomRight" state="frozen"/>
      <selection pane="topRight" activeCell="C1" sqref="C1"/>
      <selection pane="bottomLeft" activeCell="A7" sqref="A7"/>
      <selection pane="bottomRight" activeCell="D68" sqref="D68"/>
    </sheetView>
  </sheetViews>
  <sheetFormatPr defaultColWidth="9.26953125" defaultRowHeight="13" x14ac:dyDescent="0.3"/>
  <cols>
    <col min="1" max="1" width="24.36328125" style="1" customWidth="1"/>
    <col min="2" max="2" width="30.36328125" style="2" hidden="1" customWidth="1"/>
    <col min="3" max="7" width="12.6328125" style="3" customWidth="1"/>
    <col min="8" max="8" width="12.7265625" style="3" customWidth="1"/>
    <col min="9" max="9" width="19.26953125" style="3" customWidth="1"/>
    <col min="10" max="11" width="12.6328125" style="4" customWidth="1"/>
    <col min="12" max="12" width="17" style="4" customWidth="1"/>
    <col min="13" max="13" width="14.36328125" style="4" customWidth="1"/>
    <col min="14" max="14" width="13.7265625" style="4" customWidth="1"/>
    <col min="15" max="15" width="15.90625" style="4" customWidth="1"/>
    <col min="16" max="16" width="12.6328125" style="4" customWidth="1"/>
    <col min="17" max="17" width="3.36328125" style="2" customWidth="1"/>
    <col min="18" max="18" width="22.26953125" style="70" customWidth="1"/>
    <col min="19" max="19" width="16.26953125" style="70" customWidth="1"/>
    <col min="20" max="20" width="4.7265625" style="123" hidden="1" customWidth="1"/>
    <col min="21" max="21" width="23" style="70" customWidth="1"/>
    <col min="22" max="22" width="26.6328125" style="69" customWidth="1"/>
    <col min="23" max="23" width="17.08984375" style="69" customWidth="1"/>
    <col min="24" max="24" width="23.6328125" style="69" customWidth="1"/>
    <col min="25" max="25" width="1.90625" style="194" customWidth="1"/>
    <col min="26" max="26" width="13.6328125" style="70" customWidth="1"/>
    <col min="27" max="27" width="9.36328125" style="59" customWidth="1"/>
    <col min="28" max="28" width="10.36328125" style="59" customWidth="1"/>
    <col min="29" max="29" width="9.6328125" style="70" hidden="1" customWidth="1"/>
    <col min="30" max="30" width="3.453125" style="60" customWidth="1"/>
    <col min="31" max="31" width="12.36328125" style="60" customWidth="1"/>
    <col min="32" max="32" width="21.36328125" style="60" customWidth="1"/>
    <col min="33" max="34" width="5.6328125" style="60" customWidth="1"/>
    <col min="35" max="35" width="12.26953125" style="60" customWidth="1"/>
    <col min="36" max="36" width="12.26953125" style="194" hidden="1" customWidth="1"/>
    <col min="37" max="37" width="20.26953125" style="60" customWidth="1"/>
    <col min="38" max="39" width="20.6328125" style="60" customWidth="1"/>
    <col min="40" max="40" width="9.36328125" style="60" customWidth="1"/>
    <col min="41" max="41" width="9.26953125" style="60" customWidth="1"/>
    <col min="42" max="42" width="20.36328125" style="60" customWidth="1"/>
    <col min="43" max="43" width="17.6328125" style="60" customWidth="1"/>
    <col min="44" max="44" width="3.7265625" style="60" customWidth="1"/>
    <col min="45" max="45" width="4.36328125" style="60" customWidth="1"/>
    <col min="46" max="46" width="11.36328125" style="60" customWidth="1"/>
    <col min="47" max="48" width="14.6328125" style="60" customWidth="1"/>
    <col min="49" max="49" width="14.36328125" style="60" customWidth="1"/>
    <col min="50" max="50" width="6.26953125" style="60" customWidth="1"/>
    <col min="51" max="51" width="12.36328125" style="60" customWidth="1"/>
    <col min="52" max="52" width="9.26953125" style="60" customWidth="1"/>
    <col min="53" max="54" width="16.6328125" style="60" customWidth="1"/>
    <col min="55" max="56" width="5.36328125" style="60" customWidth="1"/>
    <col min="57" max="57" width="12.36328125" style="60" customWidth="1"/>
    <col min="58" max="58" width="17.36328125" style="60" customWidth="1"/>
    <col min="59" max="60" width="17.26953125" style="60" customWidth="1"/>
    <col min="61" max="61" width="8.26953125" style="60" customWidth="1"/>
    <col min="62" max="62" width="12.36328125" style="60" customWidth="1"/>
    <col min="63" max="63" width="5.6328125" style="60" customWidth="1"/>
    <col min="64" max="64" width="17.36328125" style="60" customWidth="1"/>
    <col min="65" max="65" width="16.6328125" style="60" customWidth="1"/>
    <col min="66" max="67" width="6.26953125" style="60" customWidth="1"/>
    <col min="68" max="68" width="13.36328125" style="60" customWidth="1"/>
    <col min="69" max="69" width="15.6328125" style="60" customWidth="1"/>
    <col min="70" max="71" width="18.7265625" style="60" customWidth="1"/>
    <col min="72" max="72" width="8" style="60" customWidth="1"/>
    <col min="73" max="73" width="12.6328125" style="60" customWidth="1"/>
    <col min="74" max="74" width="9.26953125" style="60" customWidth="1"/>
    <col min="75" max="75" width="14.36328125" style="60" customWidth="1"/>
    <col min="76" max="76" width="19.36328125" style="60" customWidth="1"/>
    <col min="77" max="78" width="5.6328125" style="60" customWidth="1"/>
    <col min="79" max="79" width="10" style="60" customWidth="1"/>
    <col min="80" max="80" width="16.36328125" style="60" customWidth="1"/>
    <col min="81" max="81" width="18.36328125" style="60" customWidth="1"/>
    <col min="82" max="82" width="16.26953125" style="60" customWidth="1"/>
    <col min="83" max="83" width="8.6328125" style="60" customWidth="1"/>
    <col min="84" max="84" width="12.7265625" style="60" customWidth="1"/>
    <col min="85" max="85" width="5.36328125" style="69" customWidth="1"/>
    <col min="86" max="86" width="12.36328125" style="60" customWidth="1"/>
    <col min="87" max="87" width="16.36328125" style="69" customWidth="1"/>
    <col min="88" max="88" width="6" style="69" customWidth="1"/>
    <col min="89" max="89" width="6.6328125" style="69" customWidth="1"/>
    <col min="90" max="90" width="19.36328125" style="69" customWidth="1"/>
    <col min="91" max="91" width="16.36328125" style="69" customWidth="1"/>
    <col min="92" max="92" width="12.6328125" style="69" customWidth="1"/>
    <col min="93" max="93" width="15.1796875" style="159" hidden="1" customWidth="1"/>
    <col min="94" max="94" width="5.7265625" style="159" customWidth="1"/>
    <col min="95" max="95" width="18.7265625" style="125" customWidth="1"/>
    <col min="96" max="96" width="13.90625" style="125" hidden="1" customWidth="1"/>
    <col min="97" max="97" width="12.26953125" style="194" hidden="1" customWidth="1"/>
    <col min="98" max="98" width="9.26953125" style="194"/>
    <col min="99" max="99" width="10.81640625" style="125" bestFit="1" customWidth="1"/>
    <col min="100" max="100" width="9.26953125" style="125"/>
    <col min="101" max="101" width="10.81640625" style="125" bestFit="1" customWidth="1"/>
    <col min="102" max="146" width="9.26953125" style="125"/>
    <col min="147" max="16384" width="9.26953125" style="2"/>
  </cols>
  <sheetData>
    <row r="1" spans="1:146" s="192" customFormat="1" ht="73.75" hidden="1" customHeight="1" x14ac:dyDescent="0.3">
      <c r="A1" s="191"/>
      <c r="C1" s="193"/>
      <c r="D1" s="193"/>
      <c r="E1" s="193"/>
      <c r="F1" s="193"/>
      <c r="G1" s="193"/>
      <c r="H1" s="193"/>
      <c r="I1" s="193"/>
      <c r="J1" s="4"/>
      <c r="K1" s="4"/>
      <c r="L1" s="338"/>
      <c r="M1" s="4"/>
      <c r="N1" s="4"/>
      <c r="O1" s="4"/>
      <c r="P1" s="4"/>
      <c r="R1" s="70"/>
      <c r="S1" s="70"/>
      <c r="T1" s="123"/>
      <c r="U1" s="70"/>
      <c r="V1" s="125"/>
      <c r="X1" s="125"/>
      <c r="Y1" s="125"/>
      <c r="Z1" s="159"/>
      <c r="AA1" s="349"/>
      <c r="AB1" s="349"/>
      <c r="AC1" s="466"/>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69"/>
      <c r="CH1" s="194"/>
      <c r="CI1" s="69"/>
      <c r="CJ1" s="69"/>
      <c r="CK1" s="69"/>
      <c r="CL1" s="69"/>
      <c r="CM1" s="69"/>
      <c r="CN1" s="69"/>
      <c r="CO1" s="159"/>
      <c r="CP1" s="159"/>
      <c r="CQ1" s="125"/>
      <c r="CR1" s="125"/>
      <c r="CS1" s="194"/>
      <c r="CT1" s="194"/>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row>
    <row r="2" spans="1:146" s="192" customFormat="1" ht="13.5" hidden="1" thickBot="1" x14ac:dyDescent="0.35">
      <c r="A2" s="191"/>
      <c r="C2" s="193"/>
      <c r="D2" s="193"/>
      <c r="E2" s="193"/>
      <c r="F2" s="193"/>
      <c r="G2" s="193"/>
      <c r="H2" s="193"/>
      <c r="I2" s="193"/>
      <c r="J2" s="4"/>
      <c r="K2" s="4"/>
      <c r="L2" s="4"/>
      <c r="M2" s="4"/>
      <c r="N2" s="4"/>
      <c r="O2" s="4"/>
      <c r="P2" s="4"/>
      <c r="R2" s="70"/>
      <c r="S2" s="70"/>
      <c r="T2" s="123"/>
      <c r="U2" s="70"/>
      <c r="W2" s="194"/>
      <c r="X2" s="125"/>
      <c r="Y2" s="125"/>
      <c r="Z2" s="350"/>
      <c r="AA2" s="302"/>
      <c r="AB2" s="302"/>
      <c r="AC2" s="467"/>
      <c r="AD2" s="125"/>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69"/>
      <c r="CH2" s="194"/>
      <c r="CI2" s="69"/>
      <c r="CJ2" s="69"/>
      <c r="CK2" s="69"/>
      <c r="CL2" s="69"/>
      <c r="CM2" s="69"/>
      <c r="CN2" s="69"/>
      <c r="CO2" s="159"/>
      <c r="CP2" s="159"/>
      <c r="CQ2" s="125"/>
      <c r="CR2" s="125"/>
      <c r="CS2" s="194"/>
      <c r="CT2" s="194"/>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row>
    <row r="3" spans="1:146" s="192" customFormat="1" ht="44.4" hidden="1" customHeight="1" thickBot="1" x14ac:dyDescent="0.35">
      <c r="A3" s="191"/>
      <c r="C3" s="193"/>
      <c r="D3" s="193"/>
      <c r="E3" s="193"/>
      <c r="F3" s="193"/>
      <c r="G3" s="193"/>
      <c r="H3" s="193"/>
      <c r="I3" s="193"/>
      <c r="J3" s="4"/>
      <c r="K3" s="4"/>
      <c r="L3" s="4"/>
      <c r="M3" s="4"/>
      <c r="N3" s="4"/>
      <c r="O3" s="4"/>
      <c r="P3" s="4"/>
      <c r="R3" s="70"/>
      <c r="S3" s="70"/>
      <c r="T3" s="123"/>
      <c r="U3" s="70"/>
      <c r="V3" s="69"/>
      <c r="W3" s="194"/>
      <c r="X3" s="125"/>
      <c r="Y3" s="125"/>
      <c r="Z3" s="351"/>
      <c r="AA3" s="302"/>
      <c r="AB3" s="302"/>
      <c r="AC3" s="467"/>
      <c r="AD3" s="125"/>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69"/>
      <c r="CH3" s="194"/>
      <c r="CI3" s="69"/>
      <c r="CJ3" s="69"/>
      <c r="CK3" s="69"/>
      <c r="CL3" s="69"/>
      <c r="CM3" s="69"/>
      <c r="CN3" s="69"/>
      <c r="CO3" s="159"/>
      <c r="CP3" s="159"/>
      <c r="CQ3" s="617"/>
      <c r="CR3" s="125"/>
      <c r="CS3" s="194"/>
      <c r="CT3" s="194"/>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row>
    <row r="4" spans="1:146" s="5" customFormat="1" ht="13.9" customHeight="1" thickBot="1" x14ac:dyDescent="0.35">
      <c r="A4" s="5" t="s">
        <v>226</v>
      </c>
      <c r="C4" s="56"/>
      <c r="D4" s="6"/>
      <c r="E4" s="6"/>
      <c r="F4" s="6"/>
      <c r="G4" s="6"/>
      <c r="H4" s="200"/>
      <c r="I4" s="609" t="s">
        <v>227</v>
      </c>
      <c r="J4" s="110">
        <v>0.25</v>
      </c>
      <c r="K4" s="110">
        <v>0.2</v>
      </c>
      <c r="L4" s="110">
        <v>0.1</v>
      </c>
      <c r="M4" s="110">
        <v>0.25</v>
      </c>
      <c r="N4" s="110">
        <v>0.1</v>
      </c>
      <c r="O4" s="110">
        <v>0.2</v>
      </c>
      <c r="P4" s="8"/>
      <c r="R4" s="58"/>
      <c r="S4" s="58"/>
      <c r="T4" s="121"/>
      <c r="W4" s="58"/>
      <c r="X4" s="58"/>
      <c r="Y4" s="58"/>
      <c r="Z4" s="58"/>
      <c r="AA4" s="58"/>
      <c r="AB4" s="58"/>
      <c r="AC4" s="288"/>
      <c r="AD4" s="195"/>
      <c r="AE4" s="64" t="s">
        <v>229</v>
      </c>
      <c r="AF4" s="65"/>
      <c r="AG4" s="65"/>
      <c r="AH4" s="65"/>
      <c r="AI4" s="65"/>
      <c r="AJ4" s="569"/>
      <c r="AK4" s="65"/>
      <c r="AL4" s="65"/>
      <c r="AM4" s="65"/>
      <c r="AN4" s="65"/>
      <c r="AO4" s="65"/>
      <c r="AP4" s="64" t="s">
        <v>229</v>
      </c>
      <c r="AQ4" s="65"/>
      <c r="AR4" s="65"/>
      <c r="AS4" s="65"/>
      <c r="AT4" s="65"/>
      <c r="AU4" s="65"/>
      <c r="AV4" s="65"/>
      <c r="AW4" s="65"/>
      <c r="AX4" s="65"/>
      <c r="AY4" s="65"/>
      <c r="AZ4" s="65"/>
      <c r="BA4" s="64" t="s">
        <v>229</v>
      </c>
      <c r="BB4" s="65"/>
      <c r="BC4" s="65"/>
      <c r="BD4" s="65"/>
      <c r="BE4" s="65"/>
      <c r="BF4" s="65"/>
      <c r="BG4" s="65"/>
      <c r="BH4" s="65"/>
      <c r="BI4" s="65"/>
      <c r="BJ4" s="65"/>
      <c r="BK4" s="65"/>
      <c r="BL4" s="64" t="s">
        <v>229</v>
      </c>
      <c r="BM4" s="65"/>
      <c r="BN4" s="65"/>
      <c r="BO4" s="65"/>
      <c r="BP4" s="65"/>
      <c r="BQ4" s="65"/>
      <c r="BR4" s="65"/>
      <c r="BS4" s="65"/>
      <c r="BT4" s="65"/>
      <c r="BU4" s="65"/>
      <c r="BV4" s="65"/>
      <c r="BW4" s="64" t="s">
        <v>229</v>
      </c>
      <c r="BX4" s="65"/>
      <c r="BY4" s="65"/>
      <c r="BZ4" s="65"/>
      <c r="CA4" s="65"/>
      <c r="CB4" s="65"/>
      <c r="CC4" s="65"/>
      <c r="CD4" s="65"/>
      <c r="CE4" s="65"/>
      <c r="CF4" s="65"/>
      <c r="CG4" s="65"/>
      <c r="CH4" s="65"/>
      <c r="CI4" s="65"/>
      <c r="CJ4" s="65"/>
      <c r="CK4" s="65"/>
      <c r="CL4" s="65"/>
      <c r="CM4" s="65"/>
      <c r="CN4" s="66"/>
      <c r="CO4" s="157"/>
      <c r="CP4" s="157"/>
      <c r="CQ4" s="617"/>
      <c r="CR4" s="354"/>
      <c r="CS4" s="390"/>
      <c r="CT4" s="203"/>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row>
    <row r="5" spans="1:146" s="5" customFormat="1" ht="15" customHeight="1" thickBot="1" x14ac:dyDescent="0.35">
      <c r="A5" s="5" t="s">
        <v>230</v>
      </c>
      <c r="C5" s="6"/>
      <c r="D5" s="6"/>
      <c r="E5" s="6"/>
      <c r="F5" s="6"/>
      <c r="G5" s="6"/>
      <c r="H5" s="6"/>
      <c r="I5" s="609"/>
      <c r="J5" s="7" t="s">
        <v>231</v>
      </c>
      <c r="K5" s="7" t="s">
        <v>231</v>
      </c>
      <c r="L5" s="7">
        <v>2500</v>
      </c>
      <c r="M5" s="7" t="s">
        <v>231</v>
      </c>
      <c r="N5" s="129">
        <v>0.5</v>
      </c>
      <c r="O5" s="111">
        <v>0.08</v>
      </c>
      <c r="P5" s="7"/>
      <c r="T5" s="612"/>
      <c r="W5" s="58"/>
      <c r="X5" s="616" t="s">
        <v>3641</v>
      </c>
      <c r="Y5" s="58"/>
      <c r="Z5" s="58"/>
      <c r="AA5" s="58"/>
      <c r="AB5" s="58"/>
      <c r="AC5" s="288"/>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68"/>
      <c r="CH5" s="195"/>
      <c r="CI5" s="68"/>
      <c r="CJ5" s="68"/>
      <c r="CK5" s="68"/>
      <c r="CL5" s="68"/>
      <c r="CM5" s="68"/>
      <c r="CN5" s="68"/>
      <c r="CO5" s="157"/>
      <c r="CP5" s="157"/>
      <c r="CQ5" s="618"/>
      <c r="CR5" s="354"/>
      <c r="CS5" s="390"/>
      <c r="CT5" s="203"/>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row>
    <row r="6" spans="1:146" s="5" customFormat="1" ht="16.5" customHeight="1" thickBot="1" x14ac:dyDescent="0.45">
      <c r="A6" s="5" t="s">
        <v>232</v>
      </c>
      <c r="C6" s="193"/>
      <c r="D6" s="193"/>
      <c r="E6" s="161"/>
      <c r="F6" s="193"/>
      <c r="G6" s="193"/>
      <c r="H6" s="6"/>
      <c r="I6" s="609"/>
      <c r="J6" s="7" t="s">
        <v>231</v>
      </c>
      <c r="K6" s="7" t="s">
        <v>231</v>
      </c>
      <c r="L6" s="7">
        <v>500</v>
      </c>
      <c r="M6" s="7" t="s">
        <v>231</v>
      </c>
      <c r="N6" s="129">
        <v>0.35</v>
      </c>
      <c r="O6" s="111">
        <v>0</v>
      </c>
      <c r="P6" s="7"/>
      <c r="T6" s="612"/>
      <c r="U6" s="358" t="s">
        <v>228</v>
      </c>
      <c r="V6" s="356" t="s">
        <v>3784</v>
      </c>
      <c r="W6" s="69"/>
      <c r="X6" s="616"/>
      <c r="Y6" s="194"/>
      <c r="Z6" s="70"/>
      <c r="AA6" s="623" t="s">
        <v>235</v>
      </c>
      <c r="AB6" s="624"/>
      <c r="AC6" s="104"/>
      <c r="AD6" s="194"/>
      <c r="AE6" s="71">
        <f>X7</f>
        <v>0.80084070303580235</v>
      </c>
      <c r="AF6" s="194" t="s">
        <v>236</v>
      </c>
      <c r="AG6" s="194"/>
      <c r="AH6" s="194"/>
      <c r="AI6" s="194"/>
      <c r="AJ6" s="194"/>
      <c r="AK6" s="194"/>
      <c r="AL6" s="194"/>
      <c r="AM6" s="194"/>
      <c r="AN6" s="194"/>
      <c r="AO6" s="194"/>
      <c r="AP6" s="71">
        <f>AM93/AL93</f>
        <v>0.79813464638324438</v>
      </c>
      <c r="AQ6" s="194" t="s">
        <v>237</v>
      </c>
      <c r="AR6" s="194"/>
      <c r="AS6" s="194"/>
      <c r="AT6" s="194"/>
      <c r="AU6" s="194"/>
      <c r="AV6" s="194"/>
      <c r="AW6" s="194"/>
      <c r="AX6" s="194"/>
      <c r="AY6" s="194"/>
      <c r="AZ6" s="194"/>
      <c r="BA6" s="71">
        <f>AW93/AV93</f>
        <v>0.79910857663923451</v>
      </c>
      <c r="BB6" s="194" t="s">
        <v>238</v>
      </c>
      <c r="BC6" s="194"/>
      <c r="BD6" s="194"/>
      <c r="BE6" s="194"/>
      <c r="BF6" s="194"/>
      <c r="BG6" s="194"/>
      <c r="BH6" s="194"/>
      <c r="BI6" s="194"/>
      <c r="BJ6" s="194"/>
      <c r="BK6" s="194"/>
      <c r="BL6" s="71">
        <f>BH93/BG93</f>
        <v>0.79910858672331553</v>
      </c>
      <c r="BM6" s="194" t="s">
        <v>239</v>
      </c>
      <c r="BN6" s="194"/>
      <c r="BO6" s="194"/>
      <c r="BP6" s="194"/>
      <c r="BQ6" s="194"/>
      <c r="BR6" s="194"/>
      <c r="BS6" s="194"/>
      <c r="BT6" s="194"/>
      <c r="BU6" s="194"/>
      <c r="BV6" s="194"/>
      <c r="BW6" s="71">
        <f>BS93/BR93</f>
        <v>0.79910858672331553</v>
      </c>
      <c r="BX6" s="194" t="s">
        <v>240</v>
      </c>
      <c r="BY6" s="194"/>
      <c r="BZ6" s="194"/>
      <c r="CA6" s="194"/>
      <c r="CB6" s="194"/>
      <c r="CC6" s="194"/>
      <c r="CD6" s="194"/>
      <c r="CE6" s="194"/>
      <c r="CF6" s="194"/>
      <c r="CG6" s="69"/>
      <c r="CH6" s="72">
        <f>BW6</f>
        <v>0.79910858672331553</v>
      </c>
      <c r="CI6" s="194" t="s">
        <v>3642</v>
      </c>
      <c r="CJ6" s="69"/>
      <c r="CK6" s="69"/>
      <c r="CL6" s="69"/>
      <c r="CM6" s="69"/>
      <c r="CN6" s="69"/>
      <c r="CO6" s="157"/>
      <c r="CP6" s="157"/>
      <c r="CQ6" s="160" t="s">
        <v>3650</v>
      </c>
      <c r="CR6" s="355"/>
      <c r="CS6" s="203"/>
      <c r="CT6" s="203"/>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row>
    <row r="7" spans="1:146" ht="13.5" thickBot="1" x14ac:dyDescent="0.35">
      <c r="A7" s="191">
        <v>1</v>
      </c>
      <c r="B7" s="191"/>
      <c r="C7" s="4">
        <v>3</v>
      </c>
      <c r="D7" s="4">
        <v>4</v>
      </c>
      <c r="E7" s="4">
        <v>5</v>
      </c>
      <c r="F7" s="4">
        <v>6</v>
      </c>
      <c r="G7" s="4">
        <v>7</v>
      </c>
      <c r="H7" s="4">
        <v>8</v>
      </c>
      <c r="I7" s="4">
        <v>9</v>
      </c>
      <c r="J7" s="613" t="s">
        <v>241</v>
      </c>
      <c r="K7" s="614"/>
      <c r="L7" s="614"/>
      <c r="M7" s="615"/>
      <c r="N7" s="4">
        <v>14</v>
      </c>
      <c r="O7" s="4">
        <v>15</v>
      </c>
      <c r="P7" s="4">
        <v>16</v>
      </c>
      <c r="Q7" s="192"/>
      <c r="R7" s="348" t="s">
        <v>233</v>
      </c>
      <c r="S7" s="357">
        <v>1.02</v>
      </c>
      <c r="T7" s="612"/>
      <c r="U7" s="572" t="s">
        <v>234</v>
      </c>
      <c r="V7" s="573">
        <v>9.1800000000000007E-2</v>
      </c>
      <c r="W7" s="68"/>
      <c r="X7" s="72">
        <f>$U$93/$X$93</f>
        <v>0.80084070303580235</v>
      </c>
      <c r="Y7" s="195"/>
      <c r="Z7" s="67"/>
      <c r="AA7" s="610">
        <v>0.1</v>
      </c>
      <c r="AB7" s="611"/>
      <c r="AC7" s="468"/>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73"/>
      <c r="BB7" s="74"/>
      <c r="BC7" s="74"/>
      <c r="BD7" s="74"/>
      <c r="BE7" s="73"/>
      <c r="BF7" s="73"/>
      <c r="BG7" s="75"/>
      <c r="BH7" s="75"/>
      <c r="BI7" s="76"/>
      <c r="BJ7" s="74"/>
      <c r="BK7" s="195"/>
      <c r="BL7" s="73"/>
      <c r="BM7" s="73"/>
      <c r="BN7" s="74"/>
      <c r="BO7" s="74"/>
      <c r="BP7" s="73"/>
      <c r="BQ7" s="73"/>
      <c r="BR7" s="75"/>
      <c r="BS7" s="75"/>
      <c r="BT7" s="76"/>
      <c r="BU7" s="74"/>
      <c r="BV7" s="195"/>
      <c r="BW7" s="195"/>
      <c r="BX7" s="195"/>
      <c r="BY7" s="195"/>
      <c r="BZ7" s="195"/>
      <c r="CA7" s="195"/>
      <c r="CB7" s="195"/>
      <c r="CC7" s="195"/>
      <c r="CD7" s="195"/>
      <c r="CE7" s="195"/>
      <c r="CF7" s="195"/>
      <c r="CG7" s="68"/>
      <c r="CH7" s="195"/>
      <c r="CI7" s="68"/>
      <c r="CJ7" s="68"/>
      <c r="CK7" s="68"/>
      <c r="CL7" s="141"/>
      <c r="CM7" s="141"/>
      <c r="CN7" s="141"/>
      <c r="CO7" s="155"/>
      <c r="CP7" s="155"/>
      <c r="CQ7" s="207">
        <v>1.03</v>
      </c>
      <c r="CR7" s="352"/>
      <c r="CS7" s="621" t="s">
        <v>4</v>
      </c>
      <c r="CT7" s="622"/>
    </row>
    <row r="8" spans="1:146" s="54" customFormat="1" ht="68.5" thickBot="1" x14ac:dyDescent="0.35">
      <c r="A8" s="52" t="s">
        <v>242</v>
      </c>
      <c r="B8" s="52"/>
      <c r="C8" s="115" t="s">
        <v>243</v>
      </c>
      <c r="D8" s="63" t="s">
        <v>244</v>
      </c>
      <c r="E8" s="63" t="s">
        <v>2</v>
      </c>
      <c r="F8" s="63" t="s">
        <v>245</v>
      </c>
      <c r="G8" s="63" t="s">
        <v>3</v>
      </c>
      <c r="H8" s="130" t="s">
        <v>246</v>
      </c>
      <c r="I8" s="336" t="s">
        <v>3636</v>
      </c>
      <c r="J8" s="339" t="s">
        <v>247</v>
      </c>
      <c r="K8" s="340" t="s">
        <v>248</v>
      </c>
      <c r="L8" s="340" t="s">
        <v>249</v>
      </c>
      <c r="M8" s="341" t="s">
        <v>250</v>
      </c>
      <c r="N8" s="62" t="s">
        <v>251</v>
      </c>
      <c r="O8" s="109" t="s">
        <v>252</v>
      </c>
      <c r="P8" s="53" t="s">
        <v>253</v>
      </c>
      <c r="R8" s="77" t="s">
        <v>3648</v>
      </c>
      <c r="S8" s="78" t="s">
        <v>3649</v>
      </c>
      <c r="T8" s="612"/>
      <c r="U8" s="124" t="s">
        <v>3733</v>
      </c>
      <c r="V8" s="79" t="s">
        <v>3734</v>
      </c>
      <c r="W8" s="80" t="s">
        <v>3647</v>
      </c>
      <c r="X8" s="81" t="s">
        <v>3735</v>
      </c>
      <c r="Y8" s="198"/>
      <c r="Z8" s="80" t="s">
        <v>3787</v>
      </c>
      <c r="AA8" s="82" t="s">
        <v>254</v>
      </c>
      <c r="AB8" s="82" t="s">
        <v>255</v>
      </c>
      <c r="AC8" s="568"/>
      <c r="AD8" s="194"/>
      <c r="AE8" s="83" t="s">
        <v>256</v>
      </c>
      <c r="AF8" s="83" t="s">
        <v>257</v>
      </c>
      <c r="AG8" s="83" t="s">
        <v>258</v>
      </c>
      <c r="AH8" s="83" t="s">
        <v>259</v>
      </c>
      <c r="AI8" s="83" t="s">
        <v>260</v>
      </c>
      <c r="AJ8" s="198"/>
      <c r="AK8" s="83" t="s">
        <v>261</v>
      </c>
      <c r="AL8" s="83" t="s">
        <v>262</v>
      </c>
      <c r="AM8" s="83" t="s">
        <v>263</v>
      </c>
      <c r="AN8" s="83" t="s">
        <v>264</v>
      </c>
      <c r="AO8" s="195"/>
      <c r="AP8" s="83" t="s">
        <v>265</v>
      </c>
      <c r="AQ8" s="83" t="s">
        <v>266</v>
      </c>
      <c r="AR8" s="83" t="s">
        <v>258</v>
      </c>
      <c r="AS8" s="83" t="s">
        <v>259</v>
      </c>
      <c r="AT8" s="83" t="s">
        <v>260</v>
      </c>
      <c r="AU8" s="83" t="s">
        <v>261</v>
      </c>
      <c r="AV8" s="83" t="s">
        <v>262</v>
      </c>
      <c r="AW8" s="83" t="s">
        <v>263</v>
      </c>
      <c r="AX8" s="83" t="s">
        <v>264</v>
      </c>
      <c r="AY8" s="83" t="s">
        <v>267</v>
      </c>
      <c r="AZ8" s="195"/>
      <c r="BA8" s="84" t="s">
        <v>268</v>
      </c>
      <c r="BB8" s="83" t="s">
        <v>266</v>
      </c>
      <c r="BC8" s="83" t="s">
        <v>258</v>
      </c>
      <c r="BD8" s="83" t="s">
        <v>259</v>
      </c>
      <c r="BE8" s="83" t="s">
        <v>260</v>
      </c>
      <c r="BF8" s="83" t="s">
        <v>261</v>
      </c>
      <c r="BG8" s="83" t="s">
        <v>262</v>
      </c>
      <c r="BH8" s="83" t="s">
        <v>263</v>
      </c>
      <c r="BI8" s="83" t="s">
        <v>264</v>
      </c>
      <c r="BJ8" s="83" t="s">
        <v>267</v>
      </c>
      <c r="BK8" s="195"/>
      <c r="BL8" s="84" t="s">
        <v>269</v>
      </c>
      <c r="BM8" s="83" t="s">
        <v>266</v>
      </c>
      <c r="BN8" s="83" t="s">
        <v>258</v>
      </c>
      <c r="BO8" s="83" t="s">
        <v>259</v>
      </c>
      <c r="BP8" s="83" t="s">
        <v>260</v>
      </c>
      <c r="BQ8" s="83" t="s">
        <v>261</v>
      </c>
      <c r="BR8" s="83" t="s">
        <v>262</v>
      </c>
      <c r="BS8" s="83" t="s">
        <v>263</v>
      </c>
      <c r="BT8" s="83" t="s">
        <v>264</v>
      </c>
      <c r="BU8" s="83" t="s">
        <v>267</v>
      </c>
      <c r="BV8" s="195"/>
      <c r="BW8" s="84" t="s">
        <v>270</v>
      </c>
      <c r="BX8" s="83" t="s">
        <v>266</v>
      </c>
      <c r="BY8" s="83" t="s">
        <v>258</v>
      </c>
      <c r="BZ8" s="83" t="s">
        <v>259</v>
      </c>
      <c r="CA8" s="83" t="s">
        <v>260</v>
      </c>
      <c r="CB8" s="83" t="s">
        <v>261</v>
      </c>
      <c r="CC8" s="83" t="s">
        <v>262</v>
      </c>
      <c r="CD8" s="83" t="s">
        <v>263</v>
      </c>
      <c r="CE8" s="83" t="s">
        <v>264</v>
      </c>
      <c r="CF8" s="83" t="s">
        <v>267</v>
      </c>
      <c r="CG8" s="68"/>
      <c r="CH8" s="84" t="s">
        <v>271</v>
      </c>
      <c r="CI8" s="83" t="s">
        <v>266</v>
      </c>
      <c r="CJ8" s="83" t="s">
        <v>258</v>
      </c>
      <c r="CK8" s="83" t="s">
        <v>259</v>
      </c>
      <c r="CL8" s="85" t="s">
        <v>272</v>
      </c>
      <c r="CM8" s="83" t="s">
        <v>261</v>
      </c>
      <c r="CN8" s="83" t="s">
        <v>273</v>
      </c>
      <c r="CO8" s="189" t="s">
        <v>3773</v>
      </c>
      <c r="CP8" s="594"/>
      <c r="CQ8" s="156" t="s">
        <v>3789</v>
      </c>
      <c r="CR8" s="198"/>
      <c r="CS8" s="80" t="s">
        <v>215</v>
      </c>
      <c r="CT8" s="80" t="s">
        <v>225</v>
      </c>
      <c r="CU8" s="189" t="s">
        <v>3774</v>
      </c>
      <c r="CV8" s="189" t="s">
        <v>3775</v>
      </c>
      <c r="CW8" s="189" t="s">
        <v>3776</v>
      </c>
      <c r="CX8" s="189" t="s">
        <v>3777</v>
      </c>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row>
    <row r="9" spans="1:146" x14ac:dyDescent="0.3">
      <c r="A9" s="131">
        <v>60001</v>
      </c>
      <c r="B9" s="132"/>
      <c r="C9" s="558">
        <f>VLOOKUP($A9,'Fed Bs Rt+IME+GME+VBP+RAA+HAC'!$B$5:$AG$88,19,FALSE)</f>
        <v>6949.0990279999987</v>
      </c>
      <c r="D9" s="458">
        <f>VLOOKUP($A9,'Fed Bs Rt+IME+GME+VBP+RAA+HAC'!$B$5:$AG$88,25,FALSE)</f>
        <v>554.43776450759992</v>
      </c>
      <c r="E9" s="458">
        <f>VLOOKUP($A9,'Fed Bs Rt+IME+GME+VBP+RAA+HAC'!$B$5:$AG$88,29,FALSE)</f>
        <v>-23.898015100000233</v>
      </c>
      <c r="F9" s="458">
        <f>VLOOKUP($A9,'Fed Bs Rt+IME+GME+VBP+RAA+HAC'!$B$5:$AG$88,27,FALSE)</f>
        <v>0</v>
      </c>
      <c r="G9" s="458">
        <f>VLOOKUP($A9,'Fed Bs Rt+IME+GME+VBP+RAA+HAC'!$B$5:$AG$88,32,FALSE)</f>
        <v>0</v>
      </c>
      <c r="H9" s="458">
        <f>SUM(D9:G9)</f>
        <v>530.53974940759974</v>
      </c>
      <c r="I9" s="458">
        <f>VLOOKUP(A9,'Fed Bs Rt+IME+GME+VBP+RAA+HAC'!$B$5:$U$88,20,FALSE)</f>
        <v>104.43775988462926</v>
      </c>
      <c r="J9" s="459">
        <f>IF(Characteristics!M2="CAH",+C9*J$4,0)</f>
        <v>0</v>
      </c>
      <c r="K9" s="459">
        <f>IF(OR(Characteristics!M2="SCH",Characteristics!M2="MDH"),+C9*K$4,0)</f>
        <v>0</v>
      </c>
      <c r="L9" s="460">
        <f>IF(OR(J9&gt;0,K9&gt;0,M9&gt;0),0,IF(VLOOKUP(A9,Characteristics!A:H,8,FALSE)&lt;=L$6,L$4*C9,IF(VLOOKUP(A9,Characteristics!A:H,8,FALSE)&gt;=L$5,0,(VLOOKUP(A9,Characteristics!A:H,8,FALSE)-L$5)/(L$6-L$5)*L$4*C9)))</f>
        <v>0</v>
      </c>
      <c r="M9" s="539">
        <f>IF(VLOOKUP($A9,Characteristics!$A:$E,3,FALSE)=2,M$4*C9,0)</f>
        <v>0</v>
      </c>
      <c r="N9" s="461">
        <f>IF(VLOOKUP($A9,Characteristics!$A:$K,6,FALSE)&gt;=N$5,N$4*C9,IF(VLOOKUP($A9,Characteristics!$A:$K,6,FALSE)&lt;=N$6,0,(VLOOKUP($A9,Characteristics!$A:$K,6,FALSE)-N$6)/(N$5-N$6)*N$4*C9))</f>
        <v>4.5917032730313547</v>
      </c>
      <c r="O9" s="461">
        <f>IF(VLOOKUP($A9,Characteristics!$A:$K,11,FALSE)&lt;=O$6,O$4*C9,IF(VLOOKUP($A9,Characteristics!$A:$K,11,FALSE)&gt;=O$5,0,(VLOOKUP($A9,Characteristics!$A:$K,11,FALSE)-O$5)/(O$6-O$5)*O$4*C9))</f>
        <v>0</v>
      </c>
      <c r="P9" s="458">
        <f>SUM(C9,H9:O9)</f>
        <v>7588.6682405652591</v>
      </c>
      <c r="Q9" s="458"/>
      <c r="R9" s="86">
        <v>5999.07</v>
      </c>
      <c r="S9" s="87">
        <f t="shared" ref="S9:S40" si="0">ROUND((R9*S$7),2)</f>
        <v>6119.05</v>
      </c>
      <c r="T9" s="471"/>
      <c r="U9" s="88">
        <f>S9*V9*W9</f>
        <v>36894607.548553795</v>
      </c>
      <c r="V9" s="89">
        <v>4689.2810000000009</v>
      </c>
      <c r="W9" s="90">
        <v>1.2857976717112922</v>
      </c>
      <c r="X9" s="91">
        <f t="shared" ref="X9:X40" si="1">P9*V9*W9</f>
        <v>45755621.632741921</v>
      </c>
      <c r="Y9" s="196"/>
      <c r="Z9" s="86">
        <f>S9</f>
        <v>6119.05</v>
      </c>
      <c r="AA9" s="86">
        <f>Z9*(1-$AA$7)</f>
        <v>5507.1450000000004</v>
      </c>
      <c r="AB9" s="86">
        <f>Z9*(1+$AA$7)</f>
        <v>6730.9550000000008</v>
      </c>
      <c r="AC9" s="469"/>
      <c r="AD9" s="194"/>
      <c r="AE9" s="86">
        <f>$P9*AE$6</f>
        <v>6077.3144088797471</v>
      </c>
      <c r="AF9" s="86">
        <f t="shared" ref="AF9:AF40" si="2">AE9*$V9*$W9</f>
        <v>36642964.196205206</v>
      </c>
      <c r="AG9" s="92">
        <f>IF(AE9&lt;=$AA9,1,0)</f>
        <v>0</v>
      </c>
      <c r="AH9" s="92">
        <f>IF(AE9&gt;=$AB9,1,0)</f>
        <v>0</v>
      </c>
      <c r="AI9" s="86">
        <f>MAX(MIN(AE9,$AB9),$AA9)</f>
        <v>6077.3144088797471</v>
      </c>
      <c r="AJ9" s="201"/>
      <c r="AK9" s="86">
        <f t="shared" ref="AK9:AK40" si="3">AI9*$V9*$W9</f>
        <v>36642964.196205206</v>
      </c>
      <c r="AL9" s="93">
        <f t="shared" ref="AL9:AL40" si="4">IF(OR(AND(AG9=1,AK$93&gt;$U$93),AND(AH9=1,AK$93&lt;$U$93)),0,$X9)</f>
        <v>45755621.632741921</v>
      </c>
      <c r="AM9" s="93">
        <f t="shared" ref="AM9:AM72" si="5">IF(OR(AND(AG9=1,AK$93&gt;$U$93),AND(AH9=1,AK$93&lt;$U$93)),$U9-AK9,$U9)</f>
        <v>36894607.548553795</v>
      </c>
      <c r="AN9" s="94">
        <f>IF(OR(AND(AG9=1,AK$93&gt;$U$93),AND(AH9=1,AK$93&lt;$U$93)),1,0)</f>
        <v>0</v>
      </c>
      <c r="AO9" s="95"/>
      <c r="AP9" s="86">
        <f>IF(AN9=1,AI9,$P9*AP$6)</f>
        <v>6056.7790427033106</v>
      </c>
      <c r="AQ9" s="86">
        <f t="shared" ref="AQ9:AQ40" si="6">AP9*$V9*$W9</f>
        <v>36519146.891894005</v>
      </c>
      <c r="AR9" s="92">
        <f>IF(AP9&lt;=$AA9,1,0)</f>
        <v>0</v>
      </c>
      <c r="AS9" s="92">
        <f>IF(AP9&gt;=$AB9,1,0)</f>
        <v>0</v>
      </c>
      <c r="AT9" s="86">
        <f>MAX(MIN(AP9,$AB9),$AA9)</f>
        <v>6056.7790427033106</v>
      </c>
      <c r="AU9" s="86">
        <f t="shared" ref="AU9:AU40" si="7">AT9*$V9*$W9</f>
        <v>36519146.891894005</v>
      </c>
      <c r="AV9" s="93">
        <f t="shared" ref="AV9:AV40" si="8">IF(OR(AND(AR9=1,AU$93&gt;$U$93),AND(AS9=1,AU$93&lt;$U$93),AN9=1),0,$X9)</f>
        <v>45755621.632741921</v>
      </c>
      <c r="AW9" s="93">
        <f t="shared" ref="AW9:AW72" si="9">IF(OR(AND(AR9=1,AU$93&gt;$U$93),AND(AS9=1,AU$93&lt;$U$93),AN9=1),$U9-AU9,$U9)</f>
        <v>36894607.548553795</v>
      </c>
      <c r="AX9" s="94">
        <f t="shared" ref="AX9:AX72" si="10">IF(OR(AND(AR9=1,AU$93&gt;$U$93),AND(AS9=1,AU$93&lt;$U$93),AN9=1),1,0)</f>
        <v>0</v>
      </c>
      <c r="AY9" s="92">
        <f t="shared" ref="AY9:AY74" si="11">IF(AX9=AN9,0,1)</f>
        <v>0</v>
      </c>
      <c r="AZ9" s="95"/>
      <c r="BA9" s="86">
        <f>IF(AX9=1,AT9,$P9*BA$6)</f>
        <v>6064.1698763054683</v>
      </c>
      <c r="BB9" s="86">
        <f t="shared" ref="BB9:BB40" si="12">BA9*$V9*$W9</f>
        <v>36563709.676183768</v>
      </c>
      <c r="BC9" s="92">
        <f>IF(BA9&lt;=$AA9,1,0)</f>
        <v>0</v>
      </c>
      <c r="BD9" s="92">
        <f>IF(BA9&gt;=$AB9,1,0)</f>
        <v>0</v>
      </c>
      <c r="BE9" s="86">
        <f>MAX(MIN(BA9,$AB9),$AA9)</f>
        <v>6064.1698763054683</v>
      </c>
      <c r="BF9" s="86">
        <f t="shared" ref="BF9:BF40" si="13">BE9*$V9*$W9</f>
        <v>36563709.676183768</v>
      </c>
      <c r="BG9" s="96">
        <f t="shared" ref="BG9:BG40" si="14">IF(OR(AND(BC9=1,BF$93&gt;$U$93),AND(BD9=1,BF$93&lt;$U$93),AX9=1),0,$X9)</f>
        <v>45755621.632741921</v>
      </c>
      <c r="BH9" s="96">
        <f t="shared" ref="BH9:BH72" si="15">IF(OR(AND(BC9=1,BF$93&gt;$U$93),AND(BD9=1,BF$93&lt;$U$93),AX9=1),$U9-BF9,$U9)</f>
        <v>36894607.548553795</v>
      </c>
      <c r="BI9" s="94">
        <f t="shared" ref="BI9:BI72" si="16">IF(OR(AND(BC9=1,BF$93&gt;$U$93),AND(BD9=1,BF$93&lt;$U$93),AX9=1),1,0)</f>
        <v>0</v>
      </c>
      <c r="BJ9" s="92">
        <f t="shared" ref="BJ9:BJ72" si="17">IF(BI9=AX9,0,1)</f>
        <v>0</v>
      </c>
      <c r="BK9" s="95"/>
      <c r="BL9" s="86">
        <f>IF(BI9=1,BE9,$P9*BL$6)</f>
        <v>6064.1699528302133</v>
      </c>
      <c r="BM9" s="86">
        <f t="shared" ref="BM9:BM40" si="18">BL9*$V9*$W9</f>
        <v>36563710.13758716</v>
      </c>
      <c r="BN9" s="92">
        <f>IF(BL9&lt;=$AA9,1,0)</f>
        <v>0</v>
      </c>
      <c r="BO9" s="92">
        <f>IF(BL9&gt;=$AB9,1,0)</f>
        <v>0</v>
      </c>
      <c r="BP9" s="86">
        <f>MAX(MIN(BL9,$AB9),$AA9)</f>
        <v>6064.1699528302133</v>
      </c>
      <c r="BQ9" s="86">
        <f t="shared" ref="BQ9:BQ40" si="19">BP9*$V9*$W9</f>
        <v>36563710.13758716</v>
      </c>
      <c r="BR9" s="93">
        <f t="shared" ref="BR9:BR40" si="20">IF(OR(AND(BN9=1,BQ$93&gt;$U$93),AND(BO9=1,BQ$93&lt;$U$93),BI9=1),0,$X9)</f>
        <v>45755621.632741921</v>
      </c>
      <c r="BS9" s="93">
        <f t="shared" ref="BS9:BS72" si="21">IF(OR(AND(BN9=1,BQ$93&gt;$U$93),AND(BO9=1,BQ$93&lt;$U$93),BI9=1),$U9-BQ9,$U9)</f>
        <v>36894607.548553795</v>
      </c>
      <c r="BT9" s="94">
        <f t="shared" ref="BT9:BT72" si="22">IF(OR(AND(BN9=1,BQ$93&gt;$U$93),AND(BO9=1,BQ$93&lt;$U$93),BI9=1),1,0)</f>
        <v>0</v>
      </c>
      <c r="BU9" s="92">
        <f t="shared" ref="BU9:BU72" si="23">IF(BT9=BI9,0,1)</f>
        <v>0</v>
      </c>
      <c r="BV9" s="95"/>
      <c r="BW9" s="86">
        <f>IF(BT9=1,BP9,$P9*BW$6)</f>
        <v>6064.1699528302133</v>
      </c>
      <c r="BX9" s="86">
        <f t="shared" ref="BX9:BX40" si="24">BW9*$V9*$W9</f>
        <v>36563710.13758716</v>
      </c>
      <c r="BY9" s="92">
        <f>IF(BW9&lt;=$AA9,1,0)</f>
        <v>0</v>
      </c>
      <c r="BZ9" s="92">
        <f>IF(BW9&gt;=$AB9,1,0)</f>
        <v>0</v>
      </c>
      <c r="CA9" s="86">
        <f>MAX(MIN(BW9,$AB9),$AA9)</f>
        <v>6064.1699528302133</v>
      </c>
      <c r="CB9" s="86">
        <f t="shared" ref="CB9:CB40" si="25">CA9*$V9*$W9</f>
        <v>36563710.13758716</v>
      </c>
      <c r="CC9" s="96">
        <f t="shared" ref="CC9:CC40" si="26">IF(OR(AND(BY9=1,CB$93&gt;$U$93),AND(BZ9=1,CB$93&lt;$U$93),BT9=1),0,$X9)</f>
        <v>45755621.632741921</v>
      </c>
      <c r="CD9" s="96">
        <f t="shared" ref="CD9:CD72" si="27">IF(OR(AND(BY9=1,CB$93&gt;$U$93),AND(BZ9=1,CB$93&lt;$U$93),BT9=1),$U9-CB9,$U9)</f>
        <v>36894607.548553795</v>
      </c>
      <c r="CE9" s="94">
        <f t="shared" ref="CE9:CE72" si="28">IF(OR(AND(BY9=1,CB$93&gt;$U$93),AND(BZ9=1,CB$93&lt;$U$93),BT9=1),1,0)</f>
        <v>0</v>
      </c>
      <c r="CF9" s="92">
        <f t="shared" ref="CF9:CF72" si="29">IF(CE9=BT9,0,1)</f>
        <v>0</v>
      </c>
      <c r="CG9" s="67"/>
      <c r="CH9" s="86">
        <f t="shared" ref="CH9:CH72" si="30">$P9*CH$6</f>
        <v>6064.1699528302133</v>
      </c>
      <c r="CI9" s="86">
        <f t="shared" ref="CI9:CI40" si="31">CH9*$V9*$W9</f>
        <v>36563710.13758716</v>
      </c>
      <c r="CJ9" s="92">
        <f>IF(CH9&lt;=$AA9,1,0)</f>
        <v>0</v>
      </c>
      <c r="CK9" s="92">
        <f>IF(CH9&gt;=$AB9,1,0)</f>
        <v>0</v>
      </c>
      <c r="CL9" s="86">
        <f>MAX(MIN(CH9,$AB9),$AA9)</f>
        <v>6064.1699528302133</v>
      </c>
      <c r="CM9" s="86">
        <f t="shared" ref="CM9:CM40" si="32">CL9*$V9*$W9</f>
        <v>36563710.13758716</v>
      </c>
      <c r="CN9" s="97">
        <f t="shared" ref="CN9:CN72" si="33">CL9/Z9</f>
        <v>0.99103127982778583</v>
      </c>
      <c r="CO9" s="554">
        <f t="shared" ref="CO9:CO40" si="34">A9</f>
        <v>60001</v>
      </c>
      <c r="CP9" s="153"/>
      <c r="CQ9" s="153">
        <f t="shared" ref="CQ9:CQ40" si="35">ROUND(CL9*CQ$7,2)</f>
        <v>6246.1</v>
      </c>
      <c r="CR9" s="353"/>
      <c r="CS9" s="391" t="str">
        <f>VLOOKUP(A9,Characteristics!A2:M85,13,FALSE)</f>
        <v/>
      </c>
      <c r="CT9" s="206">
        <f>VLOOKUP(A9,Characteristics!A2:C85,3,FALSE)</f>
        <v>0</v>
      </c>
      <c r="CU9" s="557">
        <f>IF(CT9=0,CQ9,"")</f>
        <v>6246.1</v>
      </c>
      <c r="CV9" s="557" t="str">
        <f>IF(CT9=1,CQ9,"")</f>
        <v/>
      </c>
    </row>
    <row r="10" spans="1:146" x14ac:dyDescent="0.3">
      <c r="A10" s="131">
        <v>60003</v>
      </c>
      <c r="B10" s="132"/>
      <c r="C10" s="558">
        <f>VLOOKUP($A10,'Fed Bs Rt+IME+GME+VBP+RAA+HAC'!$B$5:$AG$88,19,FALSE)</f>
        <v>6918.4759729999996</v>
      </c>
      <c r="D10" s="458">
        <f>VLOOKUP($A10,'Fed Bs Rt+IME+GME+VBP+RAA+HAC'!$B$5:$AG$88,25,FALSE)</f>
        <v>0</v>
      </c>
      <c r="E10" s="458">
        <f>VLOOKUP($A10,'Fed Bs Rt+IME+GME+VBP+RAA+HAC'!$B$5:$AG$88,29,FALSE)</f>
        <v>-28.937146499999667</v>
      </c>
      <c r="F10" s="458">
        <f>VLOOKUP($A10,'Fed Bs Rt+IME+GME+VBP+RAA+HAC'!$B$5:$AG$88,27,FALSE)</f>
        <v>0</v>
      </c>
      <c r="G10" s="458">
        <f>VLOOKUP($A10,'Fed Bs Rt+IME+GME+VBP+RAA+HAC'!$B$5:$AG$88,32,FALSE)</f>
        <v>0</v>
      </c>
      <c r="H10" s="458">
        <f t="shared" ref="H10:H73" si="36">SUM(D10:G10)</f>
        <v>-28.937146499999667</v>
      </c>
      <c r="I10" s="458">
        <f>VLOOKUP(A10,'Fed Bs Rt+IME+GME+VBP+RAA+HAC'!$B$5:$U$88,20,FALSE)</f>
        <v>0</v>
      </c>
      <c r="J10" s="459">
        <f>IF(Characteristics!M3="CAH",+C10*J$4,0)</f>
        <v>0</v>
      </c>
      <c r="K10" s="459">
        <f>IF(OR(Characteristics!M3="SCH",Characteristics!M3="MDH"),+C10*K$4,0)</f>
        <v>0</v>
      </c>
      <c r="L10" s="460">
        <f>IF(OR(J10&gt;0,K10&gt;0,M10&gt;0),0,IF(VLOOKUP(A10,Characteristics!A:H,8,FALSE)&lt;=L$6,L$4*C10,IF(VLOOKUP(A10,Characteristics!A:H,8,FALSE)&gt;=L$5,0,(VLOOKUP(A10,Characteristics!A:H,8,FALSE)-L$5)/(L$6-L$5)*L$4*C10)))</f>
        <v>0</v>
      </c>
      <c r="M10" s="540">
        <f>IF(VLOOKUP($A10,Characteristics!$A:$E,3,FALSE)=2,M$4*C10,0)</f>
        <v>0</v>
      </c>
      <c r="N10" s="461">
        <f>IF(VLOOKUP($A10,Characteristics!$A:$K,6,FALSE)&gt;=N$5,N$4*C10,IF(VLOOKUP($A10,Characteristics!$A:$K,6,FALSE)&lt;=N$6,0,(VLOOKUP($A10,Characteristics!$A:$K,6,FALSE)-N$6)/(N$5-N$6)*N$4*C10))</f>
        <v>0</v>
      </c>
      <c r="O10" s="461">
        <f>IF(VLOOKUP($A10,Characteristics!$A:$K,11,FALSE)&lt;=O$6,O$4*C10,IF(VLOOKUP($A10,Characteristics!$A:$K,11,FALSE)&gt;=O$5,0,(VLOOKUP($A10,Characteristics!$A:$K,11,FALSE)-O$5)/(O$6-O$5)*O$4*C10))</f>
        <v>0</v>
      </c>
      <c r="P10" s="458">
        <f t="shared" ref="P10:P73" si="37">SUM(C10,H10:O10)</f>
        <v>6889.5388265000001</v>
      </c>
      <c r="Q10" s="458"/>
      <c r="R10" s="86">
        <v>5394.49</v>
      </c>
      <c r="S10" s="87">
        <f t="shared" si="0"/>
        <v>5502.38</v>
      </c>
      <c r="T10" s="471"/>
      <c r="U10" s="86">
        <f t="shared" ref="U10:U40" si="38">S10*V10*W10</f>
        <v>8888268.8252838869</v>
      </c>
      <c r="V10" s="89">
        <v>1245.7438000000002</v>
      </c>
      <c r="W10" s="90">
        <v>1.2966950920245399</v>
      </c>
      <c r="X10" s="91">
        <f t="shared" si="1"/>
        <v>11129015.657254292</v>
      </c>
      <c r="Y10" s="196"/>
      <c r="Z10" s="86">
        <f t="shared" ref="Z10:Z73" si="39">S10</f>
        <v>5502.38</v>
      </c>
      <c r="AA10" s="86">
        <f t="shared" ref="AA10:AA73" si="40">Z10*(1-$AA$7)</f>
        <v>4952.1419999999998</v>
      </c>
      <c r="AB10" s="86">
        <f t="shared" ref="AB10:AB73" si="41">Z10*(1+$AA$7)</f>
        <v>6052.6180000000004</v>
      </c>
      <c r="AC10" s="469"/>
      <c r="AD10" s="98"/>
      <c r="AE10" s="86">
        <f t="shared" ref="AE10:AE73" si="42">$P10*AE$6</f>
        <v>5517.4231174067172</v>
      </c>
      <c r="AF10" s="86">
        <f t="shared" si="2"/>
        <v>8912568.723051982</v>
      </c>
      <c r="AG10" s="92">
        <f t="shared" ref="AG10:AG73" si="43">IF(AE10&lt;=$AA10,1,0)</f>
        <v>0</v>
      </c>
      <c r="AH10" s="92">
        <f t="shared" ref="AH10:AH73" si="44">IF(AE10&gt;=$AB10,1,0)</f>
        <v>0</v>
      </c>
      <c r="AI10" s="86">
        <f t="shared" ref="AI10:AI73" si="45">MAX(MIN(AE10,$AB10),$AA10)</f>
        <v>5517.4231174067172</v>
      </c>
      <c r="AJ10" s="201"/>
      <c r="AK10" s="86">
        <f t="shared" si="3"/>
        <v>8912568.723051982</v>
      </c>
      <c r="AL10" s="93">
        <f t="shared" si="4"/>
        <v>11129015.657254292</v>
      </c>
      <c r="AM10" s="93">
        <f t="shared" si="5"/>
        <v>8888268.8252838869</v>
      </c>
      <c r="AN10" s="94">
        <f t="shared" ref="AN10:AN73" si="46">IF(OR(AND(AG10=1,AK$93&gt;$U$93),AND(AH10=1,AK$93&lt;$U$93)),1,0)</f>
        <v>0</v>
      </c>
      <c r="AO10" s="95"/>
      <c r="AP10" s="86">
        <f t="shared" ref="AP10:AP73" si="47">IF(AN10=1,AI10,$P10*AP$6)</f>
        <v>5498.7796350322105</v>
      </c>
      <c r="AQ10" s="86">
        <f t="shared" si="6"/>
        <v>8882452.9761962462</v>
      </c>
      <c r="AR10" s="92">
        <f t="shared" ref="AR10:AR73" si="48">IF(AP10&lt;=$AA10,1,0)</f>
        <v>0</v>
      </c>
      <c r="AS10" s="92">
        <f t="shared" ref="AS10:AS73" si="49">IF(AP10&gt;=$AB10,1,0)</f>
        <v>0</v>
      </c>
      <c r="AT10" s="86">
        <f t="shared" ref="AT10:AT73" si="50">MAX(MIN(AP10,$AB10),$AA10)</f>
        <v>5498.7796350322105</v>
      </c>
      <c r="AU10" s="86">
        <f t="shared" si="7"/>
        <v>8882452.9761962462</v>
      </c>
      <c r="AV10" s="93">
        <f t="shared" si="8"/>
        <v>11129015.657254292</v>
      </c>
      <c r="AW10" s="93">
        <f t="shared" si="9"/>
        <v>8888268.8252838869</v>
      </c>
      <c r="AX10" s="94">
        <f t="shared" si="10"/>
        <v>0</v>
      </c>
      <c r="AY10" s="92">
        <f t="shared" si="11"/>
        <v>0</v>
      </c>
      <c r="AZ10" s="95"/>
      <c r="BA10" s="86">
        <f t="shared" ref="BA10:BA73" si="51">IF(AX10=1,AT10,$P10*BA$6)</f>
        <v>5505.4895653451567</v>
      </c>
      <c r="BB10" s="86">
        <f t="shared" si="12"/>
        <v>8893291.8612642325</v>
      </c>
      <c r="BC10" s="92">
        <f t="shared" ref="BC10:BC73" si="52">IF(BA10&lt;=$AA10,1,0)</f>
        <v>0</v>
      </c>
      <c r="BD10" s="92">
        <f t="shared" ref="BD10:BD73" si="53">IF(BA10&gt;=$AB10,1,0)</f>
        <v>0</v>
      </c>
      <c r="BE10" s="86">
        <f t="shared" ref="BE10:BE73" si="54">MAX(MIN(BA10,$AB10),$AA10)</f>
        <v>5505.4895653451567</v>
      </c>
      <c r="BF10" s="86">
        <f t="shared" si="13"/>
        <v>8893291.8612642325</v>
      </c>
      <c r="BG10" s="96">
        <f t="shared" si="14"/>
        <v>11129015.657254292</v>
      </c>
      <c r="BH10" s="96">
        <f t="shared" si="15"/>
        <v>8888268.8252838869</v>
      </c>
      <c r="BI10" s="94">
        <f t="shared" si="16"/>
        <v>0</v>
      </c>
      <c r="BJ10" s="92">
        <f t="shared" si="17"/>
        <v>0</v>
      </c>
      <c r="BK10" s="95"/>
      <c r="BL10" s="86">
        <f t="shared" ref="BL10:BL73" si="55">IF(BI10=1,BE10,$P10*BL$6)</f>
        <v>5505.4896348198245</v>
      </c>
      <c r="BM10" s="86">
        <f t="shared" si="18"/>
        <v>8893291.9734901283</v>
      </c>
      <c r="BN10" s="92">
        <f t="shared" ref="BN10:BN73" si="56">IF(BL10&lt;=$AA10,1,0)</f>
        <v>0</v>
      </c>
      <c r="BO10" s="92">
        <f t="shared" ref="BO10:BO73" si="57">IF(BL10&gt;=$AB10,1,0)</f>
        <v>0</v>
      </c>
      <c r="BP10" s="86">
        <f t="shared" ref="BP10:BP73" si="58">MAX(MIN(BL10,$AB10),$AA10)</f>
        <v>5505.4896348198245</v>
      </c>
      <c r="BQ10" s="86">
        <f t="shared" si="19"/>
        <v>8893291.9734901283</v>
      </c>
      <c r="BR10" s="93">
        <f t="shared" si="20"/>
        <v>11129015.657254292</v>
      </c>
      <c r="BS10" s="93">
        <f t="shared" si="21"/>
        <v>8888268.8252838869</v>
      </c>
      <c r="BT10" s="94">
        <f t="shared" si="22"/>
        <v>0</v>
      </c>
      <c r="BU10" s="92">
        <f t="shared" si="23"/>
        <v>0</v>
      </c>
      <c r="BV10" s="95"/>
      <c r="BW10" s="86">
        <f t="shared" ref="BW10:BW73" si="59">IF(BT10=1,BP10,$P10*BW$6)</f>
        <v>5505.4896348198245</v>
      </c>
      <c r="BX10" s="86">
        <f t="shared" si="24"/>
        <v>8893291.9734901283</v>
      </c>
      <c r="BY10" s="92">
        <f t="shared" ref="BY10:BY73" si="60">IF(BW10&lt;=$AA10,1,0)</f>
        <v>0</v>
      </c>
      <c r="BZ10" s="92">
        <f t="shared" ref="BZ10:BZ73" si="61">IF(BW10&gt;=$AB10,1,0)</f>
        <v>0</v>
      </c>
      <c r="CA10" s="86">
        <f t="shared" ref="CA10:CA73" si="62">MAX(MIN(BW10,$AB10),$AA10)</f>
        <v>5505.4896348198245</v>
      </c>
      <c r="CB10" s="86">
        <f t="shared" si="25"/>
        <v>8893291.9734901283</v>
      </c>
      <c r="CC10" s="96">
        <f t="shared" si="26"/>
        <v>11129015.657254292</v>
      </c>
      <c r="CD10" s="96">
        <f t="shared" si="27"/>
        <v>8888268.8252838869</v>
      </c>
      <c r="CE10" s="94">
        <f t="shared" si="28"/>
        <v>0</v>
      </c>
      <c r="CF10" s="92">
        <f t="shared" si="29"/>
        <v>0</v>
      </c>
      <c r="CG10" s="67"/>
      <c r="CH10" s="86">
        <f t="shared" si="30"/>
        <v>5505.4896348198245</v>
      </c>
      <c r="CI10" s="86">
        <f t="shared" si="31"/>
        <v>8893291.9734901283</v>
      </c>
      <c r="CJ10" s="92">
        <f t="shared" ref="CJ10:CJ73" si="63">IF(CH10&lt;=$AA10,1,0)</f>
        <v>0</v>
      </c>
      <c r="CK10" s="92">
        <f t="shared" ref="CK10:CK73" si="64">IF(CH10&gt;=$AB10,1,0)</f>
        <v>0</v>
      </c>
      <c r="CL10" s="86">
        <f t="shared" ref="CL10:CL73" si="65">MAX(MIN(CH10,$AB10),$AA10)</f>
        <v>5505.4896348198245</v>
      </c>
      <c r="CM10" s="86">
        <f t="shared" si="32"/>
        <v>8893291.9734901283</v>
      </c>
      <c r="CN10" s="97">
        <f t="shared" si="33"/>
        <v>1.0005651435960119</v>
      </c>
      <c r="CO10" s="554">
        <f t="shared" si="34"/>
        <v>60003</v>
      </c>
      <c r="CP10" s="153"/>
      <c r="CQ10" s="153">
        <f t="shared" si="35"/>
        <v>5670.65</v>
      </c>
      <c r="CR10" s="353"/>
      <c r="CS10" s="391" t="str">
        <f>VLOOKUP(A10,Characteristics!A3:M86,13,FALSE)</f>
        <v/>
      </c>
      <c r="CT10" s="206">
        <f>VLOOKUP(A10,Characteristics!A3:C86,3,FALSE)</f>
        <v>0</v>
      </c>
      <c r="CU10" s="557">
        <f t="shared" ref="CU10:CU73" si="66">IF(CT10=0,CQ10,"")</f>
        <v>5670.65</v>
      </c>
      <c r="CV10" s="557" t="str">
        <f t="shared" ref="CV10:CV73" si="67">IF(CT10=1,CQ10,"")</f>
        <v/>
      </c>
    </row>
    <row r="11" spans="1:146" ht="13.9" customHeight="1" x14ac:dyDescent="0.3">
      <c r="A11" s="131">
        <v>60004</v>
      </c>
      <c r="B11" s="132"/>
      <c r="C11" s="558">
        <f>VLOOKUP($A11,'Fed Bs Rt+IME+GME+VBP+RAA+HAC'!$B$5:$AG$88,19,FALSE)</f>
        <v>6918.4759729999996</v>
      </c>
      <c r="D11" s="458">
        <f>VLOOKUP($A11,'Fed Bs Rt+IME+GME+VBP+RAA+HAC'!$B$5:$AG$88,25,FALSE)</f>
        <v>0</v>
      </c>
      <c r="E11" s="458">
        <f>VLOOKUP($A11,'Fed Bs Rt+IME+GME+VBP+RAA+HAC'!$B$5:$AG$88,29,FALSE)</f>
        <v>-11.574858600000153</v>
      </c>
      <c r="F11" s="458">
        <f>VLOOKUP($A11,'Fed Bs Rt+IME+GME+VBP+RAA+HAC'!$B$5:$AG$88,27,FALSE)</f>
        <v>0</v>
      </c>
      <c r="G11" s="458">
        <f>VLOOKUP($A11,'Fed Bs Rt+IME+GME+VBP+RAA+HAC'!$B$5:$AG$88,32,FALSE)</f>
        <v>0</v>
      </c>
      <c r="H11" s="458">
        <f t="shared" si="36"/>
        <v>-11.574858600000153</v>
      </c>
      <c r="I11" s="458">
        <f>VLOOKUP(A11,'Fed Bs Rt+IME+GME+VBP+RAA+HAC'!$B$5:$U$88,20,FALSE)</f>
        <v>0</v>
      </c>
      <c r="J11" s="459">
        <f>IF(Characteristics!M4="CAH",+C11*J$4,0)</f>
        <v>0</v>
      </c>
      <c r="K11" s="459">
        <f>IF(OR(Characteristics!M4="SCH",Characteristics!M4="MDH"),+C11*K$4,0)</f>
        <v>0</v>
      </c>
      <c r="L11" s="460">
        <f>IF(OR(J11&gt;0,K11&gt;0,M11&gt;0),0,IF(VLOOKUP(A11,Characteristics!A:H,8,FALSE)&lt;=L$6,L$4*C11,IF(VLOOKUP(A11,Characteristics!A:H,8,FALSE)&gt;=L$5,0,(VLOOKUP(A11,Characteristics!A:H,8,FALSE)-L$5)/(L$6-L$5)*L$4*C11)))</f>
        <v>0</v>
      </c>
      <c r="M11" s="540">
        <f>IF(VLOOKUP($A11,Characteristics!$A:$E,3,FALSE)=2,M$4*C11,0)</f>
        <v>0</v>
      </c>
      <c r="N11" s="461">
        <f>IF(VLOOKUP($A11,Characteristics!$A:$K,6,FALSE)&gt;=N$5,N$4*C11,IF(VLOOKUP($A11,Characteristics!$A:$K,6,FALSE)&lt;=N$6,0,(VLOOKUP($A11,Characteristics!$A:$K,6,FALSE)-N$6)/(N$5-N$6)*N$4*C11))</f>
        <v>0</v>
      </c>
      <c r="O11" s="461">
        <f>IF(VLOOKUP($A11,Characteristics!$A:$K,11,FALSE)&lt;=O$6,O$4*C11,IF(VLOOKUP($A11,Characteristics!$A:$K,11,FALSE)&gt;=O$5,0,(VLOOKUP($A11,Characteristics!$A:$K,11,FALSE)-O$5)/(O$6-O$5)*O$4*C11))</f>
        <v>0</v>
      </c>
      <c r="P11" s="458">
        <f t="shared" si="37"/>
        <v>6906.9011143999996</v>
      </c>
      <c r="Q11" s="458"/>
      <c r="R11" s="86">
        <v>5881.28</v>
      </c>
      <c r="S11" s="87">
        <f t="shared" si="0"/>
        <v>5998.91</v>
      </c>
      <c r="T11" s="471"/>
      <c r="U11" s="86">
        <f t="shared" si="38"/>
        <v>11580026.061583012</v>
      </c>
      <c r="V11" s="89">
        <v>1873.5288000000003</v>
      </c>
      <c r="W11" s="90">
        <v>1.0303311188811188</v>
      </c>
      <c r="X11" s="91">
        <f t="shared" si="1"/>
        <v>13332771.271702485</v>
      </c>
      <c r="Y11" s="196"/>
      <c r="Z11" s="86">
        <f t="shared" si="39"/>
        <v>5998.91</v>
      </c>
      <c r="AA11" s="86">
        <f t="shared" si="40"/>
        <v>5399.0190000000002</v>
      </c>
      <c r="AB11" s="86">
        <f t="shared" si="41"/>
        <v>6598.8010000000004</v>
      </c>
      <c r="AC11" s="469"/>
      <c r="AD11" s="99"/>
      <c r="AE11" s="86">
        <f t="shared" si="42"/>
        <v>5531.327544254862</v>
      </c>
      <c r="AF11" s="86">
        <f t="shared" si="2"/>
        <v>10677425.918645766</v>
      </c>
      <c r="AG11" s="92">
        <f t="shared" si="43"/>
        <v>0</v>
      </c>
      <c r="AH11" s="92">
        <f t="shared" si="44"/>
        <v>0</v>
      </c>
      <c r="AI11" s="86">
        <f t="shared" si="45"/>
        <v>5531.327544254862</v>
      </c>
      <c r="AJ11" s="201"/>
      <c r="AK11" s="86">
        <f t="shared" si="3"/>
        <v>10677425.918645766</v>
      </c>
      <c r="AL11" s="93">
        <f t="shared" si="4"/>
        <v>13332771.271702485</v>
      </c>
      <c r="AM11" s="93">
        <f t="shared" si="5"/>
        <v>11580026.061583012</v>
      </c>
      <c r="AN11" s="94">
        <f t="shared" si="46"/>
        <v>0</v>
      </c>
      <c r="AO11" s="95"/>
      <c r="AP11" s="86">
        <f t="shared" si="47"/>
        <v>5512.6370785456802</v>
      </c>
      <c r="AQ11" s="86">
        <f t="shared" si="6"/>
        <v>10641346.684248941</v>
      </c>
      <c r="AR11" s="92">
        <f t="shared" si="48"/>
        <v>0</v>
      </c>
      <c r="AS11" s="92">
        <f t="shared" si="49"/>
        <v>0</v>
      </c>
      <c r="AT11" s="86">
        <f t="shared" si="50"/>
        <v>5512.6370785456802</v>
      </c>
      <c r="AU11" s="86">
        <f t="shared" si="7"/>
        <v>10641346.684248941</v>
      </c>
      <c r="AV11" s="93">
        <f t="shared" si="8"/>
        <v>13332771.271702485</v>
      </c>
      <c r="AW11" s="93">
        <f t="shared" si="9"/>
        <v>11580026.061583012</v>
      </c>
      <c r="AX11" s="94">
        <f t="shared" si="10"/>
        <v>0</v>
      </c>
      <c r="AY11" s="92">
        <f t="shared" si="11"/>
        <v>0</v>
      </c>
      <c r="AZ11" s="95"/>
      <c r="BA11" s="86">
        <f t="shared" si="51"/>
        <v>5519.3639185161264</v>
      </c>
      <c r="BB11" s="86">
        <f t="shared" si="12"/>
        <v>10654331.873586649</v>
      </c>
      <c r="BC11" s="92">
        <f t="shared" si="52"/>
        <v>0</v>
      </c>
      <c r="BD11" s="92">
        <f t="shared" si="53"/>
        <v>0</v>
      </c>
      <c r="BE11" s="86">
        <f t="shared" si="54"/>
        <v>5519.3639185161264</v>
      </c>
      <c r="BF11" s="86">
        <f t="shared" si="13"/>
        <v>10654331.873586649</v>
      </c>
      <c r="BG11" s="96">
        <f t="shared" si="14"/>
        <v>13332771.271702485</v>
      </c>
      <c r="BH11" s="96">
        <f t="shared" si="15"/>
        <v>11580026.061583012</v>
      </c>
      <c r="BI11" s="94">
        <f t="shared" si="16"/>
        <v>0</v>
      </c>
      <c r="BJ11" s="92">
        <f t="shared" si="17"/>
        <v>0</v>
      </c>
      <c r="BK11" s="95"/>
      <c r="BL11" s="86">
        <f t="shared" si="55"/>
        <v>5519.3639881658764</v>
      </c>
      <c r="BM11" s="86">
        <f t="shared" si="18"/>
        <v>10654332.008035393</v>
      </c>
      <c r="BN11" s="92">
        <f t="shared" si="56"/>
        <v>0</v>
      </c>
      <c r="BO11" s="92">
        <f t="shared" si="57"/>
        <v>0</v>
      </c>
      <c r="BP11" s="86">
        <f t="shared" si="58"/>
        <v>5519.3639881658764</v>
      </c>
      <c r="BQ11" s="86">
        <f t="shared" si="19"/>
        <v>10654332.008035393</v>
      </c>
      <c r="BR11" s="93">
        <f t="shared" si="20"/>
        <v>13332771.271702485</v>
      </c>
      <c r="BS11" s="93">
        <f t="shared" si="21"/>
        <v>11580026.061583012</v>
      </c>
      <c r="BT11" s="94">
        <f t="shared" si="22"/>
        <v>0</v>
      </c>
      <c r="BU11" s="92">
        <f t="shared" si="23"/>
        <v>0</v>
      </c>
      <c r="BV11" s="95"/>
      <c r="BW11" s="86">
        <f t="shared" si="59"/>
        <v>5519.3639881658764</v>
      </c>
      <c r="BX11" s="86">
        <f t="shared" si="24"/>
        <v>10654332.008035393</v>
      </c>
      <c r="BY11" s="92">
        <f t="shared" si="60"/>
        <v>0</v>
      </c>
      <c r="BZ11" s="92">
        <f t="shared" si="61"/>
        <v>0</v>
      </c>
      <c r="CA11" s="86">
        <f t="shared" si="62"/>
        <v>5519.3639881658764</v>
      </c>
      <c r="CB11" s="86">
        <f t="shared" si="25"/>
        <v>10654332.008035393</v>
      </c>
      <c r="CC11" s="96">
        <f t="shared" si="26"/>
        <v>13332771.271702485</v>
      </c>
      <c r="CD11" s="96">
        <f t="shared" si="27"/>
        <v>11580026.061583012</v>
      </c>
      <c r="CE11" s="94">
        <f t="shared" si="28"/>
        <v>0</v>
      </c>
      <c r="CF11" s="92">
        <f t="shared" si="29"/>
        <v>0</v>
      </c>
      <c r="CG11" s="67"/>
      <c r="CH11" s="86">
        <f t="shared" si="30"/>
        <v>5519.3639881658764</v>
      </c>
      <c r="CI11" s="86">
        <f t="shared" si="31"/>
        <v>10654332.008035393</v>
      </c>
      <c r="CJ11" s="92">
        <f t="shared" si="63"/>
        <v>0</v>
      </c>
      <c r="CK11" s="92">
        <f t="shared" si="64"/>
        <v>0</v>
      </c>
      <c r="CL11" s="86">
        <f t="shared" si="65"/>
        <v>5519.3639881658764</v>
      </c>
      <c r="CM11" s="86">
        <f t="shared" si="32"/>
        <v>10654332.008035393</v>
      </c>
      <c r="CN11" s="97">
        <f t="shared" si="33"/>
        <v>0.92006114246852788</v>
      </c>
      <c r="CO11" s="554">
        <f t="shared" si="34"/>
        <v>60004</v>
      </c>
      <c r="CP11" s="153"/>
      <c r="CQ11" s="153">
        <f t="shared" si="35"/>
        <v>5684.94</v>
      </c>
      <c r="CR11" s="353"/>
      <c r="CS11" s="391" t="str">
        <f>VLOOKUP(A11,Characteristics!A4:M87,13,FALSE)</f>
        <v/>
      </c>
      <c r="CT11" s="206">
        <f>VLOOKUP(A11,Characteristics!A4:C87,3,FALSE)</f>
        <v>0</v>
      </c>
      <c r="CU11" s="557">
        <f t="shared" si="66"/>
        <v>5684.94</v>
      </c>
      <c r="CV11" s="557" t="str">
        <f t="shared" si="67"/>
        <v/>
      </c>
    </row>
    <row r="12" spans="1:146" s="125" customFormat="1" x14ac:dyDescent="0.3">
      <c r="A12" s="199">
        <v>60006</v>
      </c>
      <c r="B12" s="139"/>
      <c r="C12" s="558">
        <f>VLOOKUP($A12,'Fed Bs Rt+IME+GME+VBP+RAA+HAC'!$B$5:$AG$88,19,FALSE)</f>
        <v>6918.4759729999996</v>
      </c>
      <c r="D12" s="458">
        <f>VLOOKUP($A12,'Fed Bs Rt+IME+GME+VBP+RAA+HAC'!$B$5:$AG$88,25,FALSE)</f>
        <v>0</v>
      </c>
      <c r="E12" s="458">
        <f>VLOOKUP($A12,'Fed Bs Rt+IME+GME+VBP+RAA+HAC'!$B$5:$AG$88,29,FALSE)</f>
        <v>-0.64304769999992917</v>
      </c>
      <c r="F12" s="458">
        <f>VLOOKUP($A12,'Fed Bs Rt+IME+GME+VBP+RAA+HAC'!$B$5:$AG$88,27,FALSE)</f>
        <v>0</v>
      </c>
      <c r="G12" s="458">
        <f>VLOOKUP($A12,'Fed Bs Rt+IME+GME+VBP+RAA+HAC'!$B$5:$AG$88,32,FALSE)</f>
        <v>0</v>
      </c>
      <c r="H12" s="205">
        <f t="shared" si="36"/>
        <v>-0.64304769999992917</v>
      </c>
      <c r="I12" s="458">
        <f>VLOOKUP(A12,'Fed Bs Rt+IME+GME+VBP+RAA+HAC'!$B$5:$U$88,20,FALSE)</f>
        <v>0</v>
      </c>
      <c r="J12" s="459">
        <f>IF(Characteristics!M5="CAH",+C12*J$4,0)</f>
        <v>0</v>
      </c>
      <c r="K12" s="459">
        <f>IF(OR(Characteristics!M5="SCH",Characteristics!M5="MDH"),+C12*K$4,0)</f>
        <v>1383.6951945999999</v>
      </c>
      <c r="L12" s="460">
        <f>IF(OR(J12&gt;0,K12&gt;0,M12&gt;0),0,IF(VLOOKUP(A12,Characteristics!A:H,8,FALSE)&lt;=L$6,L$4*C12,IF(VLOOKUP(A12,Characteristics!A:H,8,FALSE)&gt;=L$5,0,(VLOOKUP(A12,Characteristics!A:H,8,FALSE)-L$5)/(L$6-L$5)*L$4*C12)))</f>
        <v>0</v>
      </c>
      <c r="M12" s="541">
        <f>IF(VLOOKUP($A12,Characteristics!$A:$E,3,FALSE)=2,M$4*C12,0)</f>
        <v>0</v>
      </c>
      <c r="N12" s="461">
        <f>IF(VLOOKUP($A12,Characteristics!$A:$K,6,FALSE)&gt;=N$5,N$4*C12,IF(VLOOKUP($A12,Characteristics!$A:$K,6,FALSE)&lt;=N$6,0,(VLOOKUP($A12,Characteristics!$A:$K,6,FALSE)-N$6)/(N$5-N$6)*N$4*C12))</f>
        <v>0</v>
      </c>
      <c r="O12" s="461">
        <f>IF(VLOOKUP($A12,Characteristics!$A:$K,11,FALSE)&lt;=O$6,O$4*C12,IF(VLOOKUP($A12,Characteristics!$A:$K,11,FALSE)&gt;=O$5,0,(VLOOKUP($A12,Characteristics!$A:$K,11,FALSE)-O$5)/(O$6-O$5)*O$4*C12))</f>
        <v>0</v>
      </c>
      <c r="P12" s="205">
        <f t="shared" si="37"/>
        <v>8301.5281198999983</v>
      </c>
      <c r="Q12" s="205"/>
      <c r="R12" s="86">
        <v>5847.97</v>
      </c>
      <c r="S12" s="87">
        <f t="shared" si="0"/>
        <v>5964.93</v>
      </c>
      <c r="T12" s="471"/>
      <c r="U12" s="86">
        <f t="shared" si="38"/>
        <v>4016674.2566498471</v>
      </c>
      <c r="V12" s="89">
        <v>1122.3704</v>
      </c>
      <c r="W12" s="90">
        <v>0.59996381322957193</v>
      </c>
      <c r="X12" s="91">
        <f t="shared" si="1"/>
        <v>5590096.495693516</v>
      </c>
      <c r="Y12" s="196"/>
      <c r="Z12" s="86">
        <f t="shared" si="39"/>
        <v>5964.93</v>
      </c>
      <c r="AA12" s="86">
        <f t="shared" si="40"/>
        <v>5368.4370000000008</v>
      </c>
      <c r="AB12" s="86">
        <f t="shared" si="41"/>
        <v>6561.4230000000007</v>
      </c>
      <c r="AC12" s="469"/>
      <c r="AD12" s="100"/>
      <c r="AE12" s="86">
        <f t="shared" si="42"/>
        <v>6648.2016158121969</v>
      </c>
      <c r="AF12" s="86">
        <f t="shared" si="2"/>
        <v>4476776.807649171</v>
      </c>
      <c r="AG12" s="92">
        <f t="shared" si="43"/>
        <v>0</v>
      </c>
      <c r="AH12" s="92">
        <f t="shared" si="44"/>
        <v>1</v>
      </c>
      <c r="AI12" s="86">
        <f t="shared" si="45"/>
        <v>6561.4230000000007</v>
      </c>
      <c r="AJ12" s="201"/>
      <c r="AK12" s="86">
        <f t="shared" si="3"/>
        <v>4418341.6823148318</v>
      </c>
      <c r="AL12" s="93">
        <f t="shared" si="4"/>
        <v>5590096.495693516</v>
      </c>
      <c r="AM12" s="93">
        <f t="shared" si="5"/>
        <v>4016674.2566498471</v>
      </c>
      <c r="AN12" s="94">
        <f t="shared" si="46"/>
        <v>0</v>
      </c>
      <c r="AO12" s="95"/>
      <c r="AP12" s="86">
        <f t="shared" si="47"/>
        <v>6625.7372104169444</v>
      </c>
      <c r="AQ12" s="86">
        <f t="shared" si="6"/>
        <v>4461649.6898385584</v>
      </c>
      <c r="AR12" s="92">
        <f t="shared" si="48"/>
        <v>0</v>
      </c>
      <c r="AS12" s="92">
        <f t="shared" si="49"/>
        <v>1</v>
      </c>
      <c r="AT12" s="86">
        <f t="shared" si="50"/>
        <v>6561.4230000000007</v>
      </c>
      <c r="AU12" s="86">
        <f t="shared" si="7"/>
        <v>4418341.6823148318</v>
      </c>
      <c r="AV12" s="93">
        <f t="shared" si="8"/>
        <v>0</v>
      </c>
      <c r="AW12" s="93">
        <f t="shared" si="9"/>
        <v>-401667.42566498462</v>
      </c>
      <c r="AX12" s="94">
        <f t="shared" si="10"/>
        <v>1</v>
      </c>
      <c r="AY12" s="92">
        <f t="shared" si="11"/>
        <v>1</v>
      </c>
      <c r="AZ12" s="95"/>
      <c r="BA12" s="86">
        <f t="shared" si="51"/>
        <v>6561.4230000000007</v>
      </c>
      <c r="BB12" s="86">
        <f t="shared" si="12"/>
        <v>4418341.6823148318</v>
      </c>
      <c r="BC12" s="92">
        <f t="shared" si="52"/>
        <v>0</v>
      </c>
      <c r="BD12" s="92">
        <f t="shared" si="53"/>
        <v>1</v>
      </c>
      <c r="BE12" s="86">
        <f t="shared" si="54"/>
        <v>6561.4230000000007</v>
      </c>
      <c r="BF12" s="86">
        <f t="shared" si="13"/>
        <v>4418341.6823148318</v>
      </c>
      <c r="BG12" s="96">
        <f t="shared" si="14"/>
        <v>0</v>
      </c>
      <c r="BH12" s="96">
        <f t="shared" si="15"/>
        <v>-401667.42566498462</v>
      </c>
      <c r="BI12" s="94">
        <f t="shared" si="16"/>
        <v>1</v>
      </c>
      <c r="BJ12" s="92">
        <f t="shared" si="17"/>
        <v>0</v>
      </c>
      <c r="BK12" s="95"/>
      <c r="BL12" s="86">
        <f t="shared" si="55"/>
        <v>6561.4230000000007</v>
      </c>
      <c r="BM12" s="86">
        <f t="shared" si="18"/>
        <v>4418341.6823148318</v>
      </c>
      <c r="BN12" s="92">
        <f t="shared" si="56"/>
        <v>0</v>
      </c>
      <c r="BO12" s="92">
        <f t="shared" si="57"/>
        <v>1</v>
      </c>
      <c r="BP12" s="86">
        <f t="shared" si="58"/>
        <v>6561.4230000000007</v>
      </c>
      <c r="BQ12" s="86">
        <f t="shared" si="19"/>
        <v>4418341.6823148318</v>
      </c>
      <c r="BR12" s="93">
        <f t="shared" si="20"/>
        <v>0</v>
      </c>
      <c r="BS12" s="93">
        <f t="shared" si="21"/>
        <v>-401667.42566498462</v>
      </c>
      <c r="BT12" s="94">
        <f t="shared" si="22"/>
        <v>1</v>
      </c>
      <c r="BU12" s="92">
        <f t="shared" si="23"/>
        <v>0</v>
      </c>
      <c r="BV12" s="95"/>
      <c r="BW12" s="86">
        <f t="shared" si="59"/>
        <v>6561.4230000000007</v>
      </c>
      <c r="BX12" s="86">
        <f t="shared" si="24"/>
        <v>4418341.6823148318</v>
      </c>
      <c r="BY12" s="92">
        <f t="shared" si="60"/>
        <v>0</v>
      </c>
      <c r="BZ12" s="92">
        <f t="shared" si="61"/>
        <v>1</v>
      </c>
      <c r="CA12" s="86">
        <f t="shared" si="62"/>
        <v>6561.4230000000007</v>
      </c>
      <c r="CB12" s="86">
        <f t="shared" si="25"/>
        <v>4418341.6823148318</v>
      </c>
      <c r="CC12" s="96">
        <f t="shared" si="26"/>
        <v>0</v>
      </c>
      <c r="CD12" s="96">
        <f t="shared" si="27"/>
        <v>-401667.42566498462</v>
      </c>
      <c r="CE12" s="94">
        <f t="shared" si="28"/>
        <v>1</v>
      </c>
      <c r="CF12" s="92">
        <f t="shared" si="29"/>
        <v>0</v>
      </c>
      <c r="CG12" s="67"/>
      <c r="CH12" s="86">
        <f t="shared" si="30"/>
        <v>6633.8224035371504</v>
      </c>
      <c r="CI12" s="86">
        <f t="shared" si="31"/>
        <v>4467094.1103206044</v>
      </c>
      <c r="CJ12" s="92">
        <f t="shared" si="63"/>
        <v>0</v>
      </c>
      <c r="CK12" s="92">
        <f t="shared" si="64"/>
        <v>1</v>
      </c>
      <c r="CL12" s="86">
        <f t="shared" si="65"/>
        <v>6561.4230000000007</v>
      </c>
      <c r="CM12" s="86">
        <f t="shared" si="32"/>
        <v>4418341.6823148318</v>
      </c>
      <c r="CN12" s="97">
        <f t="shared" si="33"/>
        <v>1.1000000000000001</v>
      </c>
      <c r="CO12" s="554">
        <f t="shared" si="34"/>
        <v>60006</v>
      </c>
      <c r="CP12" s="153"/>
      <c r="CQ12" s="153">
        <f t="shared" si="35"/>
        <v>6758.27</v>
      </c>
      <c r="CR12" s="353"/>
      <c r="CS12" s="391" t="str">
        <f>VLOOKUP(A12,Characteristics!A5:M88,13,FALSE)</f>
        <v>SCH</v>
      </c>
      <c r="CT12" s="206">
        <f>VLOOKUP(A12,Characteristics!A5:C88,3,FALSE)</f>
        <v>1</v>
      </c>
      <c r="CU12" s="557" t="str">
        <f t="shared" si="66"/>
        <v/>
      </c>
      <c r="CV12" s="557">
        <f t="shared" si="67"/>
        <v>6758.27</v>
      </c>
    </row>
    <row r="13" spans="1:146" s="125" customFormat="1" x14ac:dyDescent="0.3">
      <c r="A13" s="199">
        <v>60008</v>
      </c>
      <c r="B13" s="139"/>
      <c r="C13" s="558">
        <f>VLOOKUP($A13,'Fed Bs Rt+IME+GME+VBP+RAA+HAC'!$B$5:$AG$88,19,FALSE)</f>
        <v>6918.4759729999996</v>
      </c>
      <c r="D13" s="458">
        <f>VLOOKUP($A13,'Fed Bs Rt+IME+GME+VBP+RAA+HAC'!$B$5:$AG$88,25,FALSE)</f>
        <v>0</v>
      </c>
      <c r="E13" s="458">
        <f>VLOOKUP($A13,'Fed Bs Rt+IME+GME+VBP+RAA+HAC'!$B$5:$AG$88,29,FALSE)</f>
        <v>-63.018674600000196</v>
      </c>
      <c r="F13" s="458">
        <f>VLOOKUP($A13,'Fed Bs Rt+IME+GME+VBP+RAA+HAC'!$B$5:$AG$88,27,FALSE)</f>
        <v>0</v>
      </c>
      <c r="G13" s="458">
        <f>VLOOKUP($A13,'Fed Bs Rt+IME+GME+VBP+RAA+HAC'!$B$5:$AG$88,32,FALSE)</f>
        <v>0</v>
      </c>
      <c r="H13" s="205">
        <f t="shared" si="36"/>
        <v>-63.018674600000196</v>
      </c>
      <c r="I13" s="458">
        <f>VLOOKUP(A13,'Fed Bs Rt+IME+GME+VBP+RAA+HAC'!$B$5:$U$88,20,FALSE)</f>
        <v>0</v>
      </c>
      <c r="J13" s="459">
        <f>IF(Characteristics!M6="CAH",+C13*J$4,0)</f>
        <v>0</v>
      </c>
      <c r="K13" s="459">
        <f>IF(OR(Characteristics!M6="SCH",Characteristics!M6="MDH"),+C13*K$4,0)</f>
        <v>1383.6951945999999</v>
      </c>
      <c r="L13" s="460">
        <f>IF(OR(J13&gt;0,K13&gt;0,M13&gt;0),0,IF(VLOOKUP(A13,Characteristics!A:H,8,FALSE)&lt;=L$6,L$4*C13,IF(VLOOKUP(A13,Characteristics!A:H,8,FALSE)&gt;=L$5,0,(VLOOKUP(A13,Characteristics!A:H,8,FALSE)-L$5)/(L$6-L$5)*L$4*C13)))</f>
        <v>0</v>
      </c>
      <c r="M13" s="541">
        <f>IF(VLOOKUP($A13,Characteristics!$A:$E,3,FALSE)=2,M$4*C13,0)</f>
        <v>0</v>
      </c>
      <c r="N13" s="461">
        <f>IF(VLOOKUP($A13,Characteristics!$A:$K,6,FALSE)&gt;=N$5,N$4*C13,IF(VLOOKUP($A13,Characteristics!$A:$K,6,FALSE)&lt;=N$6,0,(VLOOKUP($A13,Characteristics!$A:$K,6,FALSE)-N$6)/(N$5-N$6)*N$4*C13))</f>
        <v>0</v>
      </c>
      <c r="O13" s="461">
        <f>IF(VLOOKUP($A13,Characteristics!$A:$K,11,FALSE)&lt;=O$6,O$4*C13,IF(VLOOKUP($A13,Characteristics!$A:$K,11,FALSE)&gt;=O$5,0,(VLOOKUP($A13,Characteristics!$A:$K,11,FALSE)-O$5)/(O$6-O$5)*O$4*C13))</f>
        <v>213.04456701415182</v>
      </c>
      <c r="P13" s="205">
        <f t="shared" si="37"/>
        <v>8452.1970600141522</v>
      </c>
      <c r="Q13" s="205"/>
      <c r="R13" s="86">
        <v>6143.57</v>
      </c>
      <c r="S13" s="87">
        <f t="shared" si="0"/>
        <v>6266.44</v>
      </c>
      <c r="T13" s="471"/>
      <c r="U13" s="86">
        <f t="shared" si="38"/>
        <v>5763397.454936699</v>
      </c>
      <c r="V13" s="89">
        <v>1152.9408000000001</v>
      </c>
      <c r="W13" s="90">
        <v>0.79772035984848488</v>
      </c>
      <c r="X13" s="91">
        <f t="shared" si="1"/>
        <v>7773691.4459101195</v>
      </c>
      <c r="Y13" s="196"/>
      <c r="Z13" s="86">
        <f t="shared" si="39"/>
        <v>6266.44</v>
      </c>
      <c r="AA13" s="86">
        <f t="shared" si="40"/>
        <v>5639.7959999999994</v>
      </c>
      <c r="AB13" s="86">
        <f t="shared" si="41"/>
        <v>6893.0839999999998</v>
      </c>
      <c r="AC13" s="469"/>
      <c r="AD13" s="99"/>
      <c r="AE13" s="86">
        <f t="shared" si="42"/>
        <v>6768.8634357388755</v>
      </c>
      <c r="AF13" s="86">
        <f t="shared" si="2"/>
        <v>6225488.5227260636</v>
      </c>
      <c r="AG13" s="92">
        <f t="shared" si="43"/>
        <v>0</v>
      </c>
      <c r="AH13" s="92">
        <f t="shared" si="44"/>
        <v>0</v>
      </c>
      <c r="AI13" s="86">
        <f t="shared" si="45"/>
        <v>6768.8634357388755</v>
      </c>
      <c r="AJ13" s="201"/>
      <c r="AK13" s="86">
        <f t="shared" si="3"/>
        <v>6225488.5227260636</v>
      </c>
      <c r="AL13" s="93">
        <f t="shared" si="4"/>
        <v>7773691.4459101195</v>
      </c>
      <c r="AM13" s="93">
        <f t="shared" si="5"/>
        <v>5763397.454936699</v>
      </c>
      <c r="AN13" s="94">
        <f t="shared" si="46"/>
        <v>0</v>
      </c>
      <c r="AO13" s="95"/>
      <c r="AP13" s="86">
        <f t="shared" si="47"/>
        <v>6745.9913116558928</v>
      </c>
      <c r="AQ13" s="86">
        <f t="shared" si="6"/>
        <v>6204452.4732739255</v>
      </c>
      <c r="AR13" s="92">
        <f t="shared" si="48"/>
        <v>0</v>
      </c>
      <c r="AS13" s="92">
        <f t="shared" si="49"/>
        <v>0</v>
      </c>
      <c r="AT13" s="86">
        <f t="shared" si="50"/>
        <v>6745.9913116558928</v>
      </c>
      <c r="AU13" s="86">
        <f t="shared" si="7"/>
        <v>6204452.4732739255</v>
      </c>
      <c r="AV13" s="93">
        <f t="shared" si="8"/>
        <v>7773691.4459101195</v>
      </c>
      <c r="AW13" s="93">
        <f t="shared" si="9"/>
        <v>5763397.454936699</v>
      </c>
      <c r="AX13" s="94">
        <f t="shared" si="10"/>
        <v>0</v>
      </c>
      <c r="AY13" s="92">
        <f t="shared" si="11"/>
        <v>0</v>
      </c>
      <c r="AZ13" s="95"/>
      <c r="BA13" s="86">
        <f t="shared" si="51"/>
        <v>6754.223162102232</v>
      </c>
      <c r="BB13" s="86">
        <f t="shared" si="12"/>
        <v>6212023.5065738289</v>
      </c>
      <c r="BC13" s="92">
        <f t="shared" si="52"/>
        <v>0</v>
      </c>
      <c r="BD13" s="92">
        <f t="shared" si="53"/>
        <v>0</v>
      </c>
      <c r="BE13" s="86">
        <f t="shared" si="54"/>
        <v>6754.223162102232</v>
      </c>
      <c r="BF13" s="86">
        <f t="shared" si="13"/>
        <v>6212023.5065738289</v>
      </c>
      <c r="BG13" s="96">
        <f t="shared" si="14"/>
        <v>7773691.4459101195</v>
      </c>
      <c r="BH13" s="96">
        <f t="shared" si="15"/>
        <v>5763397.454936699</v>
      </c>
      <c r="BI13" s="94">
        <f t="shared" si="16"/>
        <v>0</v>
      </c>
      <c r="BJ13" s="92">
        <f t="shared" si="17"/>
        <v>0</v>
      </c>
      <c r="BK13" s="95"/>
      <c r="BL13" s="86">
        <f t="shared" si="55"/>
        <v>6754.2232473348713</v>
      </c>
      <c r="BM13" s="86">
        <f t="shared" si="18"/>
        <v>6212023.5849643629</v>
      </c>
      <c r="BN13" s="92">
        <f t="shared" si="56"/>
        <v>0</v>
      </c>
      <c r="BO13" s="92">
        <f t="shared" si="57"/>
        <v>0</v>
      </c>
      <c r="BP13" s="86">
        <f t="shared" si="58"/>
        <v>6754.2232473348713</v>
      </c>
      <c r="BQ13" s="86">
        <f t="shared" si="19"/>
        <v>6212023.5849643629</v>
      </c>
      <c r="BR13" s="93">
        <f t="shared" si="20"/>
        <v>7773691.4459101195</v>
      </c>
      <c r="BS13" s="93">
        <f t="shared" si="21"/>
        <v>5763397.454936699</v>
      </c>
      <c r="BT13" s="94">
        <f t="shared" si="22"/>
        <v>0</v>
      </c>
      <c r="BU13" s="92">
        <f t="shared" si="23"/>
        <v>0</v>
      </c>
      <c r="BV13" s="95"/>
      <c r="BW13" s="86">
        <f t="shared" si="59"/>
        <v>6754.2232473348713</v>
      </c>
      <c r="BX13" s="86">
        <f t="shared" si="24"/>
        <v>6212023.5849643629</v>
      </c>
      <c r="BY13" s="92">
        <f t="shared" si="60"/>
        <v>0</v>
      </c>
      <c r="BZ13" s="92">
        <f t="shared" si="61"/>
        <v>0</v>
      </c>
      <c r="CA13" s="86">
        <f t="shared" si="62"/>
        <v>6754.2232473348713</v>
      </c>
      <c r="CB13" s="86">
        <f t="shared" si="25"/>
        <v>6212023.5849643629</v>
      </c>
      <c r="CC13" s="96">
        <f t="shared" si="26"/>
        <v>7773691.4459101195</v>
      </c>
      <c r="CD13" s="96">
        <f t="shared" si="27"/>
        <v>5763397.454936699</v>
      </c>
      <c r="CE13" s="94">
        <f t="shared" si="28"/>
        <v>0</v>
      </c>
      <c r="CF13" s="92">
        <f t="shared" si="29"/>
        <v>0</v>
      </c>
      <c r="CG13" s="67"/>
      <c r="CH13" s="86">
        <f t="shared" si="30"/>
        <v>6754.2232473348713</v>
      </c>
      <c r="CI13" s="86">
        <f t="shared" si="31"/>
        <v>6212023.5849643629</v>
      </c>
      <c r="CJ13" s="92">
        <f t="shared" si="63"/>
        <v>0</v>
      </c>
      <c r="CK13" s="92">
        <f t="shared" si="64"/>
        <v>0</v>
      </c>
      <c r="CL13" s="86">
        <f t="shared" si="65"/>
        <v>6754.2232473348713</v>
      </c>
      <c r="CM13" s="86">
        <f t="shared" si="32"/>
        <v>6212023.5849643629</v>
      </c>
      <c r="CN13" s="97">
        <f t="shared" si="33"/>
        <v>1.0778405677441851</v>
      </c>
      <c r="CO13" s="554">
        <f t="shared" si="34"/>
        <v>60008</v>
      </c>
      <c r="CP13" s="153"/>
      <c r="CQ13" s="153">
        <f t="shared" si="35"/>
        <v>6956.85</v>
      </c>
      <c r="CR13" s="353"/>
      <c r="CS13" s="391" t="str">
        <f>VLOOKUP(A13,Characteristics!A6:M89,13,FALSE)</f>
        <v>SCH</v>
      </c>
      <c r="CT13" s="206">
        <f>VLOOKUP(A13,Characteristics!A6:C89,3,FALSE)</f>
        <v>1</v>
      </c>
      <c r="CU13" s="557" t="str">
        <f t="shared" si="66"/>
        <v/>
      </c>
      <c r="CV13" s="557">
        <f t="shared" si="67"/>
        <v>6956.85</v>
      </c>
    </row>
    <row r="14" spans="1:146" s="125" customFormat="1" x14ac:dyDescent="0.3">
      <c r="A14" s="199">
        <v>60009</v>
      </c>
      <c r="B14" s="139"/>
      <c r="C14" s="558">
        <f>VLOOKUP($A14,'Fed Bs Rt+IME+GME+VBP+RAA+HAC'!$B$5:$AG$88,19,FALSE)</f>
        <v>6918.4759729999996</v>
      </c>
      <c r="D14" s="458">
        <f>VLOOKUP($A14,'Fed Bs Rt+IME+GME+VBP+RAA+HAC'!$B$5:$AG$88,25,FALSE)</f>
        <v>0</v>
      </c>
      <c r="E14" s="458">
        <f>VLOOKUP($A14,'Fed Bs Rt+IME+GME+VBP+RAA+HAC'!$B$5:$AG$88,29,FALSE)</f>
        <v>0</v>
      </c>
      <c r="F14" s="458">
        <f>VLOOKUP($A14,'Fed Bs Rt+IME+GME+VBP+RAA+HAC'!$B$5:$AG$88,27,FALSE)</f>
        <v>0</v>
      </c>
      <c r="G14" s="458">
        <f>VLOOKUP($A14,'Fed Bs Rt+IME+GME+VBP+RAA+HAC'!$B$5:$AG$88,32,FALSE)</f>
        <v>0</v>
      </c>
      <c r="H14" s="205">
        <f t="shared" si="36"/>
        <v>0</v>
      </c>
      <c r="I14" s="458">
        <f>VLOOKUP(A14,'Fed Bs Rt+IME+GME+VBP+RAA+HAC'!$B$5:$U$88,20,FALSE)</f>
        <v>0</v>
      </c>
      <c r="J14" s="459">
        <f>IF(Characteristics!M7="CAH",+C14*J$4,0)</f>
        <v>0</v>
      </c>
      <c r="K14" s="459">
        <f>IF(OR(Characteristics!M7="SCH",Characteristics!M7="MDH"),+C14*K$4,0)</f>
        <v>0</v>
      </c>
      <c r="L14" s="460">
        <f>IF(OR(J14&gt;0,K14&gt;0,M14&gt;0),0,IF(VLOOKUP(A14,Characteristics!A:H,8,FALSE)&lt;=L$6,L$4*C14,IF(VLOOKUP(A14,Characteristics!A:H,8,FALSE)&gt;=L$5,0,(VLOOKUP(A14,Characteristics!A:H,8,FALSE)-L$5)/(L$6-L$5)*L$4*C14)))</f>
        <v>0</v>
      </c>
      <c r="M14" s="541">
        <f>IF(VLOOKUP($A14,Characteristics!$A:$E,3,FALSE)=2,M$4*C14,0)</f>
        <v>0</v>
      </c>
      <c r="N14" s="461">
        <f>IF(VLOOKUP($A14,Characteristics!$A:$K,6,FALSE)&gt;=N$5,N$4*C14,IF(VLOOKUP($A14,Characteristics!$A:$K,6,FALSE)&lt;=N$6,0,(VLOOKUP($A14,Characteristics!$A:$K,6,FALSE)-N$6)/(N$5-N$6)*N$4*C14))</f>
        <v>0</v>
      </c>
      <c r="O14" s="461">
        <f>IF(VLOOKUP($A14,Characteristics!$A:$K,11,FALSE)&lt;=O$6,O$4*C14,IF(VLOOKUP($A14,Characteristics!$A:$K,11,FALSE)&gt;=O$5,0,(VLOOKUP($A14,Characteristics!$A:$K,11,FALSE)-O$5)/(O$6-O$5)*O$4*C14))</f>
        <v>0</v>
      </c>
      <c r="P14" s="205">
        <f t="shared" si="37"/>
        <v>6918.4759729999996</v>
      </c>
      <c r="Q14" s="205"/>
      <c r="R14" s="86">
        <v>5547.3</v>
      </c>
      <c r="S14" s="87">
        <f t="shared" si="0"/>
        <v>5658.25</v>
      </c>
      <c r="T14" s="471"/>
      <c r="U14" s="86">
        <f t="shared" si="38"/>
        <v>37233683.019537553</v>
      </c>
      <c r="V14" s="89">
        <v>4746.0546000000004</v>
      </c>
      <c r="W14" s="90">
        <v>1.3865040257648953</v>
      </c>
      <c r="X14" s="91">
        <f t="shared" si="1"/>
        <v>45526504.017491035</v>
      </c>
      <c r="Y14" s="196"/>
      <c r="Z14" s="86">
        <f t="shared" si="39"/>
        <v>5658.25</v>
      </c>
      <c r="AA14" s="86">
        <f t="shared" si="40"/>
        <v>5092.4250000000002</v>
      </c>
      <c r="AB14" s="86">
        <f t="shared" si="41"/>
        <v>6224.0750000000007</v>
      </c>
      <c r="AC14" s="469"/>
      <c r="AD14" s="100"/>
      <c r="AE14" s="86">
        <f t="shared" si="42"/>
        <v>5540.5971621536264</v>
      </c>
      <c r="AF14" s="86">
        <f t="shared" si="2"/>
        <v>36459477.484129794</v>
      </c>
      <c r="AG14" s="92">
        <f t="shared" si="43"/>
        <v>0</v>
      </c>
      <c r="AH14" s="92">
        <f t="shared" si="44"/>
        <v>0</v>
      </c>
      <c r="AI14" s="86">
        <f t="shared" si="45"/>
        <v>5540.5971621536264</v>
      </c>
      <c r="AJ14" s="201"/>
      <c r="AK14" s="86">
        <f t="shared" si="3"/>
        <v>36459477.484129794</v>
      </c>
      <c r="AL14" s="93">
        <f t="shared" si="4"/>
        <v>45526504.017491035</v>
      </c>
      <c r="AM14" s="93">
        <f t="shared" si="5"/>
        <v>37233683.019537553</v>
      </c>
      <c r="AN14" s="94">
        <f t="shared" si="46"/>
        <v>0</v>
      </c>
      <c r="AO14" s="95"/>
      <c r="AP14" s="86">
        <f t="shared" si="47"/>
        <v>5521.8753742213275</v>
      </c>
      <c r="AQ14" s="86">
        <f t="shared" si="6"/>
        <v>36336280.18506556</v>
      </c>
      <c r="AR14" s="92">
        <f t="shared" si="48"/>
        <v>0</v>
      </c>
      <c r="AS14" s="92">
        <f t="shared" si="49"/>
        <v>0</v>
      </c>
      <c r="AT14" s="86">
        <f t="shared" si="50"/>
        <v>5521.8753742213275</v>
      </c>
      <c r="AU14" s="86">
        <f t="shared" si="7"/>
        <v>36336280.18506556</v>
      </c>
      <c r="AV14" s="93">
        <f t="shared" si="8"/>
        <v>45526504.017491035</v>
      </c>
      <c r="AW14" s="93">
        <f t="shared" si="9"/>
        <v>37233683.019537553</v>
      </c>
      <c r="AX14" s="94">
        <f t="shared" si="10"/>
        <v>0</v>
      </c>
      <c r="AY14" s="92">
        <f t="shared" si="11"/>
        <v>0</v>
      </c>
      <c r="AZ14" s="95"/>
      <c r="BA14" s="86">
        <f t="shared" si="51"/>
        <v>5528.6134872967732</v>
      </c>
      <c r="BB14" s="86">
        <f t="shared" si="12"/>
        <v>36380619.824777648</v>
      </c>
      <c r="BC14" s="92">
        <f t="shared" si="52"/>
        <v>0</v>
      </c>
      <c r="BD14" s="92">
        <f t="shared" si="53"/>
        <v>0</v>
      </c>
      <c r="BE14" s="86">
        <f t="shared" si="54"/>
        <v>5528.6134872967732</v>
      </c>
      <c r="BF14" s="86">
        <f t="shared" si="13"/>
        <v>36380619.824777648</v>
      </c>
      <c r="BG14" s="96">
        <f t="shared" si="14"/>
        <v>45526504.017491035</v>
      </c>
      <c r="BH14" s="96">
        <f t="shared" si="15"/>
        <v>37233683.019537553</v>
      </c>
      <c r="BI14" s="94">
        <f t="shared" si="16"/>
        <v>0</v>
      </c>
      <c r="BJ14" s="92">
        <f t="shared" si="17"/>
        <v>0</v>
      </c>
      <c r="BK14" s="95"/>
      <c r="BL14" s="86">
        <f t="shared" si="55"/>
        <v>5528.613557063245</v>
      </c>
      <c r="BM14" s="86">
        <f t="shared" si="18"/>
        <v>36380620.2838706</v>
      </c>
      <c r="BN14" s="92">
        <f t="shared" si="56"/>
        <v>0</v>
      </c>
      <c r="BO14" s="92">
        <f t="shared" si="57"/>
        <v>0</v>
      </c>
      <c r="BP14" s="86">
        <f t="shared" si="58"/>
        <v>5528.613557063245</v>
      </c>
      <c r="BQ14" s="86">
        <f t="shared" si="19"/>
        <v>36380620.2838706</v>
      </c>
      <c r="BR14" s="93">
        <f t="shared" si="20"/>
        <v>45526504.017491035</v>
      </c>
      <c r="BS14" s="93">
        <f t="shared" si="21"/>
        <v>37233683.019537553</v>
      </c>
      <c r="BT14" s="94">
        <f t="shared" si="22"/>
        <v>0</v>
      </c>
      <c r="BU14" s="92">
        <f t="shared" si="23"/>
        <v>0</v>
      </c>
      <c r="BV14" s="95"/>
      <c r="BW14" s="86">
        <f t="shared" si="59"/>
        <v>5528.613557063245</v>
      </c>
      <c r="BX14" s="86">
        <f t="shared" si="24"/>
        <v>36380620.2838706</v>
      </c>
      <c r="BY14" s="92">
        <f t="shared" si="60"/>
        <v>0</v>
      </c>
      <c r="BZ14" s="92">
        <f t="shared" si="61"/>
        <v>0</v>
      </c>
      <c r="CA14" s="86">
        <f t="shared" si="62"/>
        <v>5528.613557063245</v>
      </c>
      <c r="CB14" s="86">
        <f t="shared" si="25"/>
        <v>36380620.2838706</v>
      </c>
      <c r="CC14" s="96">
        <f t="shared" si="26"/>
        <v>45526504.017491035</v>
      </c>
      <c r="CD14" s="96">
        <f t="shared" si="27"/>
        <v>37233683.019537553</v>
      </c>
      <c r="CE14" s="94">
        <f t="shared" si="28"/>
        <v>0</v>
      </c>
      <c r="CF14" s="92">
        <f t="shared" si="29"/>
        <v>0</v>
      </c>
      <c r="CG14" s="67"/>
      <c r="CH14" s="86">
        <f t="shared" si="30"/>
        <v>5528.613557063245</v>
      </c>
      <c r="CI14" s="86">
        <f t="shared" si="31"/>
        <v>36380620.2838706</v>
      </c>
      <c r="CJ14" s="92">
        <f t="shared" si="63"/>
        <v>0</v>
      </c>
      <c r="CK14" s="92">
        <f t="shared" si="64"/>
        <v>0</v>
      </c>
      <c r="CL14" s="86">
        <f t="shared" si="65"/>
        <v>5528.613557063245</v>
      </c>
      <c r="CM14" s="86">
        <f t="shared" si="32"/>
        <v>36380620.2838706</v>
      </c>
      <c r="CN14" s="97">
        <f t="shared" si="33"/>
        <v>0.97708895101192861</v>
      </c>
      <c r="CO14" s="554">
        <f t="shared" si="34"/>
        <v>60009</v>
      </c>
      <c r="CP14" s="153"/>
      <c r="CQ14" s="153">
        <f t="shared" si="35"/>
        <v>5694.47</v>
      </c>
      <c r="CR14" s="353"/>
      <c r="CS14" s="391" t="str">
        <f>VLOOKUP(A14,Characteristics!A7:M90,13,FALSE)</f>
        <v/>
      </c>
      <c r="CT14" s="206">
        <f>VLOOKUP(A14,Characteristics!A7:C90,3,FALSE)</f>
        <v>0</v>
      </c>
      <c r="CU14" s="557">
        <f t="shared" si="66"/>
        <v>5694.47</v>
      </c>
      <c r="CV14" s="557" t="str">
        <f t="shared" si="67"/>
        <v/>
      </c>
    </row>
    <row r="15" spans="1:146" s="125" customFormat="1" x14ac:dyDescent="0.3">
      <c r="A15" s="199">
        <v>60010</v>
      </c>
      <c r="B15" s="139"/>
      <c r="C15" s="558">
        <f>VLOOKUP($A15,'Fed Bs Rt+IME+GME+VBP+RAA+HAC'!$B$5:$AG$88,19,FALSE)</f>
        <v>6918.4759729999996</v>
      </c>
      <c r="D15" s="458">
        <f>VLOOKUP($A15,'Fed Bs Rt+IME+GME+VBP+RAA+HAC'!$B$5:$AG$88,25,FALSE)</f>
        <v>252.27116902072004</v>
      </c>
      <c r="E15" s="458">
        <f>VLOOKUP($A15,'Fed Bs Rt+IME+GME+VBP+RAA+HAC'!$B$5:$AG$88,29,FALSE)</f>
        <v>0</v>
      </c>
      <c r="F15" s="458">
        <f>VLOOKUP($A15,'Fed Bs Rt+IME+GME+VBP+RAA+HAC'!$B$5:$AG$88,27,FALSE)</f>
        <v>0</v>
      </c>
      <c r="G15" s="458">
        <f>VLOOKUP($A15,'Fed Bs Rt+IME+GME+VBP+RAA+HAC'!$B$5:$AG$88,32,FALSE)</f>
        <v>0</v>
      </c>
      <c r="H15" s="205">
        <f t="shared" si="36"/>
        <v>252.27116902072004</v>
      </c>
      <c r="I15" s="458">
        <f>VLOOKUP(A15,'Fed Bs Rt+IME+GME+VBP+RAA+HAC'!$B$5:$U$88,20,FALSE)</f>
        <v>53.242385042861613</v>
      </c>
      <c r="J15" s="459">
        <f>IF(Characteristics!M8="CAH",+C15*J$4,0)</f>
        <v>0</v>
      </c>
      <c r="K15" s="459">
        <f>IF(OR(Characteristics!M8="SCH",Characteristics!M8="MDH"),+C15*K$4,0)</f>
        <v>0</v>
      </c>
      <c r="L15" s="460">
        <f>IF(OR(J15&gt;0,K15&gt;0,M15&gt;0),0,IF(VLOOKUP(A15,Characteristics!A:H,8,FALSE)&lt;=L$6,L$4*C15,IF(VLOOKUP(A15,Characteristics!A:H,8,FALSE)&gt;=L$5,0,(VLOOKUP(A15,Characteristics!A:H,8,FALSE)-L$5)/(L$6-L$5)*L$4*C15)))</f>
        <v>0</v>
      </c>
      <c r="M15" s="541">
        <f>IF(VLOOKUP($A15,Characteristics!$A:$E,3,FALSE)=2,M$4*C15,0)</f>
        <v>0</v>
      </c>
      <c r="N15" s="461">
        <f>IF(VLOOKUP($A15,Characteristics!$A:$K,6,FALSE)&gt;=N$5,N$4*C15,IF(VLOOKUP($A15,Characteristics!$A:$K,6,FALSE)&lt;=N$6,0,(VLOOKUP($A15,Characteristics!$A:$K,6,FALSE)-N$6)/(N$5-N$6)*N$4*C15))</f>
        <v>0</v>
      </c>
      <c r="O15" s="461">
        <f>IF(VLOOKUP($A15,Characteristics!$A:$K,11,FALSE)&lt;=O$6,O$4*C15,IF(VLOOKUP($A15,Characteristics!$A:$K,11,FALSE)&gt;=O$5,0,(VLOOKUP($A15,Characteristics!$A:$K,11,FALSE)-O$5)/(O$6-O$5)*O$4*C15))</f>
        <v>0</v>
      </c>
      <c r="P15" s="205">
        <f t="shared" si="37"/>
        <v>7223.9895270635807</v>
      </c>
      <c r="Q15" s="205"/>
      <c r="R15" s="86">
        <v>5849.88</v>
      </c>
      <c r="S15" s="87">
        <f t="shared" si="0"/>
        <v>5966.88</v>
      </c>
      <c r="T15" s="471"/>
      <c r="U15" s="86">
        <f t="shared" si="38"/>
        <v>28067572.858256005</v>
      </c>
      <c r="V15" s="89">
        <v>3592.0220000000004</v>
      </c>
      <c r="W15" s="90">
        <v>1.3095393920972642</v>
      </c>
      <c r="X15" s="91">
        <f t="shared" si="1"/>
        <v>33980883.204980724</v>
      </c>
      <c r="Y15" s="196"/>
      <c r="Z15" s="86">
        <f t="shared" si="39"/>
        <v>5966.88</v>
      </c>
      <c r="AA15" s="86">
        <f t="shared" si="40"/>
        <v>5370.192</v>
      </c>
      <c r="AB15" s="86">
        <f t="shared" si="41"/>
        <v>6563.5680000000002</v>
      </c>
      <c r="AC15" s="469"/>
      <c r="AD15" s="100"/>
      <c r="AE15" s="86">
        <f t="shared" si="42"/>
        <v>5785.2648515768715</v>
      </c>
      <c r="AF15" s="86">
        <f t="shared" si="2"/>
        <v>27213274.395654254</v>
      </c>
      <c r="AG15" s="92">
        <f t="shared" si="43"/>
        <v>0</v>
      </c>
      <c r="AH15" s="92">
        <f t="shared" si="44"/>
        <v>0</v>
      </c>
      <c r="AI15" s="86">
        <f t="shared" si="45"/>
        <v>5785.2648515768715</v>
      </c>
      <c r="AJ15" s="201"/>
      <c r="AK15" s="86">
        <f t="shared" si="3"/>
        <v>27213274.395654254</v>
      </c>
      <c r="AL15" s="93">
        <f t="shared" si="4"/>
        <v>33980883.204980724</v>
      </c>
      <c r="AM15" s="93">
        <f t="shared" si="5"/>
        <v>28067572.858256005</v>
      </c>
      <c r="AN15" s="94">
        <f t="shared" si="46"/>
        <v>0</v>
      </c>
      <c r="AO15" s="95"/>
      <c r="AP15" s="86">
        <f t="shared" si="47"/>
        <v>5765.7163266591515</v>
      </c>
      <c r="AQ15" s="86">
        <f t="shared" si="6"/>
        <v>27121320.200597618</v>
      </c>
      <c r="AR15" s="92">
        <f t="shared" si="48"/>
        <v>0</v>
      </c>
      <c r="AS15" s="92">
        <f t="shared" si="49"/>
        <v>0</v>
      </c>
      <c r="AT15" s="86">
        <f t="shared" si="50"/>
        <v>5765.7163266591515</v>
      </c>
      <c r="AU15" s="86">
        <f t="shared" si="7"/>
        <v>27121320.200597618</v>
      </c>
      <c r="AV15" s="93">
        <f t="shared" si="8"/>
        <v>33980883.204980724</v>
      </c>
      <c r="AW15" s="93">
        <f t="shared" si="9"/>
        <v>28067572.858256005</v>
      </c>
      <c r="AX15" s="94">
        <f t="shared" si="10"/>
        <v>0</v>
      </c>
      <c r="AY15" s="92">
        <f t="shared" si="11"/>
        <v>0</v>
      </c>
      <c r="AZ15" s="95"/>
      <c r="BA15" s="86">
        <f t="shared" si="51"/>
        <v>5772.7519886285145</v>
      </c>
      <c r="BB15" s="86">
        <f t="shared" si="12"/>
        <v>27154415.210876215</v>
      </c>
      <c r="BC15" s="92">
        <f t="shared" si="52"/>
        <v>0</v>
      </c>
      <c r="BD15" s="92">
        <f t="shared" si="53"/>
        <v>0</v>
      </c>
      <c r="BE15" s="86">
        <f t="shared" si="54"/>
        <v>5772.7519886285145</v>
      </c>
      <c r="BF15" s="86">
        <f t="shared" si="13"/>
        <v>27154415.210876215</v>
      </c>
      <c r="BG15" s="96">
        <f t="shared" si="14"/>
        <v>33980883.204980724</v>
      </c>
      <c r="BH15" s="96">
        <f t="shared" si="15"/>
        <v>28067572.858256005</v>
      </c>
      <c r="BI15" s="94">
        <f t="shared" si="16"/>
        <v>0</v>
      </c>
      <c r="BJ15" s="92">
        <f t="shared" si="17"/>
        <v>0</v>
      </c>
      <c r="BK15" s="95"/>
      <c r="BL15" s="86">
        <f t="shared" si="55"/>
        <v>5772.7520614758105</v>
      </c>
      <c r="BM15" s="86">
        <f t="shared" si="18"/>
        <v>27154415.553542197</v>
      </c>
      <c r="BN15" s="92">
        <f t="shared" si="56"/>
        <v>0</v>
      </c>
      <c r="BO15" s="92">
        <f t="shared" si="57"/>
        <v>0</v>
      </c>
      <c r="BP15" s="86">
        <f t="shared" si="58"/>
        <v>5772.7520614758105</v>
      </c>
      <c r="BQ15" s="86">
        <f t="shared" si="19"/>
        <v>27154415.553542197</v>
      </c>
      <c r="BR15" s="93">
        <f t="shared" si="20"/>
        <v>33980883.204980724</v>
      </c>
      <c r="BS15" s="93">
        <f t="shared" si="21"/>
        <v>28067572.858256005</v>
      </c>
      <c r="BT15" s="94">
        <f t="shared" si="22"/>
        <v>0</v>
      </c>
      <c r="BU15" s="92">
        <f t="shared" si="23"/>
        <v>0</v>
      </c>
      <c r="BV15" s="95"/>
      <c r="BW15" s="86">
        <f t="shared" si="59"/>
        <v>5772.7520614758105</v>
      </c>
      <c r="BX15" s="86">
        <f t="shared" si="24"/>
        <v>27154415.553542197</v>
      </c>
      <c r="BY15" s="92">
        <f t="shared" si="60"/>
        <v>0</v>
      </c>
      <c r="BZ15" s="92">
        <f t="shared" si="61"/>
        <v>0</v>
      </c>
      <c r="CA15" s="86">
        <f t="shared" si="62"/>
        <v>5772.7520614758105</v>
      </c>
      <c r="CB15" s="86">
        <f t="shared" si="25"/>
        <v>27154415.553542197</v>
      </c>
      <c r="CC15" s="96">
        <f t="shared" si="26"/>
        <v>33980883.204980724</v>
      </c>
      <c r="CD15" s="96">
        <f t="shared" si="27"/>
        <v>28067572.858256005</v>
      </c>
      <c r="CE15" s="94">
        <f t="shared" si="28"/>
        <v>0</v>
      </c>
      <c r="CF15" s="92">
        <f t="shared" si="29"/>
        <v>0</v>
      </c>
      <c r="CG15" s="67"/>
      <c r="CH15" s="86">
        <f t="shared" si="30"/>
        <v>5772.7520614758105</v>
      </c>
      <c r="CI15" s="86">
        <f t="shared" si="31"/>
        <v>27154415.553542197</v>
      </c>
      <c r="CJ15" s="92">
        <f t="shared" si="63"/>
        <v>0</v>
      </c>
      <c r="CK15" s="92">
        <f t="shared" si="64"/>
        <v>0</v>
      </c>
      <c r="CL15" s="86">
        <f t="shared" si="65"/>
        <v>5772.7520614758105</v>
      </c>
      <c r="CM15" s="86">
        <f t="shared" si="32"/>
        <v>27154415.553542197</v>
      </c>
      <c r="CN15" s="97">
        <f t="shared" si="33"/>
        <v>0.96746575454438677</v>
      </c>
      <c r="CO15" s="554">
        <f t="shared" si="34"/>
        <v>60010</v>
      </c>
      <c r="CP15" s="153"/>
      <c r="CQ15" s="153">
        <f t="shared" si="35"/>
        <v>5945.93</v>
      </c>
      <c r="CR15" s="353"/>
      <c r="CS15" s="391" t="str">
        <f>VLOOKUP(A15,Characteristics!A8:M91,13,FALSE)</f>
        <v/>
      </c>
      <c r="CT15" s="206">
        <f>VLOOKUP(A15,Characteristics!A8:C91,3,FALSE)</f>
        <v>0</v>
      </c>
      <c r="CU15" s="557">
        <f t="shared" si="66"/>
        <v>5945.93</v>
      </c>
      <c r="CV15" s="557" t="str">
        <f t="shared" si="67"/>
        <v/>
      </c>
    </row>
    <row r="16" spans="1:146" s="125" customFormat="1" x14ac:dyDescent="0.3">
      <c r="A16" s="199">
        <v>60011</v>
      </c>
      <c r="B16" s="139"/>
      <c r="C16" s="558">
        <f>VLOOKUP($A16,'Fed Bs Rt+IME+GME+VBP+RAA+HAC'!$B$5:$AG$88,19,FALSE)</f>
        <v>6918.4759729999996</v>
      </c>
      <c r="D16" s="458">
        <f>VLOOKUP($A16,'Fed Bs Rt+IME+GME+VBP+RAA+HAC'!$B$5:$AG$88,25,FALSE)</f>
        <v>1393.5659042724901</v>
      </c>
      <c r="E16" s="458">
        <f>VLOOKUP($A16,'Fed Bs Rt+IME+GME+VBP+RAA+HAC'!$B$5:$AG$88,29,FALSE)</f>
        <v>-0.64304769999992917</v>
      </c>
      <c r="F16" s="458">
        <f>VLOOKUP($A16,'Fed Bs Rt+IME+GME+VBP+RAA+HAC'!$B$5:$AG$88,27,FALSE)</f>
        <v>0</v>
      </c>
      <c r="G16" s="458">
        <f>VLOOKUP($A16,'Fed Bs Rt+IME+GME+VBP+RAA+HAC'!$B$5:$AG$88,32,FALSE)</f>
        <v>0</v>
      </c>
      <c r="H16" s="205">
        <f>SUM(D16:G16)</f>
        <v>1392.9228565724902</v>
      </c>
      <c r="I16" s="458">
        <f>VLOOKUP(A16,'Fed Bs Rt+IME+GME+VBP+RAA+HAC'!$B$5:$U$88,20,FALSE)</f>
        <v>0</v>
      </c>
      <c r="J16" s="459">
        <f>IF(Characteristics!M9="CAH",+C16*J$4,0)</f>
        <v>0</v>
      </c>
      <c r="K16" s="459">
        <f>IF(OR(Characteristics!M9="SCH",Characteristics!M9="MDH"),+C16*K$4,0)</f>
        <v>0</v>
      </c>
      <c r="L16" s="460">
        <f>IF(OR(J16&gt;0,K16&gt;0,M16&gt;0),0,IF(VLOOKUP(A16,Characteristics!A:H,8,FALSE)&lt;=L$6,L$4*C16,IF(VLOOKUP(A16,Characteristics!A:H,8,FALSE)&gt;=L$5,0,(VLOOKUP(A16,Characteristics!A:H,8,FALSE)-L$5)/(L$6-L$5)*L$4*C16)))</f>
        <v>0</v>
      </c>
      <c r="M16" s="541">
        <f>IF(VLOOKUP($A16,Characteristics!$A:$E,3,FALSE)=2,M$4*C16,0)</f>
        <v>0</v>
      </c>
      <c r="N16" s="461">
        <f>IF(VLOOKUP($A16,Characteristics!$A:$K,6,FALSE)&gt;=N$5,N$4*C16,IF(VLOOKUP($A16,Characteristics!$A:$K,6,FALSE)&lt;=N$6,0,(VLOOKUP($A16,Characteristics!$A:$K,6,FALSE)-N$6)/(N$5-N$6)*N$4*C16))</f>
        <v>691.84759729999996</v>
      </c>
      <c r="O16" s="461">
        <f>IF(VLOOKUP($A16,Characteristics!$A:$K,11,FALSE)&lt;=O$6,O$4*C16,IF(VLOOKUP($A16,Characteristics!$A:$K,11,FALSE)&gt;=O$5,0,(VLOOKUP($A16,Characteristics!$A:$K,11,FALSE)-O$5)/(O$6-O$5)*O$4*C16))</f>
        <v>587.44818705010152</v>
      </c>
      <c r="P16" s="205">
        <f t="shared" si="37"/>
        <v>9590.6946139225929</v>
      </c>
      <c r="Q16" s="205"/>
      <c r="R16" s="86">
        <v>7330.35</v>
      </c>
      <c r="S16" s="87">
        <f t="shared" si="0"/>
        <v>7476.96</v>
      </c>
      <c r="T16" s="471"/>
      <c r="U16" s="86">
        <f t="shared" si="38"/>
        <v>129621837.33881558</v>
      </c>
      <c r="V16" s="89">
        <v>11538.142400000001</v>
      </c>
      <c r="W16" s="90">
        <v>1.5025094814534445</v>
      </c>
      <c r="X16" s="91">
        <f t="shared" si="1"/>
        <v>166265896.46221578</v>
      </c>
      <c r="Y16" s="196"/>
      <c r="Z16" s="86">
        <f t="shared" si="39"/>
        <v>7476.96</v>
      </c>
      <c r="AA16" s="86">
        <f t="shared" si="40"/>
        <v>6729.2640000000001</v>
      </c>
      <c r="AB16" s="86">
        <f t="shared" si="41"/>
        <v>8224.6560000000009</v>
      </c>
      <c r="AC16" s="469"/>
      <c r="AD16" s="100"/>
      <c r="AE16" s="86">
        <f t="shared" si="42"/>
        <v>7680.6186172154521</v>
      </c>
      <c r="AF16" s="86">
        <f t="shared" si="2"/>
        <v>133152497.41367881</v>
      </c>
      <c r="AG16" s="92">
        <f t="shared" si="43"/>
        <v>0</v>
      </c>
      <c r="AH16" s="92">
        <f t="shared" si="44"/>
        <v>0</v>
      </c>
      <c r="AI16" s="86">
        <f t="shared" si="45"/>
        <v>7680.6186172154521</v>
      </c>
      <c r="AJ16" s="201"/>
      <c r="AK16" s="86">
        <f t="shared" si="3"/>
        <v>133152497.41367881</v>
      </c>
      <c r="AL16" s="93">
        <f t="shared" si="4"/>
        <v>166265896.46221578</v>
      </c>
      <c r="AM16" s="93">
        <f t="shared" si="5"/>
        <v>129621837.33881558</v>
      </c>
      <c r="AN16" s="94">
        <f t="shared" si="46"/>
        <v>0</v>
      </c>
      <c r="AO16" s="95"/>
      <c r="AP16" s="86">
        <f t="shared" si="47"/>
        <v>7654.6656542527953</v>
      </c>
      <c r="AQ16" s="86">
        <f t="shared" si="6"/>
        <v>132702572.47846371</v>
      </c>
      <c r="AR16" s="92">
        <f t="shared" si="48"/>
        <v>0</v>
      </c>
      <c r="AS16" s="92">
        <f t="shared" si="49"/>
        <v>0</v>
      </c>
      <c r="AT16" s="86">
        <f t="shared" si="50"/>
        <v>7654.6656542527953</v>
      </c>
      <c r="AU16" s="86">
        <f t="shared" si="7"/>
        <v>132702572.47846371</v>
      </c>
      <c r="AV16" s="93">
        <f t="shared" si="8"/>
        <v>166265896.46221578</v>
      </c>
      <c r="AW16" s="93">
        <f t="shared" si="9"/>
        <v>129621837.33881558</v>
      </c>
      <c r="AX16" s="94">
        <f t="shared" si="10"/>
        <v>0</v>
      </c>
      <c r="AY16" s="92">
        <f t="shared" si="11"/>
        <v>0</v>
      </c>
      <c r="AZ16" s="95"/>
      <c r="BA16" s="86">
        <f t="shared" si="51"/>
        <v>7664.0063219132562</v>
      </c>
      <c r="BB16" s="86">
        <f t="shared" si="12"/>
        <v>132864503.86556759</v>
      </c>
      <c r="BC16" s="92">
        <f t="shared" si="52"/>
        <v>0</v>
      </c>
      <c r="BD16" s="92">
        <f t="shared" si="53"/>
        <v>0</v>
      </c>
      <c r="BE16" s="86">
        <f t="shared" si="54"/>
        <v>7664.0063219132562</v>
      </c>
      <c r="BF16" s="86">
        <f t="shared" si="13"/>
        <v>132864503.86556759</v>
      </c>
      <c r="BG16" s="96">
        <f t="shared" si="14"/>
        <v>166265896.46221578</v>
      </c>
      <c r="BH16" s="96">
        <f t="shared" si="15"/>
        <v>129621837.33881558</v>
      </c>
      <c r="BI16" s="94">
        <f t="shared" si="16"/>
        <v>0</v>
      </c>
      <c r="BJ16" s="92">
        <f t="shared" si="17"/>
        <v>0</v>
      </c>
      <c r="BK16" s="95"/>
      <c r="BL16" s="86">
        <f t="shared" si="55"/>
        <v>7664.0064186265972</v>
      </c>
      <c r="BM16" s="86">
        <f t="shared" si="18"/>
        <v>132864505.54220636</v>
      </c>
      <c r="BN16" s="92">
        <f t="shared" si="56"/>
        <v>0</v>
      </c>
      <c r="BO16" s="92">
        <f t="shared" si="57"/>
        <v>0</v>
      </c>
      <c r="BP16" s="86">
        <f t="shared" si="58"/>
        <v>7664.0064186265972</v>
      </c>
      <c r="BQ16" s="86">
        <f t="shared" si="19"/>
        <v>132864505.54220636</v>
      </c>
      <c r="BR16" s="93">
        <f t="shared" si="20"/>
        <v>166265896.46221578</v>
      </c>
      <c r="BS16" s="93">
        <f t="shared" si="21"/>
        <v>129621837.33881558</v>
      </c>
      <c r="BT16" s="94">
        <f t="shared" si="22"/>
        <v>0</v>
      </c>
      <c r="BU16" s="92">
        <f t="shared" si="23"/>
        <v>0</v>
      </c>
      <c r="BV16" s="95"/>
      <c r="BW16" s="86">
        <f t="shared" si="59"/>
        <v>7664.0064186265972</v>
      </c>
      <c r="BX16" s="86">
        <f t="shared" si="24"/>
        <v>132864505.54220636</v>
      </c>
      <c r="BY16" s="92">
        <f t="shared" si="60"/>
        <v>0</v>
      </c>
      <c r="BZ16" s="92">
        <f t="shared" si="61"/>
        <v>0</v>
      </c>
      <c r="CA16" s="86">
        <f t="shared" si="62"/>
        <v>7664.0064186265972</v>
      </c>
      <c r="CB16" s="86">
        <f t="shared" si="25"/>
        <v>132864505.54220636</v>
      </c>
      <c r="CC16" s="96">
        <f t="shared" si="26"/>
        <v>166265896.46221578</v>
      </c>
      <c r="CD16" s="96">
        <f t="shared" si="27"/>
        <v>129621837.33881558</v>
      </c>
      <c r="CE16" s="94">
        <f t="shared" si="28"/>
        <v>0</v>
      </c>
      <c r="CF16" s="92">
        <f t="shared" si="29"/>
        <v>0</v>
      </c>
      <c r="CG16" s="67"/>
      <c r="CH16" s="86">
        <f t="shared" si="30"/>
        <v>7664.0064186265972</v>
      </c>
      <c r="CI16" s="86">
        <f t="shared" si="31"/>
        <v>132864505.54220636</v>
      </c>
      <c r="CJ16" s="92">
        <f t="shared" si="63"/>
        <v>0</v>
      </c>
      <c r="CK16" s="92">
        <f t="shared" si="64"/>
        <v>0</v>
      </c>
      <c r="CL16" s="86">
        <f t="shared" si="65"/>
        <v>7664.0064186265972</v>
      </c>
      <c r="CM16" s="86">
        <f t="shared" si="32"/>
        <v>132864505.54220636</v>
      </c>
      <c r="CN16" s="97">
        <f t="shared" si="33"/>
        <v>1.0250163727807287</v>
      </c>
      <c r="CO16" s="554">
        <f t="shared" si="34"/>
        <v>60011</v>
      </c>
      <c r="CP16" s="153"/>
      <c r="CQ16" s="153">
        <f t="shared" si="35"/>
        <v>7893.93</v>
      </c>
      <c r="CR16" s="353"/>
      <c r="CS16" s="391" t="str">
        <f>VLOOKUP(A16,Characteristics!A9:M92,13,FALSE)</f>
        <v/>
      </c>
      <c r="CT16" s="206">
        <f>VLOOKUP(A16,Characteristics!A9:C92,3,FALSE)</f>
        <v>0</v>
      </c>
      <c r="CU16" s="557">
        <f t="shared" si="66"/>
        <v>7893.93</v>
      </c>
      <c r="CV16" s="557" t="str">
        <f t="shared" si="67"/>
        <v/>
      </c>
    </row>
    <row r="17" spans="1:100" s="125" customFormat="1" x14ac:dyDescent="0.3">
      <c r="A17" s="199">
        <v>60012</v>
      </c>
      <c r="B17" s="139"/>
      <c r="C17" s="558">
        <f>VLOOKUP($A17,'Fed Bs Rt+IME+GME+VBP+RAA+HAC'!$B$5:$AG$88,19,FALSE)</f>
        <v>6918.4759729999996</v>
      </c>
      <c r="D17" s="458">
        <f>VLOOKUP($A17,'Fed Bs Rt+IME+GME+VBP+RAA+HAC'!$B$5:$AG$88,25,FALSE)</f>
        <v>885.27396670604003</v>
      </c>
      <c r="E17" s="458">
        <f>VLOOKUP($A17,'Fed Bs Rt+IME+GME+VBP+RAA+HAC'!$B$5:$AG$88,29,FALSE)</f>
        <v>-2.5721907999997167</v>
      </c>
      <c r="F17" s="458">
        <f>VLOOKUP($A17,'Fed Bs Rt+IME+GME+VBP+RAA+HAC'!$B$5:$AG$88,27,FALSE)</f>
        <v>0</v>
      </c>
      <c r="G17" s="458">
        <f>VLOOKUP($A17,'Fed Bs Rt+IME+GME+VBP+RAA+HAC'!$B$5:$AG$88,32,FALSE)</f>
        <v>0</v>
      </c>
      <c r="H17" s="205">
        <f t="shared" si="36"/>
        <v>882.70177590604033</v>
      </c>
      <c r="I17" s="458">
        <f>VLOOKUP(A17,'Fed Bs Rt+IME+GME+VBP+RAA+HAC'!$B$5:$U$88,20,FALSE)</f>
        <v>246.43778937331132</v>
      </c>
      <c r="J17" s="459">
        <f>IF(Characteristics!M10="CAH",+C17*J$4,0)</f>
        <v>0</v>
      </c>
      <c r="K17" s="459">
        <f>IF(OR(Characteristics!M10="SCH",Characteristics!M10="MDH"),+C17*K$4,0)</f>
        <v>0</v>
      </c>
      <c r="L17" s="460">
        <f>IF(OR(J17&gt;0,K17&gt;0,M17&gt;0),0,IF(VLOOKUP(A17,Characteristics!A:H,8,FALSE)&lt;=L$6,L$4*C17,IF(VLOOKUP(A17,Characteristics!A:H,8,FALSE)&gt;=L$5,0,(VLOOKUP(A17,Characteristics!A:H,8,FALSE)-L$5)/(L$6-L$5)*L$4*C17)))</f>
        <v>279.39112137631668</v>
      </c>
      <c r="M17" s="541">
        <f>IF(VLOOKUP($A17,Characteristics!$A:$E,3,FALSE)=2,M$4*C17,0)</f>
        <v>0</v>
      </c>
      <c r="N17" s="461">
        <f>IF(VLOOKUP($A17,Characteristics!$A:$K,6,FALSE)&gt;=N$5,N$4*C17,IF(VLOOKUP($A17,Characteristics!$A:$K,6,FALSE)&lt;=N$6,0,(VLOOKUP($A17,Characteristics!$A:$K,6,FALSE)-N$6)/(N$5-N$6)*N$4*C17))</f>
        <v>0</v>
      </c>
      <c r="O17" s="461">
        <f>IF(VLOOKUP($A17,Characteristics!$A:$K,11,FALSE)&lt;=O$6,O$4*C17,IF(VLOOKUP($A17,Characteristics!$A:$K,11,FALSE)&gt;=O$5,0,(VLOOKUP($A17,Characteristics!$A:$K,11,FALSE)-O$5)/(O$6-O$5)*O$4*C17))</f>
        <v>0</v>
      </c>
      <c r="P17" s="205">
        <f t="shared" si="37"/>
        <v>8327.006659655668</v>
      </c>
      <c r="Q17" s="205"/>
      <c r="R17" s="86">
        <v>5820.33</v>
      </c>
      <c r="S17" s="87">
        <f t="shared" si="0"/>
        <v>5936.74</v>
      </c>
      <c r="T17" s="471"/>
      <c r="U17" s="86">
        <f t="shared" si="38"/>
        <v>8479003.4852661099</v>
      </c>
      <c r="V17" s="89">
        <v>809.02380000000005</v>
      </c>
      <c r="W17" s="90">
        <v>1.7653689608636978</v>
      </c>
      <c r="X17" s="91">
        <f t="shared" si="1"/>
        <v>11892843.292624321</v>
      </c>
      <c r="Y17" s="196"/>
      <c r="Z17" s="86">
        <f t="shared" si="39"/>
        <v>5936.74</v>
      </c>
      <c r="AA17" s="86">
        <f t="shared" si="40"/>
        <v>5343.0659999999998</v>
      </c>
      <c r="AB17" s="86">
        <f t="shared" si="41"/>
        <v>6530.4140000000007</v>
      </c>
      <c r="AC17" s="469"/>
      <c r="AD17" s="100"/>
      <c r="AE17" s="86">
        <f t="shared" si="42"/>
        <v>6668.6058675024533</v>
      </c>
      <c r="AF17" s="86">
        <f t="shared" si="2"/>
        <v>9524272.9835598879</v>
      </c>
      <c r="AG17" s="92">
        <f t="shared" si="43"/>
        <v>0</v>
      </c>
      <c r="AH17" s="92">
        <f t="shared" si="44"/>
        <v>1</v>
      </c>
      <c r="AI17" s="86">
        <f t="shared" si="45"/>
        <v>6530.4140000000007</v>
      </c>
      <c r="AJ17" s="201"/>
      <c r="AK17" s="86">
        <f t="shared" si="3"/>
        <v>9326903.8337927219</v>
      </c>
      <c r="AL17" s="93">
        <f t="shared" si="4"/>
        <v>11892843.292624321</v>
      </c>
      <c r="AM17" s="93">
        <f t="shared" si="5"/>
        <v>8479003.4852661099</v>
      </c>
      <c r="AN17" s="94">
        <f t="shared" si="46"/>
        <v>0</v>
      </c>
      <c r="AO17" s="95"/>
      <c r="AP17" s="86">
        <f t="shared" si="47"/>
        <v>6646.0725157351981</v>
      </c>
      <c r="AQ17" s="86">
        <f t="shared" si="6"/>
        <v>9492090.2758500539</v>
      </c>
      <c r="AR17" s="92">
        <f t="shared" si="48"/>
        <v>0</v>
      </c>
      <c r="AS17" s="92">
        <f t="shared" si="49"/>
        <v>1</v>
      </c>
      <c r="AT17" s="86">
        <f t="shared" si="50"/>
        <v>6530.4140000000007</v>
      </c>
      <c r="AU17" s="86">
        <f t="shared" si="7"/>
        <v>9326903.8337927219</v>
      </c>
      <c r="AV17" s="93">
        <f t="shared" si="8"/>
        <v>0</v>
      </c>
      <c r="AW17" s="93">
        <f t="shared" si="9"/>
        <v>-847900.34852661192</v>
      </c>
      <c r="AX17" s="94">
        <f t="shared" si="10"/>
        <v>1</v>
      </c>
      <c r="AY17" s="92">
        <f t="shared" si="11"/>
        <v>1</v>
      </c>
      <c r="AZ17" s="95"/>
      <c r="BA17" s="86">
        <f t="shared" si="51"/>
        <v>6530.4140000000007</v>
      </c>
      <c r="BB17" s="86">
        <f t="shared" si="12"/>
        <v>9326903.8337927219</v>
      </c>
      <c r="BC17" s="92">
        <f t="shared" si="52"/>
        <v>0</v>
      </c>
      <c r="BD17" s="92">
        <f t="shared" si="53"/>
        <v>1</v>
      </c>
      <c r="BE17" s="86">
        <f t="shared" si="54"/>
        <v>6530.4140000000007</v>
      </c>
      <c r="BF17" s="86">
        <f t="shared" si="13"/>
        <v>9326903.8337927219</v>
      </c>
      <c r="BG17" s="96">
        <f t="shared" si="14"/>
        <v>0</v>
      </c>
      <c r="BH17" s="96">
        <f t="shared" si="15"/>
        <v>-847900.34852661192</v>
      </c>
      <c r="BI17" s="94">
        <f t="shared" si="16"/>
        <v>1</v>
      </c>
      <c r="BJ17" s="92">
        <f t="shared" si="17"/>
        <v>0</v>
      </c>
      <c r="BK17" s="95"/>
      <c r="BL17" s="86">
        <f t="shared" si="55"/>
        <v>6530.4140000000007</v>
      </c>
      <c r="BM17" s="86">
        <f t="shared" si="18"/>
        <v>9326903.8337927219</v>
      </c>
      <c r="BN17" s="92">
        <f t="shared" si="56"/>
        <v>0</v>
      </c>
      <c r="BO17" s="92">
        <f t="shared" si="57"/>
        <v>1</v>
      </c>
      <c r="BP17" s="86">
        <f t="shared" si="58"/>
        <v>6530.4140000000007</v>
      </c>
      <c r="BQ17" s="86">
        <f t="shared" si="19"/>
        <v>9326903.8337927219</v>
      </c>
      <c r="BR17" s="93">
        <f t="shared" si="20"/>
        <v>0</v>
      </c>
      <c r="BS17" s="93">
        <f t="shared" si="21"/>
        <v>-847900.34852661192</v>
      </c>
      <c r="BT17" s="94">
        <f t="shared" si="22"/>
        <v>1</v>
      </c>
      <c r="BU17" s="92">
        <f t="shared" si="23"/>
        <v>0</v>
      </c>
      <c r="BV17" s="95"/>
      <c r="BW17" s="86">
        <f t="shared" si="59"/>
        <v>6530.4140000000007</v>
      </c>
      <c r="BX17" s="86">
        <f t="shared" si="24"/>
        <v>9326903.8337927219</v>
      </c>
      <c r="BY17" s="92">
        <f t="shared" si="60"/>
        <v>0</v>
      </c>
      <c r="BZ17" s="92">
        <f t="shared" si="61"/>
        <v>1</v>
      </c>
      <c r="CA17" s="86">
        <f t="shared" si="62"/>
        <v>6530.4140000000007</v>
      </c>
      <c r="CB17" s="86">
        <f t="shared" si="25"/>
        <v>9326903.8337927219</v>
      </c>
      <c r="CC17" s="96">
        <f t="shared" si="26"/>
        <v>0</v>
      </c>
      <c r="CD17" s="96">
        <f t="shared" si="27"/>
        <v>-847900.34852661192</v>
      </c>
      <c r="CE17" s="94">
        <f t="shared" si="28"/>
        <v>1</v>
      </c>
      <c r="CF17" s="92">
        <f t="shared" si="29"/>
        <v>0</v>
      </c>
      <c r="CG17" s="67"/>
      <c r="CH17" s="86">
        <f t="shared" si="30"/>
        <v>6654.1825234330772</v>
      </c>
      <c r="CI17" s="86">
        <f t="shared" si="31"/>
        <v>9503673.1956908852</v>
      </c>
      <c r="CJ17" s="92">
        <f t="shared" si="63"/>
        <v>0</v>
      </c>
      <c r="CK17" s="92">
        <f t="shared" si="64"/>
        <v>1</v>
      </c>
      <c r="CL17" s="86">
        <f t="shared" si="65"/>
        <v>6530.4140000000007</v>
      </c>
      <c r="CM17" s="86">
        <f t="shared" si="32"/>
        <v>9326903.8337927219</v>
      </c>
      <c r="CN17" s="97">
        <f t="shared" si="33"/>
        <v>1.1000000000000001</v>
      </c>
      <c r="CO17" s="554">
        <f t="shared" si="34"/>
        <v>60012</v>
      </c>
      <c r="CP17" s="153"/>
      <c r="CQ17" s="153">
        <f t="shared" si="35"/>
        <v>6726.33</v>
      </c>
      <c r="CR17" s="353"/>
      <c r="CS17" s="391" t="str">
        <f>VLOOKUP(A17,Characteristics!A10:M93,13,FALSE)</f>
        <v/>
      </c>
      <c r="CT17" s="206">
        <f>VLOOKUP(A17,Characteristics!A10:C93,3,FALSE)</f>
        <v>0</v>
      </c>
      <c r="CU17" s="557">
        <f t="shared" si="66"/>
        <v>6726.33</v>
      </c>
      <c r="CV17" s="557" t="str">
        <f t="shared" si="67"/>
        <v/>
      </c>
    </row>
    <row r="18" spans="1:100" s="194" customFormat="1" x14ac:dyDescent="0.3">
      <c r="A18" s="206">
        <v>60013</v>
      </c>
      <c r="B18" s="165"/>
      <c r="C18" s="558">
        <f>VLOOKUP($A18,'Fed Bs Rt+IME+GME+VBP+RAA+HAC'!$B$5:$AG$88,19,FALSE)</f>
        <v>6918.4759729999996</v>
      </c>
      <c r="D18" s="458">
        <f>VLOOKUP($A18,'Fed Bs Rt+IME+GME+VBP+RAA+HAC'!$B$5:$AG$88,25,FALSE)</f>
        <v>0</v>
      </c>
      <c r="E18" s="458">
        <f>VLOOKUP($A18,'Fed Bs Rt+IME+GME+VBP+RAA+HAC'!$B$5:$AG$88,29,FALSE)</f>
        <v>0</v>
      </c>
      <c r="F18" s="458">
        <f>VLOOKUP($A18,'Fed Bs Rt+IME+GME+VBP+RAA+HAC'!$B$5:$AG$88,27,FALSE)</f>
        <v>0</v>
      </c>
      <c r="G18" s="458">
        <f>VLOOKUP($A18,'Fed Bs Rt+IME+GME+VBP+RAA+HAC'!$B$5:$AG$88,32,FALSE)</f>
        <v>0</v>
      </c>
      <c r="H18" s="205">
        <f t="shared" si="36"/>
        <v>0</v>
      </c>
      <c r="I18" s="458">
        <f>VLOOKUP(A18,'Fed Bs Rt+IME+GME+VBP+RAA+HAC'!$B$5:$U$88,20,FALSE)</f>
        <v>0</v>
      </c>
      <c r="J18" s="459">
        <f>IF(Characteristics!M11="CAH",+C18*J$4,0)</f>
        <v>0</v>
      </c>
      <c r="K18" s="459">
        <f>IF(OR(Characteristics!M11="SCH",Characteristics!M11="MDH"),+C18*K$4,0)</f>
        <v>1383.6951945999999</v>
      </c>
      <c r="L18" s="460">
        <f>IF(OR(J18&gt;0,K18&gt;0,M18&gt;0),0,IF(VLOOKUP(A18,Characteristics!A:H,8,FALSE)&lt;=L$6,L$4*C18,IF(VLOOKUP(A18,Characteristics!A:H,8,FALSE)&gt;=L$5,0,(VLOOKUP(A18,Characteristics!A:H,8,FALSE)-L$5)/(L$6-L$5)*L$4*C18)))</f>
        <v>0</v>
      </c>
      <c r="M18" s="541">
        <f>IF(VLOOKUP($A18,Characteristics!$A:$E,3,FALSE)=2,M$4*C18,0)</f>
        <v>0</v>
      </c>
      <c r="N18" s="461">
        <f>IF(VLOOKUP($A18,Characteristics!$A:$K,6,FALSE)&gt;=N$5,N$4*C18,IF(VLOOKUP($A18,Characteristics!$A:$K,6,FALSE)&lt;=N$6,0,(VLOOKUP($A18,Characteristics!$A:$K,6,FALSE)-N$6)/(N$5-N$6)*N$4*C18))</f>
        <v>0</v>
      </c>
      <c r="O18" s="461">
        <f>IF(VLOOKUP($A18,Characteristics!$A:$K,11,FALSE)&lt;=O$6,O$4*C18,IF(VLOOKUP($A18,Characteristics!$A:$K,11,FALSE)&gt;=O$5,0,(VLOOKUP($A18,Characteristics!$A:$K,11,FALSE)-O$5)/(O$6-O$5)*O$4*C18))</f>
        <v>0</v>
      </c>
      <c r="P18" s="205">
        <f t="shared" si="37"/>
        <v>8302.1711675999995</v>
      </c>
      <c r="Q18" s="205"/>
      <c r="R18" s="86">
        <v>6893.03</v>
      </c>
      <c r="S18" s="87">
        <f t="shared" si="0"/>
        <v>7030.89</v>
      </c>
      <c r="T18" s="471"/>
      <c r="U18" s="86">
        <f t="shared" si="38"/>
        <v>11443768.867205188</v>
      </c>
      <c r="V18" s="89">
        <v>1371.3008000000002</v>
      </c>
      <c r="W18" s="90">
        <v>1.1869325636942676</v>
      </c>
      <c r="X18" s="91">
        <f t="shared" si="1"/>
        <v>13512958.948012188</v>
      </c>
      <c r="Y18" s="196"/>
      <c r="Z18" s="86">
        <f t="shared" si="39"/>
        <v>7030.89</v>
      </c>
      <c r="AA18" s="86">
        <f t="shared" si="40"/>
        <v>6327.8010000000004</v>
      </c>
      <c r="AB18" s="86">
        <f t="shared" si="41"/>
        <v>7733.9790000000012</v>
      </c>
      <c r="AC18" s="469"/>
      <c r="AD18" s="100"/>
      <c r="AE18" s="86">
        <f t="shared" si="42"/>
        <v>6648.7165945843517</v>
      </c>
      <c r="AF18" s="86">
        <f t="shared" si="2"/>
        <v>10821727.544020018</v>
      </c>
      <c r="AG18" s="92">
        <f t="shared" si="43"/>
        <v>0</v>
      </c>
      <c r="AH18" s="92">
        <f t="shared" si="44"/>
        <v>0</v>
      </c>
      <c r="AI18" s="86">
        <f t="shared" si="45"/>
        <v>6648.7165945843517</v>
      </c>
      <c r="AJ18" s="201"/>
      <c r="AK18" s="86">
        <f t="shared" si="3"/>
        <v>10821727.544020018</v>
      </c>
      <c r="AL18" s="93">
        <f t="shared" si="4"/>
        <v>13512958.948012188</v>
      </c>
      <c r="AM18" s="93">
        <f t="shared" si="5"/>
        <v>11443768.867205188</v>
      </c>
      <c r="AN18" s="94">
        <f t="shared" si="46"/>
        <v>0</v>
      </c>
      <c r="AO18" s="95"/>
      <c r="AP18" s="86">
        <f t="shared" si="47"/>
        <v>6626.2504490655929</v>
      </c>
      <c r="AQ18" s="86">
        <f t="shared" si="6"/>
        <v>10785160.711563006</v>
      </c>
      <c r="AR18" s="92">
        <f t="shared" si="48"/>
        <v>0</v>
      </c>
      <c r="AS18" s="92">
        <f t="shared" si="49"/>
        <v>0</v>
      </c>
      <c r="AT18" s="86">
        <f t="shared" si="50"/>
        <v>6626.2504490655929</v>
      </c>
      <c r="AU18" s="86">
        <f t="shared" si="7"/>
        <v>10785160.711563006</v>
      </c>
      <c r="AV18" s="93">
        <f t="shared" si="8"/>
        <v>13512958.948012188</v>
      </c>
      <c r="AW18" s="93">
        <f t="shared" si="9"/>
        <v>11443768.867205188</v>
      </c>
      <c r="AX18" s="94">
        <f t="shared" si="10"/>
        <v>0</v>
      </c>
      <c r="AY18" s="92">
        <f t="shared" si="11"/>
        <v>0</v>
      </c>
      <c r="AZ18" s="95"/>
      <c r="BA18" s="86">
        <f t="shared" si="51"/>
        <v>6634.3361847561273</v>
      </c>
      <c r="BB18" s="86">
        <f t="shared" si="12"/>
        <v>10798321.391130427</v>
      </c>
      <c r="BC18" s="92">
        <f t="shared" si="52"/>
        <v>0</v>
      </c>
      <c r="BD18" s="92">
        <f t="shared" si="53"/>
        <v>0</v>
      </c>
      <c r="BE18" s="86">
        <f t="shared" si="54"/>
        <v>6634.3361847561273</v>
      </c>
      <c r="BF18" s="86">
        <f t="shared" si="13"/>
        <v>10798321.391130427</v>
      </c>
      <c r="BG18" s="96">
        <f t="shared" si="14"/>
        <v>13512958.948012188</v>
      </c>
      <c r="BH18" s="96">
        <f t="shared" si="15"/>
        <v>11443768.867205188</v>
      </c>
      <c r="BI18" s="94">
        <f t="shared" si="16"/>
        <v>0</v>
      </c>
      <c r="BJ18" s="92">
        <f t="shared" si="17"/>
        <v>0</v>
      </c>
      <c r="BK18" s="95"/>
      <c r="BL18" s="86">
        <f t="shared" si="55"/>
        <v>6634.336268475894</v>
      </c>
      <c r="BM18" s="86">
        <f t="shared" si="18"/>
        <v>10798321.5273962</v>
      </c>
      <c r="BN18" s="92">
        <f t="shared" si="56"/>
        <v>0</v>
      </c>
      <c r="BO18" s="92">
        <f t="shared" si="57"/>
        <v>0</v>
      </c>
      <c r="BP18" s="86">
        <f t="shared" si="58"/>
        <v>6634.336268475894</v>
      </c>
      <c r="BQ18" s="86">
        <f t="shared" si="19"/>
        <v>10798321.5273962</v>
      </c>
      <c r="BR18" s="93">
        <f t="shared" si="20"/>
        <v>13512958.948012188</v>
      </c>
      <c r="BS18" s="93">
        <f t="shared" si="21"/>
        <v>11443768.867205188</v>
      </c>
      <c r="BT18" s="94">
        <f t="shared" si="22"/>
        <v>0</v>
      </c>
      <c r="BU18" s="92">
        <f t="shared" si="23"/>
        <v>0</v>
      </c>
      <c r="BV18" s="95"/>
      <c r="BW18" s="86">
        <f t="shared" si="59"/>
        <v>6634.336268475894</v>
      </c>
      <c r="BX18" s="86">
        <f t="shared" si="24"/>
        <v>10798321.5273962</v>
      </c>
      <c r="BY18" s="92">
        <f t="shared" si="60"/>
        <v>0</v>
      </c>
      <c r="BZ18" s="92">
        <f t="shared" si="61"/>
        <v>0</v>
      </c>
      <c r="CA18" s="86">
        <f t="shared" si="62"/>
        <v>6634.336268475894</v>
      </c>
      <c r="CB18" s="86">
        <f t="shared" si="25"/>
        <v>10798321.5273962</v>
      </c>
      <c r="CC18" s="96">
        <f t="shared" si="26"/>
        <v>13512958.948012188</v>
      </c>
      <c r="CD18" s="96">
        <f t="shared" si="27"/>
        <v>11443768.867205188</v>
      </c>
      <c r="CE18" s="94">
        <f t="shared" si="28"/>
        <v>0</v>
      </c>
      <c r="CF18" s="92">
        <f t="shared" si="29"/>
        <v>0</v>
      </c>
      <c r="CG18" s="95"/>
      <c r="CH18" s="86">
        <f t="shared" si="30"/>
        <v>6634.336268475894</v>
      </c>
      <c r="CI18" s="86">
        <f t="shared" si="31"/>
        <v>10798321.5273962</v>
      </c>
      <c r="CJ18" s="92">
        <f t="shared" si="63"/>
        <v>0</v>
      </c>
      <c r="CK18" s="92">
        <f t="shared" si="64"/>
        <v>0</v>
      </c>
      <c r="CL18" s="86">
        <f t="shared" si="65"/>
        <v>6634.336268475894</v>
      </c>
      <c r="CM18" s="86">
        <f t="shared" si="32"/>
        <v>10798321.5273962</v>
      </c>
      <c r="CN18" s="97">
        <f t="shared" si="33"/>
        <v>0.94359835930812364</v>
      </c>
      <c r="CO18" s="554">
        <f t="shared" si="34"/>
        <v>60013</v>
      </c>
      <c r="CP18" s="153"/>
      <c r="CQ18" s="153">
        <f t="shared" si="35"/>
        <v>6833.37</v>
      </c>
      <c r="CR18" s="353"/>
      <c r="CS18" s="391" t="str">
        <f>VLOOKUP(A18,Characteristics!A11:M94,13,FALSE)</f>
        <v>SCH</v>
      </c>
      <c r="CT18" s="206">
        <f>VLOOKUP(A18,Characteristics!A11:C94,3,FALSE)</f>
        <v>1</v>
      </c>
      <c r="CU18" s="557" t="str">
        <f t="shared" si="66"/>
        <v/>
      </c>
      <c r="CV18" s="557">
        <f t="shared" si="67"/>
        <v>6833.37</v>
      </c>
    </row>
    <row r="19" spans="1:100" s="125" customFormat="1" x14ac:dyDescent="0.3">
      <c r="A19" s="199">
        <v>60014</v>
      </c>
      <c r="B19" s="139"/>
      <c r="C19" s="558">
        <f>VLOOKUP($A19,'Fed Bs Rt+IME+GME+VBP+RAA+HAC'!$B$5:$AG$88,19,FALSE)</f>
        <v>6918.4759729999996</v>
      </c>
      <c r="D19" s="458">
        <f>VLOOKUP($A19,'Fed Bs Rt+IME+GME+VBP+RAA+HAC'!$B$5:$AG$88,25,FALSE)</f>
        <v>179.57855405728998</v>
      </c>
      <c r="E19" s="458">
        <f>VLOOKUP($A19,'Fed Bs Rt+IME+GME+VBP+RAA+HAC'!$B$5:$AG$88,29,FALSE)</f>
        <v>-18.005335600000159</v>
      </c>
      <c r="F19" s="458">
        <f>VLOOKUP($A19,'Fed Bs Rt+IME+GME+VBP+RAA+HAC'!$B$5:$AG$88,27,FALSE)</f>
        <v>0</v>
      </c>
      <c r="G19" s="458">
        <f>VLOOKUP($A19,'Fed Bs Rt+IME+GME+VBP+RAA+HAC'!$B$5:$AG$88,32,FALSE)</f>
        <v>0</v>
      </c>
      <c r="H19" s="205">
        <f t="shared" si="36"/>
        <v>161.57321845728981</v>
      </c>
      <c r="I19" s="458">
        <f>VLOOKUP(A19,'Fed Bs Rt+IME+GME+VBP+RAA+HAC'!$B$5:$U$88,20,FALSE)</f>
        <v>8.4770709676312261</v>
      </c>
      <c r="J19" s="459">
        <f>IF(Characteristics!M12="CAH",+C19*J$4,0)</f>
        <v>0</v>
      </c>
      <c r="K19" s="459">
        <f>IF(OR(Characteristics!M12="SCH",Characteristics!M12="MDH"),+C19*K$4,0)</f>
        <v>0</v>
      </c>
      <c r="L19" s="460">
        <f>IF(OR(J19&gt;0,K19&gt;0,M19&gt;0),0,IF(VLOOKUP(A19,Characteristics!A:H,8,FALSE)&lt;=L$6,L$4*C19,IF(VLOOKUP(A19,Characteristics!A:H,8,FALSE)&gt;=L$5,0,(VLOOKUP(A19,Characteristics!A:H,8,FALSE)-L$5)/(L$6-L$5)*L$4*C19)))</f>
        <v>0</v>
      </c>
      <c r="M19" s="541">
        <f>IF(VLOOKUP($A19,Characteristics!$A:$E,3,FALSE)=2,M$4*C19,0)</f>
        <v>0</v>
      </c>
      <c r="N19" s="461">
        <f>IF(VLOOKUP($A19,Characteristics!$A:$K,6,FALSE)&gt;=N$5,N$4*C19,IF(VLOOKUP($A19,Characteristics!$A:$K,6,FALSE)&lt;=N$6,0,(VLOOKUP($A19,Characteristics!$A:$K,6,FALSE)-N$6)/(N$5-N$6)*N$4*C19))</f>
        <v>405.50492637204889</v>
      </c>
      <c r="O19" s="461">
        <f>IF(VLOOKUP($A19,Characteristics!$A:$K,11,FALSE)&lt;=O$6,O$4*C19,IF(VLOOKUP($A19,Characteristics!$A:$K,11,FALSE)&gt;=O$5,0,(VLOOKUP($A19,Characteristics!$A:$K,11,FALSE)-O$5)/(O$6-O$5)*O$4*C19))</f>
        <v>0</v>
      </c>
      <c r="P19" s="205">
        <f t="shared" si="37"/>
        <v>7494.0311887969692</v>
      </c>
      <c r="Q19" s="205"/>
      <c r="R19" s="86">
        <v>5980.22</v>
      </c>
      <c r="S19" s="87">
        <f t="shared" si="0"/>
        <v>6099.82</v>
      </c>
      <c r="T19" s="471"/>
      <c r="U19" s="86">
        <f t="shared" si="38"/>
        <v>41842319.383477762</v>
      </c>
      <c r="V19" s="89">
        <v>3715.3954000000003</v>
      </c>
      <c r="W19" s="90">
        <v>1.8462635321774903</v>
      </c>
      <c r="X19" s="91">
        <f t="shared" si="1"/>
        <v>51406049.108233742</v>
      </c>
      <c r="Y19" s="196"/>
      <c r="Z19" s="86">
        <f t="shared" si="39"/>
        <v>6099.82</v>
      </c>
      <c r="AA19" s="86">
        <f t="shared" si="40"/>
        <v>5489.8379999999997</v>
      </c>
      <c r="AB19" s="86">
        <f t="shared" si="41"/>
        <v>6709.8020000000006</v>
      </c>
      <c r="AC19" s="469"/>
      <c r="AD19" s="100"/>
      <c r="AE19" s="86">
        <f t="shared" si="42"/>
        <v>6001.5252058083943</v>
      </c>
      <c r="AF19" s="86">
        <f t="shared" si="2"/>
        <v>41168056.508130886</v>
      </c>
      <c r="AG19" s="92">
        <f t="shared" si="43"/>
        <v>0</v>
      </c>
      <c r="AH19" s="92">
        <f t="shared" si="44"/>
        <v>0</v>
      </c>
      <c r="AI19" s="86">
        <f t="shared" si="45"/>
        <v>6001.5252058083943</v>
      </c>
      <c r="AJ19" s="201"/>
      <c r="AK19" s="86">
        <f t="shared" si="3"/>
        <v>41168056.508130886</v>
      </c>
      <c r="AL19" s="93">
        <f t="shared" si="4"/>
        <v>51406049.108233742</v>
      </c>
      <c r="AM19" s="93">
        <f t="shared" si="5"/>
        <v>41842319.383477762</v>
      </c>
      <c r="AN19" s="94">
        <f t="shared" si="46"/>
        <v>0</v>
      </c>
      <c r="AO19" s="95"/>
      <c r="AP19" s="86">
        <f t="shared" si="47"/>
        <v>5981.2459328554733</v>
      </c>
      <c r="AQ19" s="86">
        <f t="shared" si="6"/>
        <v>41028948.826959834</v>
      </c>
      <c r="AR19" s="92">
        <f t="shared" si="48"/>
        <v>0</v>
      </c>
      <c r="AS19" s="92">
        <f t="shared" si="49"/>
        <v>0</v>
      </c>
      <c r="AT19" s="86">
        <f t="shared" si="50"/>
        <v>5981.2459328554733</v>
      </c>
      <c r="AU19" s="86">
        <f t="shared" si="7"/>
        <v>41028948.826959834</v>
      </c>
      <c r="AV19" s="93">
        <f t="shared" si="8"/>
        <v>51406049.108233742</v>
      </c>
      <c r="AW19" s="93">
        <f t="shared" si="9"/>
        <v>41842319.383477762</v>
      </c>
      <c r="AX19" s="94">
        <f t="shared" si="10"/>
        <v>0</v>
      </c>
      <c r="AY19" s="92">
        <f t="shared" si="11"/>
        <v>0</v>
      </c>
      <c r="AZ19" s="95"/>
      <c r="BA19" s="86">
        <f t="shared" si="51"/>
        <v>5988.5445965695762</v>
      </c>
      <c r="BB19" s="86">
        <f t="shared" si="12"/>
        <v>41079014.733527251</v>
      </c>
      <c r="BC19" s="92">
        <f t="shared" si="52"/>
        <v>0</v>
      </c>
      <c r="BD19" s="92">
        <f t="shared" si="53"/>
        <v>0</v>
      </c>
      <c r="BE19" s="86">
        <f t="shared" si="54"/>
        <v>5988.5445965695762</v>
      </c>
      <c r="BF19" s="86">
        <f t="shared" si="13"/>
        <v>41079014.733527251</v>
      </c>
      <c r="BG19" s="96">
        <f t="shared" si="14"/>
        <v>51406049.108233742</v>
      </c>
      <c r="BH19" s="96">
        <f t="shared" si="15"/>
        <v>41842319.383477762</v>
      </c>
      <c r="BI19" s="94">
        <f t="shared" si="16"/>
        <v>0</v>
      </c>
      <c r="BJ19" s="92">
        <f t="shared" si="17"/>
        <v>0</v>
      </c>
      <c r="BK19" s="95"/>
      <c r="BL19" s="86">
        <f t="shared" si="55"/>
        <v>5988.544672139994</v>
      </c>
      <c r="BM19" s="86">
        <f t="shared" si="18"/>
        <v>41079015.251910016</v>
      </c>
      <c r="BN19" s="92">
        <f t="shared" si="56"/>
        <v>0</v>
      </c>
      <c r="BO19" s="92">
        <f t="shared" si="57"/>
        <v>0</v>
      </c>
      <c r="BP19" s="86">
        <f t="shared" si="58"/>
        <v>5988.544672139994</v>
      </c>
      <c r="BQ19" s="86">
        <f t="shared" si="19"/>
        <v>41079015.251910016</v>
      </c>
      <c r="BR19" s="93">
        <f t="shared" si="20"/>
        <v>51406049.108233742</v>
      </c>
      <c r="BS19" s="93">
        <f t="shared" si="21"/>
        <v>41842319.383477762</v>
      </c>
      <c r="BT19" s="94">
        <f t="shared" si="22"/>
        <v>0</v>
      </c>
      <c r="BU19" s="92">
        <f t="shared" si="23"/>
        <v>0</v>
      </c>
      <c r="BV19" s="95"/>
      <c r="BW19" s="86">
        <f t="shared" si="59"/>
        <v>5988.544672139994</v>
      </c>
      <c r="BX19" s="86">
        <f t="shared" si="24"/>
        <v>41079015.251910016</v>
      </c>
      <c r="BY19" s="92">
        <f t="shared" si="60"/>
        <v>0</v>
      </c>
      <c r="BZ19" s="92">
        <f t="shared" si="61"/>
        <v>0</v>
      </c>
      <c r="CA19" s="86">
        <f t="shared" si="62"/>
        <v>5988.544672139994</v>
      </c>
      <c r="CB19" s="86">
        <f t="shared" si="25"/>
        <v>41079015.251910016</v>
      </c>
      <c r="CC19" s="96">
        <f t="shared" si="26"/>
        <v>51406049.108233742</v>
      </c>
      <c r="CD19" s="96">
        <f t="shared" si="27"/>
        <v>41842319.383477762</v>
      </c>
      <c r="CE19" s="94">
        <f t="shared" si="28"/>
        <v>0</v>
      </c>
      <c r="CF19" s="92">
        <f t="shared" si="29"/>
        <v>0</v>
      </c>
      <c r="CG19" s="67"/>
      <c r="CH19" s="86">
        <f t="shared" si="30"/>
        <v>5988.544672139994</v>
      </c>
      <c r="CI19" s="86">
        <f t="shared" si="31"/>
        <v>41079015.251910016</v>
      </c>
      <c r="CJ19" s="92">
        <f t="shared" si="63"/>
        <v>0</v>
      </c>
      <c r="CK19" s="92">
        <f t="shared" si="64"/>
        <v>0</v>
      </c>
      <c r="CL19" s="86">
        <f t="shared" si="65"/>
        <v>5988.544672139994</v>
      </c>
      <c r="CM19" s="86">
        <f t="shared" si="32"/>
        <v>41079015.251910016</v>
      </c>
      <c r="CN19" s="97">
        <f t="shared" si="33"/>
        <v>0.98175760467357964</v>
      </c>
      <c r="CO19" s="554">
        <f t="shared" si="34"/>
        <v>60014</v>
      </c>
      <c r="CP19" s="153"/>
      <c r="CQ19" s="153">
        <f t="shared" si="35"/>
        <v>6168.2</v>
      </c>
      <c r="CR19" s="353"/>
      <c r="CS19" s="391" t="str">
        <f>VLOOKUP(A19,Characteristics!A12:M95,13,FALSE)</f>
        <v/>
      </c>
      <c r="CT19" s="206">
        <f>VLOOKUP(A19,Characteristics!A12:C95,3,FALSE)</f>
        <v>0</v>
      </c>
      <c r="CU19" s="557">
        <f t="shared" si="66"/>
        <v>6168.2</v>
      </c>
      <c r="CV19" s="557" t="str">
        <f t="shared" si="67"/>
        <v/>
      </c>
    </row>
    <row r="20" spans="1:100" s="125" customFormat="1" x14ac:dyDescent="0.3">
      <c r="A20" s="199">
        <v>60015</v>
      </c>
      <c r="B20" s="139"/>
      <c r="C20" s="558">
        <f>VLOOKUP($A20,'Fed Bs Rt+IME+GME+VBP+RAA+HAC'!$B$5:$AG$88,19,FALSE)</f>
        <v>6918.4759729999996</v>
      </c>
      <c r="D20" s="458">
        <f>VLOOKUP($A20,'Fed Bs Rt+IME+GME+VBP+RAA+HAC'!$B$5:$AG$88,25,FALSE)</f>
        <v>193.35915544487699</v>
      </c>
      <c r="E20" s="458">
        <f>VLOOKUP($A20,'Fed Bs Rt+IME+GME+VBP+RAA+HAC'!$B$5:$AG$88,29,FALSE)</f>
        <v>0</v>
      </c>
      <c r="F20" s="458">
        <f>VLOOKUP($A20,'Fed Bs Rt+IME+GME+VBP+RAA+HAC'!$B$5:$AG$88,27,FALSE)</f>
        <v>0</v>
      </c>
      <c r="G20" s="458">
        <f>VLOOKUP($A20,'Fed Bs Rt+IME+GME+VBP+RAA+HAC'!$B$5:$AG$88,32,FALSE)</f>
        <v>0</v>
      </c>
      <c r="H20" s="205">
        <f t="shared" si="36"/>
        <v>193.35915544487699</v>
      </c>
      <c r="I20" s="458">
        <f>VLOOKUP(A20,'Fed Bs Rt+IME+GME+VBP+RAA+HAC'!$B$5:$U$88,20,FALSE)</f>
        <v>2.7492828259980389</v>
      </c>
      <c r="J20" s="459">
        <f>IF(Characteristics!M13="CAH",+C20*J$4,0)</f>
        <v>0</v>
      </c>
      <c r="K20" s="459">
        <f>IF(OR(Characteristics!M13="SCH",Characteristics!M13="MDH"),+C20*K$4,0)</f>
        <v>0</v>
      </c>
      <c r="L20" s="460">
        <f>IF(OR(J20&gt;0,K20&gt;0,M20&gt;0),0,IF(VLOOKUP(A20,Characteristics!A:H,8,FALSE)&lt;=L$6,L$4*C20,IF(VLOOKUP(A20,Characteristics!A:H,8,FALSE)&gt;=L$5,0,(VLOOKUP(A20,Characteristics!A:H,8,FALSE)-L$5)/(L$6-L$5)*L$4*C20)))</f>
        <v>0</v>
      </c>
      <c r="M20" s="541">
        <f>IF(VLOOKUP($A20,Characteristics!$A:$E,3,FALSE)=2,M$4*C20,0)</f>
        <v>0</v>
      </c>
      <c r="N20" s="461">
        <f>IF(VLOOKUP($A20,Characteristics!$A:$K,6,FALSE)&gt;=N$5,N$4*C20,IF(VLOOKUP($A20,Characteristics!$A:$K,6,FALSE)&lt;=N$6,0,(VLOOKUP($A20,Characteristics!$A:$K,6,FALSE)-N$6)/(N$5-N$6)*N$4*C20))</f>
        <v>0</v>
      </c>
      <c r="O20" s="461">
        <f>IF(VLOOKUP($A20,Characteristics!$A:$K,11,FALSE)&lt;=O$6,O$4*C20,IF(VLOOKUP($A20,Characteristics!$A:$K,11,FALSE)&gt;=O$5,0,(VLOOKUP($A20,Characteristics!$A:$K,11,FALSE)-O$5)/(O$6-O$5)*O$4*C20))</f>
        <v>0</v>
      </c>
      <c r="P20" s="205">
        <f t="shared" si="37"/>
        <v>7114.5844112708746</v>
      </c>
      <c r="Q20" s="205"/>
      <c r="R20" s="86">
        <v>5460.36</v>
      </c>
      <c r="S20" s="87">
        <f t="shared" si="0"/>
        <v>5569.57</v>
      </c>
      <c r="T20" s="471"/>
      <c r="U20" s="86">
        <f t="shared" si="38"/>
        <v>42850073.232068188</v>
      </c>
      <c r="V20" s="89">
        <v>3212.0756000000001</v>
      </c>
      <c r="W20" s="90">
        <v>2.3952130183548608</v>
      </c>
      <c r="X20" s="91">
        <f t="shared" si="1"/>
        <v>54736804.284475766</v>
      </c>
      <c r="Y20" s="196"/>
      <c r="Z20" s="86">
        <f t="shared" si="39"/>
        <v>5569.57</v>
      </c>
      <c r="AA20" s="86">
        <f t="shared" si="40"/>
        <v>5012.6130000000003</v>
      </c>
      <c r="AB20" s="86">
        <f t="shared" si="41"/>
        <v>6126.527</v>
      </c>
      <c r="AC20" s="469"/>
      <c r="AD20" s="98"/>
      <c r="AE20" s="86">
        <f t="shared" si="42"/>
        <v>5697.6487817297275</v>
      </c>
      <c r="AF20" s="86">
        <f t="shared" si="2"/>
        <v>43835460.825112693</v>
      </c>
      <c r="AG20" s="92">
        <f t="shared" si="43"/>
        <v>0</v>
      </c>
      <c r="AH20" s="92">
        <f t="shared" si="44"/>
        <v>0</v>
      </c>
      <c r="AI20" s="86">
        <f t="shared" si="45"/>
        <v>5697.6487817297275</v>
      </c>
      <c r="AJ20" s="201"/>
      <c r="AK20" s="86">
        <f t="shared" si="3"/>
        <v>43835460.825112693</v>
      </c>
      <c r="AL20" s="93">
        <f t="shared" si="4"/>
        <v>54736804.284475766</v>
      </c>
      <c r="AM20" s="93">
        <f t="shared" si="5"/>
        <v>42850073.232068188</v>
      </c>
      <c r="AN20" s="94">
        <f t="shared" si="46"/>
        <v>0</v>
      </c>
      <c r="AO20" s="95"/>
      <c r="AP20" s="86">
        <f t="shared" si="47"/>
        <v>5678.3963132534227</v>
      </c>
      <c r="AQ20" s="86">
        <f t="shared" si="6"/>
        <v>43687339.931738928</v>
      </c>
      <c r="AR20" s="92">
        <f t="shared" si="48"/>
        <v>0</v>
      </c>
      <c r="AS20" s="92">
        <f t="shared" si="49"/>
        <v>0</v>
      </c>
      <c r="AT20" s="86">
        <f t="shared" si="50"/>
        <v>5678.3963132534227</v>
      </c>
      <c r="AU20" s="86">
        <f t="shared" si="7"/>
        <v>43687339.931738928</v>
      </c>
      <c r="AV20" s="93">
        <f t="shared" si="8"/>
        <v>54736804.284475766</v>
      </c>
      <c r="AW20" s="93">
        <f t="shared" si="9"/>
        <v>42850073.232068188</v>
      </c>
      <c r="AX20" s="94">
        <f t="shared" si="10"/>
        <v>0</v>
      </c>
      <c r="AY20" s="92">
        <f t="shared" si="11"/>
        <v>0</v>
      </c>
      <c r="AZ20" s="95"/>
      <c r="BA20" s="86">
        <f t="shared" si="51"/>
        <v>5685.3254222703545</v>
      </c>
      <c r="BB20" s="86">
        <f t="shared" si="12"/>
        <v>43740649.761547782</v>
      </c>
      <c r="BC20" s="92">
        <f t="shared" si="52"/>
        <v>0</v>
      </c>
      <c r="BD20" s="92">
        <f t="shared" si="53"/>
        <v>0</v>
      </c>
      <c r="BE20" s="86">
        <f t="shared" si="54"/>
        <v>5685.3254222703545</v>
      </c>
      <c r="BF20" s="86">
        <f t="shared" si="13"/>
        <v>43740649.761547782</v>
      </c>
      <c r="BG20" s="96">
        <f t="shared" si="14"/>
        <v>54736804.284475766</v>
      </c>
      <c r="BH20" s="96">
        <f t="shared" si="15"/>
        <v>42850073.232068188</v>
      </c>
      <c r="BI20" s="94">
        <f t="shared" si="16"/>
        <v>0</v>
      </c>
      <c r="BJ20" s="92">
        <f t="shared" si="17"/>
        <v>0</v>
      </c>
      <c r="BK20" s="95"/>
      <c r="BL20" s="86">
        <f t="shared" si="55"/>
        <v>5685.3254940144006</v>
      </c>
      <c r="BM20" s="86">
        <f t="shared" si="18"/>
        <v>43740650.313518152</v>
      </c>
      <c r="BN20" s="92">
        <f t="shared" si="56"/>
        <v>0</v>
      </c>
      <c r="BO20" s="92">
        <f t="shared" si="57"/>
        <v>0</v>
      </c>
      <c r="BP20" s="86">
        <f t="shared" si="58"/>
        <v>5685.3254940144006</v>
      </c>
      <c r="BQ20" s="86">
        <f t="shared" si="19"/>
        <v>43740650.313518152</v>
      </c>
      <c r="BR20" s="93">
        <f t="shared" si="20"/>
        <v>54736804.284475766</v>
      </c>
      <c r="BS20" s="93">
        <f t="shared" si="21"/>
        <v>42850073.232068188</v>
      </c>
      <c r="BT20" s="94">
        <f t="shared" si="22"/>
        <v>0</v>
      </c>
      <c r="BU20" s="92">
        <f t="shared" si="23"/>
        <v>0</v>
      </c>
      <c r="BV20" s="95"/>
      <c r="BW20" s="86">
        <f t="shared" si="59"/>
        <v>5685.3254940144006</v>
      </c>
      <c r="BX20" s="86">
        <f t="shared" si="24"/>
        <v>43740650.313518152</v>
      </c>
      <c r="BY20" s="92">
        <f t="shared" si="60"/>
        <v>0</v>
      </c>
      <c r="BZ20" s="92">
        <f t="shared" si="61"/>
        <v>0</v>
      </c>
      <c r="CA20" s="86">
        <f t="shared" si="62"/>
        <v>5685.3254940144006</v>
      </c>
      <c r="CB20" s="86">
        <f t="shared" si="25"/>
        <v>43740650.313518152</v>
      </c>
      <c r="CC20" s="96">
        <f t="shared" si="26"/>
        <v>54736804.284475766</v>
      </c>
      <c r="CD20" s="96">
        <f t="shared" si="27"/>
        <v>42850073.232068188</v>
      </c>
      <c r="CE20" s="94">
        <f t="shared" si="28"/>
        <v>0</v>
      </c>
      <c r="CF20" s="92">
        <f t="shared" si="29"/>
        <v>0</v>
      </c>
      <c r="CG20" s="67"/>
      <c r="CH20" s="86">
        <f t="shared" si="30"/>
        <v>5685.3254940144006</v>
      </c>
      <c r="CI20" s="86">
        <f t="shared" si="31"/>
        <v>43740650.313518152</v>
      </c>
      <c r="CJ20" s="92">
        <f t="shared" si="63"/>
        <v>0</v>
      </c>
      <c r="CK20" s="92">
        <f t="shared" si="64"/>
        <v>0</v>
      </c>
      <c r="CL20" s="86">
        <f t="shared" si="65"/>
        <v>5685.3254940144006</v>
      </c>
      <c r="CM20" s="86">
        <f t="shared" si="32"/>
        <v>43740650.313518152</v>
      </c>
      <c r="CN20" s="97">
        <f t="shared" si="33"/>
        <v>1.0207835603133457</v>
      </c>
      <c r="CO20" s="554">
        <f t="shared" si="34"/>
        <v>60015</v>
      </c>
      <c r="CP20" s="153"/>
      <c r="CQ20" s="153">
        <f t="shared" si="35"/>
        <v>5855.89</v>
      </c>
      <c r="CR20" s="353"/>
      <c r="CS20" s="391" t="str">
        <f>VLOOKUP(A20,Characteristics!A13:M96,13,FALSE)</f>
        <v/>
      </c>
      <c r="CT20" s="206">
        <f>VLOOKUP(A20,Characteristics!A13:C96,3,FALSE)</f>
        <v>0</v>
      </c>
      <c r="CU20" s="557">
        <f t="shared" si="66"/>
        <v>5855.89</v>
      </c>
      <c r="CV20" s="557" t="str">
        <f t="shared" si="67"/>
        <v/>
      </c>
    </row>
    <row r="21" spans="1:100" s="125" customFormat="1" x14ac:dyDescent="0.3">
      <c r="A21" s="199">
        <v>60020</v>
      </c>
      <c r="B21" s="139"/>
      <c r="C21" s="558">
        <f>VLOOKUP($A21,'Fed Bs Rt+IME+GME+VBP+RAA+HAC'!$B$5:$AG$88,19,FALSE)</f>
        <v>6918.4759729999996</v>
      </c>
      <c r="D21" s="458">
        <f>VLOOKUP($A21,'Fed Bs Rt+IME+GME+VBP+RAA+HAC'!$B$5:$AG$88,25,FALSE)</f>
        <v>773.47371034584</v>
      </c>
      <c r="E21" s="458">
        <f>VLOOKUP($A21,'Fed Bs Rt+IME+GME+VBP+RAA+HAC'!$B$5:$AG$88,29,FALSE)</f>
        <v>-13.504001699999939</v>
      </c>
      <c r="F21" s="458">
        <f>VLOOKUP($A21,'Fed Bs Rt+IME+GME+VBP+RAA+HAC'!$B$5:$AG$88,27,FALSE)</f>
        <v>0</v>
      </c>
      <c r="G21" s="458">
        <f>VLOOKUP($A21,'Fed Bs Rt+IME+GME+VBP+RAA+HAC'!$B$5:$AG$88,32,FALSE)</f>
        <v>0</v>
      </c>
      <c r="H21" s="205">
        <f t="shared" si="36"/>
        <v>759.96970864584011</v>
      </c>
      <c r="I21" s="458">
        <f>VLOOKUP(A21,'Fed Bs Rt+IME+GME+VBP+RAA+HAC'!$B$5:$U$88,20,FALSE)</f>
        <v>61.800565632538536</v>
      </c>
      <c r="J21" s="459">
        <f>IF(Characteristics!M14="CAH",+C21*J$4,0)</f>
        <v>0</v>
      </c>
      <c r="K21" s="459">
        <f>IF(OR(Characteristics!M14="SCH",Characteristics!M14="MDH"),+C21*K$4,0)</f>
        <v>0</v>
      </c>
      <c r="L21" s="460">
        <f>IF(OR(J21&gt;0,K21&gt;0,M21&gt;0),0,IF(VLOOKUP(A21,Characteristics!A:H,8,FALSE)&lt;=L$6,L$4*C21,IF(VLOOKUP(A21,Characteristics!A:H,8,FALSE)&gt;=L$5,0,(VLOOKUP(A21,Characteristics!A:H,8,FALSE)-L$5)/(L$6-L$5)*L$4*C21)))</f>
        <v>0</v>
      </c>
      <c r="M21" s="541">
        <f>IF(VLOOKUP($A21,Characteristics!$A:$E,3,FALSE)=2,M$4*C21,0)</f>
        <v>0</v>
      </c>
      <c r="N21" s="461">
        <f>IF(VLOOKUP($A21,Characteristics!$A:$K,6,FALSE)&gt;=N$5,N$4*C21,IF(VLOOKUP($A21,Characteristics!$A:$K,6,FALSE)&lt;=N$6,0,(VLOOKUP($A21,Characteristics!$A:$K,6,FALSE)-N$6)/(N$5-N$6)*N$4*C21))</f>
        <v>0</v>
      </c>
      <c r="O21" s="461">
        <f>IF(VLOOKUP($A21,Characteristics!$A:$K,11,FALSE)&lt;=O$6,O$4*C21,IF(VLOOKUP($A21,Characteristics!$A:$K,11,FALSE)&gt;=O$5,0,(VLOOKUP($A21,Characteristics!$A:$K,11,FALSE)-O$5)/(O$6-O$5)*O$4*C21))</f>
        <v>321.02386213370437</v>
      </c>
      <c r="P21" s="205">
        <f t="shared" si="37"/>
        <v>8061.2701094120821</v>
      </c>
      <c r="Q21" s="205"/>
      <c r="R21" s="86">
        <v>5872.19</v>
      </c>
      <c r="S21" s="87">
        <f t="shared" si="0"/>
        <v>5989.63</v>
      </c>
      <c r="T21" s="471"/>
      <c r="U21" s="86">
        <f t="shared" si="38"/>
        <v>55088754.565122403</v>
      </c>
      <c r="V21" s="89">
        <v>6932.93</v>
      </c>
      <c r="W21" s="90">
        <v>1.3266187874015749</v>
      </c>
      <c r="X21" s="91">
        <f t="shared" si="1"/>
        <v>74142364.476697162</v>
      </c>
      <c r="Y21" s="196"/>
      <c r="Z21" s="86">
        <f t="shared" si="39"/>
        <v>5989.63</v>
      </c>
      <c r="AA21" s="86">
        <f t="shared" si="40"/>
        <v>5390.6670000000004</v>
      </c>
      <c r="AB21" s="86">
        <f t="shared" si="41"/>
        <v>6588.5930000000008</v>
      </c>
      <c r="AC21" s="469"/>
      <c r="AD21" s="100"/>
      <c r="AE21" s="86">
        <f t="shared" si="42"/>
        <v>6455.7932217830712</v>
      </c>
      <c r="AF21" s="86">
        <f t="shared" si="2"/>
        <v>59376223.29225485</v>
      </c>
      <c r="AG21" s="92">
        <f t="shared" si="43"/>
        <v>0</v>
      </c>
      <c r="AH21" s="92">
        <f t="shared" si="44"/>
        <v>0</v>
      </c>
      <c r="AI21" s="86">
        <f t="shared" si="45"/>
        <v>6455.7932217830712</v>
      </c>
      <c r="AJ21" s="201"/>
      <c r="AK21" s="86">
        <f t="shared" si="3"/>
        <v>59376223.29225485</v>
      </c>
      <c r="AL21" s="93">
        <f t="shared" si="4"/>
        <v>74142364.476697162</v>
      </c>
      <c r="AM21" s="93">
        <f t="shared" si="5"/>
        <v>55088754.565122403</v>
      </c>
      <c r="AN21" s="94">
        <f t="shared" si="46"/>
        <v>0</v>
      </c>
      <c r="AO21" s="95"/>
      <c r="AP21" s="86">
        <f t="shared" si="47"/>
        <v>6433.9789681754301</v>
      </c>
      <c r="AQ21" s="86">
        <f t="shared" si="6"/>
        <v>59175589.853626311</v>
      </c>
      <c r="AR21" s="92">
        <f t="shared" si="48"/>
        <v>0</v>
      </c>
      <c r="AS21" s="92">
        <f t="shared" si="49"/>
        <v>0</v>
      </c>
      <c r="AT21" s="86">
        <f t="shared" si="50"/>
        <v>6433.9789681754301</v>
      </c>
      <c r="AU21" s="86">
        <f t="shared" si="7"/>
        <v>59175589.853626311</v>
      </c>
      <c r="AV21" s="93">
        <f t="shared" si="8"/>
        <v>74142364.476697162</v>
      </c>
      <c r="AW21" s="93">
        <f t="shared" si="9"/>
        <v>55088754.565122403</v>
      </c>
      <c r="AX21" s="94">
        <f t="shared" si="10"/>
        <v>0</v>
      </c>
      <c r="AY21" s="92">
        <f t="shared" si="11"/>
        <v>0</v>
      </c>
      <c r="AZ21" s="95"/>
      <c r="BA21" s="86">
        <f t="shared" si="51"/>
        <v>6441.8300830366952</v>
      </c>
      <c r="BB21" s="86">
        <f t="shared" si="12"/>
        <v>59247799.345640808</v>
      </c>
      <c r="BC21" s="92">
        <f t="shared" si="52"/>
        <v>0</v>
      </c>
      <c r="BD21" s="92">
        <f t="shared" si="53"/>
        <v>0</v>
      </c>
      <c r="BE21" s="86">
        <f t="shared" si="54"/>
        <v>6441.8300830366952</v>
      </c>
      <c r="BF21" s="86">
        <f t="shared" si="13"/>
        <v>59247799.345640808</v>
      </c>
      <c r="BG21" s="96">
        <f t="shared" si="14"/>
        <v>74142364.476697162</v>
      </c>
      <c r="BH21" s="96">
        <f t="shared" si="15"/>
        <v>55088754.565122403</v>
      </c>
      <c r="BI21" s="94">
        <f t="shared" si="16"/>
        <v>0</v>
      </c>
      <c r="BJ21" s="92">
        <f t="shared" si="17"/>
        <v>0</v>
      </c>
      <c r="BK21" s="95"/>
      <c r="BL21" s="86">
        <f t="shared" si="55"/>
        <v>6441.8301643271961</v>
      </c>
      <c r="BM21" s="86">
        <f t="shared" si="18"/>
        <v>59247800.093298428</v>
      </c>
      <c r="BN21" s="92">
        <f t="shared" si="56"/>
        <v>0</v>
      </c>
      <c r="BO21" s="92">
        <f t="shared" si="57"/>
        <v>0</v>
      </c>
      <c r="BP21" s="86">
        <f t="shared" si="58"/>
        <v>6441.8301643271961</v>
      </c>
      <c r="BQ21" s="86">
        <f t="shared" si="19"/>
        <v>59247800.093298428</v>
      </c>
      <c r="BR21" s="93">
        <f t="shared" si="20"/>
        <v>74142364.476697162</v>
      </c>
      <c r="BS21" s="93">
        <f t="shared" si="21"/>
        <v>55088754.565122403</v>
      </c>
      <c r="BT21" s="94">
        <f t="shared" si="22"/>
        <v>0</v>
      </c>
      <c r="BU21" s="92">
        <f t="shared" si="23"/>
        <v>0</v>
      </c>
      <c r="BV21" s="95"/>
      <c r="BW21" s="86">
        <f t="shared" si="59"/>
        <v>6441.8301643271961</v>
      </c>
      <c r="BX21" s="86">
        <f t="shared" si="24"/>
        <v>59247800.093298428</v>
      </c>
      <c r="BY21" s="92">
        <f t="shared" si="60"/>
        <v>0</v>
      </c>
      <c r="BZ21" s="92">
        <f t="shared" si="61"/>
        <v>0</v>
      </c>
      <c r="CA21" s="86">
        <f t="shared" si="62"/>
        <v>6441.8301643271961</v>
      </c>
      <c r="CB21" s="86">
        <f t="shared" si="25"/>
        <v>59247800.093298428</v>
      </c>
      <c r="CC21" s="96">
        <f t="shared" si="26"/>
        <v>74142364.476697162</v>
      </c>
      <c r="CD21" s="96">
        <f t="shared" si="27"/>
        <v>55088754.565122403</v>
      </c>
      <c r="CE21" s="94">
        <f t="shared" si="28"/>
        <v>0</v>
      </c>
      <c r="CF21" s="92">
        <f t="shared" si="29"/>
        <v>0</v>
      </c>
      <c r="CG21" s="67"/>
      <c r="CH21" s="86">
        <f t="shared" si="30"/>
        <v>6441.8301643271961</v>
      </c>
      <c r="CI21" s="86">
        <f t="shared" si="31"/>
        <v>59247800.093298428</v>
      </c>
      <c r="CJ21" s="92">
        <f t="shared" si="63"/>
        <v>0</v>
      </c>
      <c r="CK21" s="92">
        <f t="shared" si="64"/>
        <v>0</v>
      </c>
      <c r="CL21" s="86">
        <f t="shared" si="65"/>
        <v>6441.8301643271961</v>
      </c>
      <c r="CM21" s="86">
        <f t="shared" si="32"/>
        <v>59247800.093298428</v>
      </c>
      <c r="CN21" s="97">
        <f t="shared" si="33"/>
        <v>1.075497178344438</v>
      </c>
      <c r="CO21" s="554">
        <f t="shared" si="34"/>
        <v>60020</v>
      </c>
      <c r="CP21" s="153"/>
      <c r="CQ21" s="153">
        <f t="shared" si="35"/>
        <v>6635.09</v>
      </c>
      <c r="CR21" s="353"/>
      <c r="CS21" s="391" t="str">
        <f>VLOOKUP(A21,Characteristics!A14:M97,13,FALSE)</f>
        <v/>
      </c>
      <c r="CT21" s="206">
        <f>VLOOKUP(A21,Characteristics!A14:C97,3,FALSE)</f>
        <v>0</v>
      </c>
      <c r="CU21" s="557">
        <f t="shared" si="66"/>
        <v>6635.09</v>
      </c>
      <c r="CV21" s="557" t="str">
        <f t="shared" si="67"/>
        <v/>
      </c>
    </row>
    <row r="22" spans="1:100" s="125" customFormat="1" x14ac:dyDescent="0.3">
      <c r="A22" s="199">
        <v>60022</v>
      </c>
      <c r="B22" s="139"/>
      <c r="C22" s="558">
        <f>VLOOKUP($A22,'Fed Bs Rt+IME+GME+VBP+RAA+HAC'!$B$5:$AG$88,19,FALSE)</f>
        <v>6918.4759729999996</v>
      </c>
      <c r="D22" s="458">
        <f>VLOOKUP($A22,'Fed Bs Rt+IME+GME+VBP+RAA+HAC'!$B$5:$AG$88,25,FALSE)</f>
        <v>18.116956501129998</v>
      </c>
      <c r="E22" s="458">
        <f>VLOOKUP($A22,'Fed Bs Rt+IME+GME+VBP+RAA+HAC'!$B$5:$AG$88,29,FALSE)</f>
        <v>0</v>
      </c>
      <c r="F22" s="458">
        <f>VLOOKUP($A22,'Fed Bs Rt+IME+GME+VBP+RAA+HAC'!$B$5:$AG$88,27,FALSE)</f>
        <v>0</v>
      </c>
      <c r="G22" s="458">
        <f>VLOOKUP($A22,'Fed Bs Rt+IME+GME+VBP+RAA+HAC'!$B$5:$AG$88,32,FALSE)</f>
        <v>0</v>
      </c>
      <c r="H22" s="205">
        <f t="shared" si="36"/>
        <v>18.116956501129998</v>
      </c>
      <c r="I22" s="458">
        <f>VLOOKUP(A22,'Fed Bs Rt+IME+GME+VBP+RAA+HAC'!$B$5:$U$88,20,FALSE)</f>
        <v>2.3900285455359938</v>
      </c>
      <c r="J22" s="459">
        <f>IF(Characteristics!M15="CAH",+C22*J$4,0)</f>
        <v>0</v>
      </c>
      <c r="K22" s="459">
        <f>IF(OR(Characteristics!M15="SCH",Characteristics!M15="MDH"),+C22*K$4,0)</f>
        <v>0</v>
      </c>
      <c r="L22" s="460">
        <f>IF(OR(J22&gt;0,K22&gt;0,M22&gt;0),0,IF(VLOOKUP(A22,Characteristics!A:H,8,FALSE)&lt;=L$6,L$4*C22,IF(VLOOKUP(A22,Characteristics!A:H,8,FALSE)&gt;=L$5,0,(VLOOKUP(A22,Characteristics!A:H,8,FALSE)-L$5)/(L$6-L$5)*L$4*C22)))</f>
        <v>0</v>
      </c>
      <c r="M22" s="541">
        <f>IF(VLOOKUP($A22,Characteristics!$A:$E,3,FALSE)=2,M$4*C22,0)</f>
        <v>0</v>
      </c>
      <c r="N22" s="461">
        <f>IF(VLOOKUP($A22,Characteristics!$A:$K,6,FALSE)&gt;=N$5,N$4*C22,IF(VLOOKUP($A22,Characteristics!$A:$K,6,FALSE)&lt;=N$6,0,(VLOOKUP($A22,Characteristics!$A:$K,6,FALSE)-N$6)/(N$5-N$6)*N$4*C22))</f>
        <v>0</v>
      </c>
      <c r="O22" s="461">
        <f>IF(VLOOKUP($A22,Characteristics!$A:$K,11,FALSE)&lt;=O$6,O$4*C22,IF(VLOOKUP($A22,Characteristics!$A:$K,11,FALSE)&gt;=O$5,0,(VLOOKUP($A22,Characteristics!$A:$K,11,FALSE)-O$5)/(O$6-O$5)*O$4*C22))</f>
        <v>0</v>
      </c>
      <c r="P22" s="205">
        <f t="shared" si="37"/>
        <v>6938.9829580466649</v>
      </c>
      <c r="Q22" s="205"/>
      <c r="R22" s="86">
        <v>5605.63</v>
      </c>
      <c r="S22" s="87">
        <f t="shared" si="0"/>
        <v>5717.74</v>
      </c>
      <c r="T22" s="471"/>
      <c r="U22" s="86">
        <f t="shared" si="38"/>
        <v>90529220.598684162</v>
      </c>
      <c r="V22" s="89">
        <v>11319.782400000002</v>
      </c>
      <c r="W22" s="90">
        <v>1.3987055555555556</v>
      </c>
      <c r="X22" s="91">
        <f t="shared" si="1"/>
        <v>109865212.29358391</v>
      </c>
      <c r="Y22" s="196"/>
      <c r="Z22" s="86">
        <f t="shared" si="39"/>
        <v>5717.74</v>
      </c>
      <c r="AA22" s="86">
        <f t="shared" si="40"/>
        <v>5145.9660000000003</v>
      </c>
      <c r="AB22" s="86">
        <f t="shared" si="41"/>
        <v>6289.5140000000001</v>
      </c>
      <c r="AC22" s="469"/>
      <c r="AD22" s="98"/>
      <c r="AE22" s="86">
        <f t="shared" si="42"/>
        <v>5557.0199904755427</v>
      </c>
      <c r="AF22" s="86">
        <f t="shared" si="2"/>
        <v>87984533.85237141</v>
      </c>
      <c r="AG22" s="92">
        <f t="shared" si="43"/>
        <v>0</v>
      </c>
      <c r="AH22" s="92">
        <f t="shared" si="44"/>
        <v>0</v>
      </c>
      <c r="AI22" s="86">
        <f t="shared" si="45"/>
        <v>5557.0199904755427</v>
      </c>
      <c r="AJ22" s="201"/>
      <c r="AK22" s="86">
        <f t="shared" si="3"/>
        <v>87984533.85237141</v>
      </c>
      <c r="AL22" s="93">
        <f t="shared" si="4"/>
        <v>109865212.29358391</v>
      </c>
      <c r="AM22" s="93">
        <f t="shared" si="5"/>
        <v>90529220.598684162</v>
      </c>
      <c r="AN22" s="94">
        <f t="shared" si="46"/>
        <v>0</v>
      </c>
      <c r="AO22" s="95"/>
      <c r="AP22" s="86">
        <f t="shared" si="47"/>
        <v>5538.2427094799341</v>
      </c>
      <c r="AQ22" s="86">
        <f t="shared" si="6"/>
        <v>87687232.363759667</v>
      </c>
      <c r="AR22" s="92">
        <f t="shared" si="48"/>
        <v>0</v>
      </c>
      <c r="AS22" s="92">
        <f t="shared" si="49"/>
        <v>0</v>
      </c>
      <c r="AT22" s="86">
        <f t="shared" si="50"/>
        <v>5538.2427094799341</v>
      </c>
      <c r="AU22" s="86">
        <f t="shared" si="7"/>
        <v>87687232.363759667</v>
      </c>
      <c r="AV22" s="93">
        <f t="shared" si="8"/>
        <v>109865212.29358391</v>
      </c>
      <c r="AW22" s="93">
        <f t="shared" si="9"/>
        <v>90529220.598684162</v>
      </c>
      <c r="AX22" s="94">
        <f t="shared" si="10"/>
        <v>0</v>
      </c>
      <c r="AY22" s="92">
        <f t="shared" si="11"/>
        <v>0</v>
      </c>
      <c r="AZ22" s="95"/>
      <c r="BA22" s="86">
        <f t="shared" si="51"/>
        <v>5545.0007949285755</v>
      </c>
      <c r="BB22" s="86">
        <f t="shared" si="12"/>
        <v>87794233.41809316</v>
      </c>
      <c r="BC22" s="92">
        <f t="shared" si="52"/>
        <v>0</v>
      </c>
      <c r="BD22" s="92">
        <f t="shared" si="53"/>
        <v>0</v>
      </c>
      <c r="BE22" s="86">
        <f t="shared" si="54"/>
        <v>5545.0007949285755</v>
      </c>
      <c r="BF22" s="86">
        <f t="shared" si="13"/>
        <v>87794233.41809316</v>
      </c>
      <c r="BG22" s="96">
        <f t="shared" si="14"/>
        <v>109865212.29358391</v>
      </c>
      <c r="BH22" s="96">
        <f t="shared" si="15"/>
        <v>90529220.598684162</v>
      </c>
      <c r="BI22" s="94">
        <f t="shared" si="16"/>
        <v>0</v>
      </c>
      <c r="BJ22" s="92">
        <f t="shared" si="17"/>
        <v>0</v>
      </c>
      <c r="BK22" s="95"/>
      <c r="BL22" s="86">
        <f t="shared" si="55"/>
        <v>5545.0008649018419</v>
      </c>
      <c r="BM22" s="86">
        <f t="shared" si="18"/>
        <v>87794234.525982872</v>
      </c>
      <c r="BN22" s="92">
        <f t="shared" si="56"/>
        <v>0</v>
      </c>
      <c r="BO22" s="92">
        <f t="shared" si="57"/>
        <v>0</v>
      </c>
      <c r="BP22" s="86">
        <f t="shared" si="58"/>
        <v>5545.0008649018419</v>
      </c>
      <c r="BQ22" s="86">
        <f t="shared" si="19"/>
        <v>87794234.525982872</v>
      </c>
      <c r="BR22" s="93">
        <f t="shared" si="20"/>
        <v>109865212.29358391</v>
      </c>
      <c r="BS22" s="93">
        <f t="shared" si="21"/>
        <v>90529220.598684162</v>
      </c>
      <c r="BT22" s="94">
        <f t="shared" si="22"/>
        <v>0</v>
      </c>
      <c r="BU22" s="92">
        <f t="shared" si="23"/>
        <v>0</v>
      </c>
      <c r="BV22" s="95"/>
      <c r="BW22" s="86">
        <f t="shared" si="59"/>
        <v>5545.0008649018419</v>
      </c>
      <c r="BX22" s="86">
        <f t="shared" si="24"/>
        <v>87794234.525982872</v>
      </c>
      <c r="BY22" s="92">
        <f t="shared" si="60"/>
        <v>0</v>
      </c>
      <c r="BZ22" s="92">
        <f t="shared" si="61"/>
        <v>0</v>
      </c>
      <c r="CA22" s="86">
        <f t="shared" si="62"/>
        <v>5545.0008649018419</v>
      </c>
      <c r="CB22" s="86">
        <f t="shared" si="25"/>
        <v>87794234.525982872</v>
      </c>
      <c r="CC22" s="96">
        <f t="shared" si="26"/>
        <v>109865212.29358391</v>
      </c>
      <c r="CD22" s="96">
        <f t="shared" si="27"/>
        <v>90529220.598684162</v>
      </c>
      <c r="CE22" s="94">
        <f t="shared" si="28"/>
        <v>0</v>
      </c>
      <c r="CF22" s="92">
        <f t="shared" si="29"/>
        <v>0</v>
      </c>
      <c r="CG22" s="67"/>
      <c r="CH22" s="86">
        <f t="shared" si="30"/>
        <v>5545.0008649018419</v>
      </c>
      <c r="CI22" s="86">
        <f t="shared" si="31"/>
        <v>87794234.525982872</v>
      </c>
      <c r="CJ22" s="92">
        <f t="shared" si="63"/>
        <v>0</v>
      </c>
      <c r="CK22" s="92">
        <f t="shared" si="64"/>
        <v>0</v>
      </c>
      <c r="CL22" s="86">
        <f t="shared" si="65"/>
        <v>5545.0008649018419</v>
      </c>
      <c r="CM22" s="86">
        <f t="shared" si="32"/>
        <v>87794234.525982872</v>
      </c>
      <c r="CN22" s="97">
        <f t="shared" si="33"/>
        <v>0.96978891395933398</v>
      </c>
      <c r="CO22" s="554">
        <f t="shared" si="34"/>
        <v>60022</v>
      </c>
      <c r="CP22" s="153"/>
      <c r="CQ22" s="153">
        <f t="shared" si="35"/>
        <v>5711.35</v>
      </c>
      <c r="CR22" s="353"/>
      <c r="CS22" s="391" t="str">
        <f>VLOOKUP(A22,Characteristics!A15:M98,13,FALSE)</f>
        <v/>
      </c>
      <c r="CT22" s="206">
        <f>VLOOKUP(A22,Characteristics!A15:C98,3,FALSE)</f>
        <v>0</v>
      </c>
      <c r="CU22" s="557">
        <f t="shared" si="66"/>
        <v>5711.35</v>
      </c>
      <c r="CV22" s="557" t="str">
        <f t="shared" si="67"/>
        <v/>
      </c>
    </row>
    <row r="23" spans="1:100" s="125" customFormat="1" x14ac:dyDescent="0.3">
      <c r="A23" s="199">
        <v>60023</v>
      </c>
      <c r="B23" s="139"/>
      <c r="C23" s="558">
        <f>VLOOKUP($A23,'Fed Bs Rt+IME+GME+VBP+RAA+HAC'!$B$5:$AG$88,19,FALSE)</f>
        <v>6918.4759729999996</v>
      </c>
      <c r="D23" s="458">
        <f>VLOOKUP($A23,'Fed Bs Rt+IME+GME+VBP+RAA+HAC'!$B$5:$AG$88,25,FALSE)</f>
        <v>262.10028489210998</v>
      </c>
      <c r="E23" s="458">
        <f>VLOOKUP($A23,'Fed Bs Rt+IME+GME+VBP+RAA+HAC'!$B$5:$AG$88,29,FALSE)</f>
        <v>-0.64304769999992917</v>
      </c>
      <c r="F23" s="458">
        <f>VLOOKUP($A23,'Fed Bs Rt+IME+GME+VBP+RAA+HAC'!$B$5:$AG$88,27,FALSE)</f>
        <v>0</v>
      </c>
      <c r="G23" s="458">
        <f>VLOOKUP($A23,'Fed Bs Rt+IME+GME+VBP+RAA+HAC'!$B$5:$AG$88,32,FALSE)</f>
        <v>0</v>
      </c>
      <c r="H23" s="205">
        <f t="shared" si="36"/>
        <v>261.45723719211003</v>
      </c>
      <c r="I23" s="458">
        <f>VLOOKUP(A23,'Fed Bs Rt+IME+GME+VBP+RAA+HAC'!$B$5:$U$88,20,FALSE)</f>
        <v>57.888556970225025</v>
      </c>
      <c r="J23" s="459">
        <f>IF(Characteristics!M16="CAH",+C23*J$4,0)</f>
        <v>0</v>
      </c>
      <c r="K23" s="459">
        <f>IF(OR(Characteristics!M16="SCH",Characteristics!M16="MDH"),+C23*K$4,0)</f>
        <v>1383.6951945999999</v>
      </c>
      <c r="L23" s="460">
        <f>IF(OR(J23&gt;0,K23&gt;0,M23&gt;0),0,IF(VLOOKUP(A23,Characteristics!A:H,8,FALSE)&lt;=L$6,L$4*C23,IF(VLOOKUP(A23,Characteristics!A:H,8,FALSE)&gt;=L$5,0,(VLOOKUP(A23,Characteristics!A:H,8,FALSE)-L$5)/(L$6-L$5)*L$4*C23)))</f>
        <v>0</v>
      </c>
      <c r="M23" s="541">
        <f>IF(VLOOKUP($A23,Characteristics!$A:$E,3,FALSE)=2,M$4*C23,0)</f>
        <v>0</v>
      </c>
      <c r="N23" s="399">
        <f>IF(VLOOKUP($A23,Characteristics!$A:$K,6,FALSE)&gt;=N$5,N$4*C23,IF(VLOOKUP($A23,Characteristics!$A:$K,6,FALSE)&lt;=N$6,0,(VLOOKUP($A23,Characteristics!$A:$K,6,FALSE)-N$6)/(N$5-N$6)*N$4*C23))</f>
        <v>0</v>
      </c>
      <c r="O23" s="461">
        <f>IF(VLOOKUP($A23,Characteristics!$A:$K,11,FALSE)&lt;=O$6,O$4*C23,IF(VLOOKUP($A23,Characteristics!$A:$K,11,FALSE)&gt;=O$5,0,(VLOOKUP($A23,Characteristics!$A:$K,11,FALSE)-O$5)/(O$6-O$5)*O$4*C23))</f>
        <v>0</v>
      </c>
      <c r="P23" s="205">
        <f t="shared" si="37"/>
        <v>8621.516961762336</v>
      </c>
      <c r="Q23" s="205"/>
      <c r="R23" s="86">
        <v>5854.14</v>
      </c>
      <c r="S23" s="87">
        <f t="shared" si="0"/>
        <v>5971.22</v>
      </c>
      <c r="T23" s="471"/>
      <c r="U23" s="86">
        <f t="shared" si="38"/>
        <v>18019148.756254654</v>
      </c>
      <c r="V23" s="89">
        <v>2258.9342000000001</v>
      </c>
      <c r="W23" s="90">
        <v>1.3358805219913001</v>
      </c>
      <c r="X23" s="91">
        <f t="shared" si="1"/>
        <v>26016860.313063025</v>
      </c>
      <c r="Y23" s="196"/>
      <c r="Z23" s="86">
        <f t="shared" si="39"/>
        <v>5971.22</v>
      </c>
      <c r="AA23" s="86">
        <f t="shared" si="40"/>
        <v>5374.098</v>
      </c>
      <c r="AB23" s="86">
        <f t="shared" si="41"/>
        <v>6568.3420000000006</v>
      </c>
      <c r="AC23" s="469"/>
      <c r="AD23" s="100"/>
      <c r="AE23" s="86">
        <f t="shared" si="42"/>
        <v>6904.461704892844</v>
      </c>
      <c r="AF23" s="86">
        <f t="shared" si="2"/>
        <v>20835360.703897659</v>
      </c>
      <c r="AG23" s="92">
        <f t="shared" si="43"/>
        <v>0</v>
      </c>
      <c r="AH23" s="92">
        <f t="shared" si="44"/>
        <v>1</v>
      </c>
      <c r="AI23" s="86">
        <f t="shared" si="45"/>
        <v>6568.3420000000006</v>
      </c>
      <c r="AJ23" s="201"/>
      <c r="AK23" s="86">
        <f t="shared" si="3"/>
        <v>19821063.631880119</v>
      </c>
      <c r="AL23" s="93">
        <f t="shared" si="4"/>
        <v>26016860.313063025</v>
      </c>
      <c r="AM23" s="93">
        <f t="shared" si="5"/>
        <v>18019148.756254654</v>
      </c>
      <c r="AN23" s="94">
        <f t="shared" si="46"/>
        <v>0</v>
      </c>
      <c r="AO23" s="95"/>
      <c r="AP23" s="86">
        <f t="shared" si="47"/>
        <v>6881.1313915633255</v>
      </c>
      <c r="AQ23" s="86">
        <f t="shared" si="6"/>
        <v>20764957.605968822</v>
      </c>
      <c r="AR23" s="92">
        <f t="shared" si="48"/>
        <v>0</v>
      </c>
      <c r="AS23" s="92">
        <f t="shared" si="49"/>
        <v>1</v>
      </c>
      <c r="AT23" s="86">
        <f t="shared" si="50"/>
        <v>6568.3420000000006</v>
      </c>
      <c r="AU23" s="86">
        <f t="shared" si="7"/>
        <v>19821063.631880119</v>
      </c>
      <c r="AV23" s="93">
        <f t="shared" si="8"/>
        <v>0</v>
      </c>
      <c r="AW23" s="93">
        <f t="shared" si="9"/>
        <v>-1801914.8756254651</v>
      </c>
      <c r="AX23" s="94">
        <f t="shared" si="10"/>
        <v>1</v>
      </c>
      <c r="AY23" s="92">
        <f t="shared" si="11"/>
        <v>1</v>
      </c>
      <c r="AZ23" s="95"/>
      <c r="BA23" s="86">
        <f t="shared" si="51"/>
        <v>6568.3420000000006</v>
      </c>
      <c r="BB23" s="86">
        <f t="shared" si="12"/>
        <v>19821063.631880119</v>
      </c>
      <c r="BC23" s="92">
        <f t="shared" si="52"/>
        <v>0</v>
      </c>
      <c r="BD23" s="92">
        <f t="shared" si="53"/>
        <v>1</v>
      </c>
      <c r="BE23" s="86">
        <f t="shared" si="54"/>
        <v>6568.3420000000006</v>
      </c>
      <c r="BF23" s="86">
        <f t="shared" si="13"/>
        <v>19821063.631880119</v>
      </c>
      <c r="BG23" s="96">
        <f t="shared" si="14"/>
        <v>0</v>
      </c>
      <c r="BH23" s="96">
        <f t="shared" si="15"/>
        <v>-1801914.8756254651</v>
      </c>
      <c r="BI23" s="94">
        <f t="shared" si="16"/>
        <v>1</v>
      </c>
      <c r="BJ23" s="92">
        <f t="shared" si="17"/>
        <v>0</v>
      </c>
      <c r="BK23" s="95"/>
      <c r="BL23" s="86">
        <f t="shared" si="55"/>
        <v>6568.3420000000006</v>
      </c>
      <c r="BM23" s="86">
        <f t="shared" si="18"/>
        <v>19821063.631880119</v>
      </c>
      <c r="BN23" s="92">
        <f t="shared" si="56"/>
        <v>0</v>
      </c>
      <c r="BO23" s="92">
        <f t="shared" si="57"/>
        <v>1</v>
      </c>
      <c r="BP23" s="86">
        <f t="shared" si="58"/>
        <v>6568.3420000000006</v>
      </c>
      <c r="BQ23" s="86">
        <f t="shared" si="19"/>
        <v>19821063.631880119</v>
      </c>
      <c r="BR23" s="93">
        <f t="shared" si="20"/>
        <v>0</v>
      </c>
      <c r="BS23" s="93">
        <f t="shared" si="21"/>
        <v>-1801914.8756254651</v>
      </c>
      <c r="BT23" s="94">
        <f t="shared" si="22"/>
        <v>1</v>
      </c>
      <c r="BU23" s="92">
        <f t="shared" si="23"/>
        <v>0</v>
      </c>
      <c r="BV23" s="95"/>
      <c r="BW23" s="86">
        <f t="shared" si="59"/>
        <v>6568.3420000000006</v>
      </c>
      <c r="BX23" s="86">
        <f t="shared" si="24"/>
        <v>19821063.631880119</v>
      </c>
      <c r="BY23" s="92">
        <f t="shared" si="60"/>
        <v>0</v>
      </c>
      <c r="BZ23" s="92">
        <f t="shared" si="61"/>
        <v>1</v>
      </c>
      <c r="CA23" s="86">
        <f t="shared" si="62"/>
        <v>6568.3420000000006</v>
      </c>
      <c r="CB23" s="86">
        <f t="shared" si="25"/>
        <v>19821063.631880119</v>
      </c>
      <c r="CC23" s="96">
        <f t="shared" si="26"/>
        <v>0</v>
      </c>
      <c r="CD23" s="96">
        <f t="shared" si="27"/>
        <v>-1801914.8756254651</v>
      </c>
      <c r="CE23" s="94">
        <f t="shared" si="28"/>
        <v>1</v>
      </c>
      <c r="CF23" s="92">
        <f t="shared" si="29"/>
        <v>0</v>
      </c>
      <c r="CG23" s="67"/>
      <c r="CH23" s="86">
        <f t="shared" si="30"/>
        <v>6889.5282347249931</v>
      </c>
      <c r="CI23" s="86">
        <f t="shared" si="31"/>
        <v>20790296.475749709</v>
      </c>
      <c r="CJ23" s="92">
        <f t="shared" si="63"/>
        <v>0</v>
      </c>
      <c r="CK23" s="92">
        <f t="shared" si="64"/>
        <v>1</v>
      </c>
      <c r="CL23" s="86">
        <f t="shared" si="65"/>
        <v>6568.3420000000006</v>
      </c>
      <c r="CM23" s="86">
        <f t="shared" si="32"/>
        <v>19821063.631880119</v>
      </c>
      <c r="CN23" s="97">
        <f t="shared" si="33"/>
        <v>1.1000000000000001</v>
      </c>
      <c r="CO23" s="554">
        <f t="shared" si="34"/>
        <v>60023</v>
      </c>
      <c r="CP23" s="153"/>
      <c r="CQ23" s="153">
        <f t="shared" si="35"/>
        <v>6765.39</v>
      </c>
      <c r="CR23" s="353"/>
      <c r="CS23" s="391" t="str">
        <f>VLOOKUP(A23,Characteristics!A16:M99,13,FALSE)</f>
        <v>SCH</v>
      </c>
      <c r="CT23" s="206">
        <f>VLOOKUP(A23,Characteristics!A16:C99,3,FALSE)</f>
        <v>0</v>
      </c>
      <c r="CU23" s="557">
        <f t="shared" si="66"/>
        <v>6765.39</v>
      </c>
      <c r="CV23" s="557" t="str">
        <f t="shared" si="67"/>
        <v/>
      </c>
    </row>
    <row r="24" spans="1:100" s="125" customFormat="1" x14ac:dyDescent="0.3">
      <c r="A24" s="199">
        <v>60024</v>
      </c>
      <c r="B24" s="139"/>
      <c r="C24" s="558">
        <f>VLOOKUP($A24,'Fed Bs Rt+IME+GME+VBP+RAA+HAC'!$B$5:$AG$88,19,FALSE)</f>
        <v>6918.4759729999996</v>
      </c>
      <c r="D24" s="458">
        <f>VLOOKUP($A24,'Fed Bs Rt+IME+GME+VBP+RAA+HAC'!$B$5:$AG$88,25,FALSE)</f>
        <v>1742.8832458475802</v>
      </c>
      <c r="E24" s="458">
        <f>VLOOKUP($A24,'Fed Bs Rt+IME+GME+VBP+RAA+HAC'!$B$5:$AG$88,29,FALSE)</f>
        <v>-1.2860953999998583</v>
      </c>
      <c r="F24" s="458">
        <f>VLOOKUP($A24,'Fed Bs Rt+IME+GME+VBP+RAA+HAC'!$B$5:$AG$88,27,FALSE)</f>
        <v>0</v>
      </c>
      <c r="G24" s="458">
        <f>VLOOKUP($A24,'Fed Bs Rt+IME+GME+VBP+RAA+HAC'!$B$5:$AG$88,32,FALSE)</f>
        <v>0</v>
      </c>
      <c r="H24" s="205">
        <f t="shared" si="36"/>
        <v>1741.5971504475804</v>
      </c>
      <c r="I24" s="458">
        <f>VLOOKUP(A24,'Fed Bs Rt+IME+GME+VBP+RAA+HAC'!$B$5:$U$88,20,FALSE)</f>
        <v>0</v>
      </c>
      <c r="J24" s="459">
        <f>IF(Characteristics!M17="CAH",+C24*J$4,0)</f>
        <v>0</v>
      </c>
      <c r="K24" s="459">
        <f>IF(OR(Characteristics!M17="SCH",Characteristics!M17="MDH"),+C24*K$4,0)</f>
        <v>0</v>
      </c>
      <c r="L24" s="460">
        <f>IF(OR(J24&gt;0,K24&gt;0,M24&gt;0),0,IF(VLOOKUP(A24,Characteristics!A:H,8,FALSE)&lt;=L$6,L$4*C24,IF(VLOOKUP(A24,Characteristics!A:H,8,FALSE)&gt;=L$5,0,(VLOOKUP(A24,Characteristics!A:H,8,FALSE)-L$5)/(L$6-L$5)*L$4*C24)))</f>
        <v>0</v>
      </c>
      <c r="M24" s="541">
        <f>IF(VLOOKUP($A24,Characteristics!$A:$E,3,FALSE)=2,M$4*C24,0)</f>
        <v>0</v>
      </c>
      <c r="N24" s="461">
        <f>IF(VLOOKUP($A24,Characteristics!$A:$K,6,FALSE)&gt;=N$5,N$4*C24,IF(VLOOKUP($A24,Characteristics!$A:$K,6,FALSE)&lt;=N$6,0,(VLOOKUP($A24,Characteristics!$A:$K,6,FALSE)-N$6)/(N$5-N$6)*N$4*C24))</f>
        <v>0</v>
      </c>
      <c r="O24" s="461">
        <f>IF(VLOOKUP($A24,Characteristics!$A:$K,11,FALSE)&lt;=O$6,O$4*C24,IF(VLOOKUP($A24,Characteristics!$A:$K,11,FALSE)&gt;=O$5,0,(VLOOKUP($A24,Characteristics!$A:$K,11,FALSE)-O$5)/(O$6-O$5)*O$4*C24))</f>
        <v>0</v>
      </c>
      <c r="P24" s="205">
        <f t="shared" si="37"/>
        <v>8660.0731234475807</v>
      </c>
      <c r="Q24" s="205"/>
      <c r="R24" s="86">
        <v>6706.35</v>
      </c>
      <c r="S24" s="87">
        <f t="shared" si="0"/>
        <v>6840.48</v>
      </c>
      <c r="T24" s="471"/>
      <c r="U24" s="86">
        <f t="shared" si="38"/>
        <v>166368676.42685023</v>
      </c>
      <c r="V24" s="89">
        <v>13179.117800000002</v>
      </c>
      <c r="W24" s="90">
        <v>1.8454345373208518</v>
      </c>
      <c r="X24" s="91">
        <f t="shared" si="1"/>
        <v>210623363.17154831</v>
      </c>
      <c r="Y24" s="196"/>
      <c r="Z24" s="86">
        <f t="shared" si="39"/>
        <v>6840.48</v>
      </c>
      <c r="AA24" s="86">
        <f t="shared" si="40"/>
        <v>6156.4319999999998</v>
      </c>
      <c r="AB24" s="86">
        <f t="shared" si="41"/>
        <v>7524.5280000000002</v>
      </c>
      <c r="AC24" s="469"/>
      <c r="AD24" s="98"/>
      <c r="AE24" s="86">
        <f t="shared" si="42"/>
        <v>6935.3390485232176</v>
      </c>
      <c r="AF24" s="86">
        <f t="shared" si="2"/>
        <v>168675762.23806787</v>
      </c>
      <c r="AG24" s="92">
        <f t="shared" si="43"/>
        <v>0</v>
      </c>
      <c r="AH24" s="92">
        <f t="shared" si="44"/>
        <v>0</v>
      </c>
      <c r="AI24" s="86">
        <f t="shared" si="45"/>
        <v>6935.3390485232176</v>
      </c>
      <c r="AJ24" s="201"/>
      <c r="AK24" s="86">
        <f t="shared" si="3"/>
        <v>168675762.23806787</v>
      </c>
      <c r="AL24" s="93">
        <f t="shared" si="4"/>
        <v>210623363.17154831</v>
      </c>
      <c r="AM24" s="93">
        <f t="shared" si="5"/>
        <v>166368676.42685023</v>
      </c>
      <c r="AN24" s="94">
        <f t="shared" si="46"/>
        <v>0</v>
      </c>
      <c r="AO24" s="95"/>
      <c r="AP24" s="86">
        <f t="shared" si="47"/>
        <v>6911.9044000358736</v>
      </c>
      <c r="AQ24" s="86">
        <f t="shared" si="6"/>
        <v>168105803.48497334</v>
      </c>
      <c r="AR24" s="92">
        <f t="shared" si="48"/>
        <v>0</v>
      </c>
      <c r="AS24" s="92">
        <f t="shared" si="49"/>
        <v>0</v>
      </c>
      <c r="AT24" s="86">
        <f t="shared" si="50"/>
        <v>6911.9044000358736</v>
      </c>
      <c r="AU24" s="86">
        <f t="shared" si="7"/>
        <v>168105803.48497334</v>
      </c>
      <c r="AV24" s="93">
        <f t="shared" si="8"/>
        <v>210623363.17154831</v>
      </c>
      <c r="AW24" s="93">
        <f t="shared" si="9"/>
        <v>166368676.42685023</v>
      </c>
      <c r="AX24" s="94">
        <f t="shared" si="10"/>
        <v>0</v>
      </c>
      <c r="AY24" s="92">
        <f t="shared" si="11"/>
        <v>0</v>
      </c>
      <c r="AZ24" s="95"/>
      <c r="BA24" s="86">
        <f t="shared" si="51"/>
        <v>6920.3387072698861</v>
      </c>
      <c r="BB24" s="86">
        <f t="shared" si="12"/>
        <v>168310935.95098451</v>
      </c>
      <c r="BC24" s="92">
        <f t="shared" si="52"/>
        <v>0</v>
      </c>
      <c r="BD24" s="92">
        <f t="shared" si="53"/>
        <v>0</v>
      </c>
      <c r="BE24" s="86">
        <f t="shared" si="54"/>
        <v>6920.3387072698861</v>
      </c>
      <c r="BF24" s="86">
        <f t="shared" si="13"/>
        <v>168310935.95098451</v>
      </c>
      <c r="BG24" s="96">
        <f t="shared" si="14"/>
        <v>210623363.17154831</v>
      </c>
      <c r="BH24" s="96">
        <f t="shared" si="15"/>
        <v>166368676.42685023</v>
      </c>
      <c r="BI24" s="94">
        <f t="shared" si="16"/>
        <v>0</v>
      </c>
      <c r="BJ24" s="92">
        <f t="shared" si="17"/>
        <v>0</v>
      </c>
      <c r="BK24" s="95"/>
      <c r="BL24" s="86">
        <f t="shared" si="55"/>
        <v>6920.3387945987652</v>
      </c>
      <c r="BM24" s="86">
        <f t="shared" si="18"/>
        <v>168310938.0749276</v>
      </c>
      <c r="BN24" s="92">
        <f t="shared" si="56"/>
        <v>0</v>
      </c>
      <c r="BO24" s="92">
        <f t="shared" si="57"/>
        <v>0</v>
      </c>
      <c r="BP24" s="86">
        <f t="shared" si="58"/>
        <v>6920.3387945987652</v>
      </c>
      <c r="BQ24" s="86">
        <f t="shared" si="19"/>
        <v>168310938.0749276</v>
      </c>
      <c r="BR24" s="93">
        <f t="shared" si="20"/>
        <v>210623363.17154831</v>
      </c>
      <c r="BS24" s="93">
        <f t="shared" si="21"/>
        <v>166368676.42685023</v>
      </c>
      <c r="BT24" s="94">
        <f t="shared" si="22"/>
        <v>0</v>
      </c>
      <c r="BU24" s="92">
        <f t="shared" si="23"/>
        <v>0</v>
      </c>
      <c r="BV24" s="95"/>
      <c r="BW24" s="86">
        <f t="shared" si="59"/>
        <v>6920.3387945987652</v>
      </c>
      <c r="BX24" s="86">
        <f t="shared" si="24"/>
        <v>168310938.0749276</v>
      </c>
      <c r="BY24" s="92">
        <f t="shared" si="60"/>
        <v>0</v>
      </c>
      <c r="BZ24" s="92">
        <f t="shared" si="61"/>
        <v>0</v>
      </c>
      <c r="CA24" s="86">
        <f t="shared" si="62"/>
        <v>6920.3387945987652</v>
      </c>
      <c r="CB24" s="86">
        <f t="shared" si="25"/>
        <v>168310938.0749276</v>
      </c>
      <c r="CC24" s="96">
        <f t="shared" si="26"/>
        <v>210623363.17154831</v>
      </c>
      <c r="CD24" s="96">
        <f t="shared" si="27"/>
        <v>166368676.42685023</v>
      </c>
      <c r="CE24" s="94">
        <f t="shared" si="28"/>
        <v>0</v>
      </c>
      <c r="CF24" s="92">
        <f t="shared" si="29"/>
        <v>0</v>
      </c>
      <c r="CG24" s="67"/>
      <c r="CH24" s="86">
        <f t="shared" si="30"/>
        <v>6920.3387945987652</v>
      </c>
      <c r="CI24" s="86">
        <f t="shared" si="31"/>
        <v>168310938.0749276</v>
      </c>
      <c r="CJ24" s="92">
        <f t="shared" si="63"/>
        <v>0</v>
      </c>
      <c r="CK24" s="92">
        <f t="shared" si="64"/>
        <v>0</v>
      </c>
      <c r="CL24" s="86">
        <f t="shared" si="65"/>
        <v>6920.3387945987652</v>
      </c>
      <c r="CM24" s="86">
        <f t="shared" si="32"/>
        <v>168310938.0749276</v>
      </c>
      <c r="CN24" s="97">
        <f t="shared" si="33"/>
        <v>1.011674443109075</v>
      </c>
      <c r="CO24" s="554">
        <f t="shared" si="34"/>
        <v>60024</v>
      </c>
      <c r="CP24" s="153"/>
      <c r="CQ24" s="153">
        <f t="shared" si="35"/>
        <v>7127.95</v>
      </c>
      <c r="CR24" s="353"/>
      <c r="CS24" s="391" t="str">
        <f>VLOOKUP(A24,Characteristics!A17:M100,13,FALSE)</f>
        <v/>
      </c>
      <c r="CT24" s="206">
        <f>VLOOKUP(A24,Characteristics!A17:C100,3,FALSE)</f>
        <v>0</v>
      </c>
      <c r="CU24" s="557">
        <f t="shared" si="66"/>
        <v>7127.95</v>
      </c>
      <c r="CV24" s="557" t="str">
        <f t="shared" si="67"/>
        <v/>
      </c>
    </row>
    <row r="25" spans="1:100" s="125" customFormat="1" x14ac:dyDescent="0.3">
      <c r="A25" s="199">
        <v>60027</v>
      </c>
      <c r="B25" s="139"/>
      <c r="C25" s="558">
        <f>VLOOKUP($A25,'Fed Bs Rt+IME+GME+VBP+RAA+HAC'!$B$5:$AG$88,19,FALSE)</f>
        <v>6814.1754609999989</v>
      </c>
      <c r="D25" s="458">
        <f>VLOOKUP($A25,'Fed Bs Rt+IME+GME+VBP+RAA+HAC'!$B$5:$AG$88,25,FALSE)</f>
        <v>0</v>
      </c>
      <c r="E25" s="458">
        <f>VLOOKUP($A25,'Fed Bs Rt+IME+GME+VBP+RAA+HAC'!$B$5:$AG$88,29,FALSE)</f>
        <v>-52.507264850399828</v>
      </c>
      <c r="F25" s="458">
        <f>VLOOKUP($A25,'Fed Bs Rt+IME+GME+VBP+RAA+HAC'!$B$5:$AG$88,27,FALSE)</f>
        <v>0</v>
      </c>
      <c r="G25" s="458">
        <f>VLOOKUP($A25,'Fed Bs Rt+IME+GME+VBP+RAA+HAC'!$B$5:$AG$88,32,FALSE)</f>
        <v>0</v>
      </c>
      <c r="H25" s="205">
        <f t="shared" si="36"/>
        <v>-52.507264850399828</v>
      </c>
      <c r="I25" s="458">
        <f>VLOOKUP(A25,'Fed Bs Rt+IME+GME+VBP+RAA+HAC'!$B$5:$U$88,20,FALSE)</f>
        <v>0</v>
      </c>
      <c r="J25" s="459">
        <f>IF(Characteristics!M18="CAH",+C25*J$4,0)</f>
        <v>0</v>
      </c>
      <c r="K25" s="459">
        <f>IF(OR(Characteristics!M18="SCH",Characteristics!M18="MDH"),+C25*K$4,0)</f>
        <v>0</v>
      </c>
      <c r="L25" s="460">
        <f>IF(OR(J25&gt;0,K25&gt;0,M25&gt;0),0,IF(VLOOKUP(A25,Characteristics!A:H,8,FALSE)&lt;=L$6,L$4*C25,IF(VLOOKUP(A25,Characteristics!A:H,8,FALSE)&gt;=L$5,0,(VLOOKUP(A25,Characteristics!A:H,8,FALSE)-L$5)/(L$6-L$5)*L$4*C25)))</f>
        <v>0</v>
      </c>
      <c r="M25" s="541">
        <f>IF(VLOOKUP($A25,Characteristics!$A:$E,3,FALSE)=2,M$4*C25,0)</f>
        <v>0</v>
      </c>
      <c r="N25" s="461">
        <f>IF(VLOOKUP($A25,Characteristics!$A:$K,6,FALSE)&gt;=N$5,N$4*C25,IF(VLOOKUP($A25,Characteristics!$A:$K,6,FALSE)&lt;=N$6,0,(VLOOKUP($A25,Characteristics!$A:$K,6,FALSE)-N$6)/(N$5-N$6)*N$4*C25))</f>
        <v>0</v>
      </c>
      <c r="O25" s="461">
        <f>IF(VLOOKUP($A25,Characteristics!$A:$K,11,FALSE)&lt;=O$6,O$4*C25,IF(VLOOKUP($A25,Characteristics!$A:$K,11,FALSE)&gt;=O$5,0,(VLOOKUP($A25,Characteristics!$A:$K,11,FALSE)-O$5)/(O$6-O$5)*O$4*C25))</f>
        <v>455.09311348437944</v>
      </c>
      <c r="P25" s="205">
        <f t="shared" si="37"/>
        <v>7216.7613096339783</v>
      </c>
      <c r="Q25" s="205"/>
      <c r="R25" s="86">
        <v>5415.76</v>
      </c>
      <c r="S25" s="87">
        <f t="shared" si="0"/>
        <v>5524.08</v>
      </c>
      <c r="T25" s="471"/>
      <c r="U25" s="86">
        <f t="shared" si="38"/>
        <v>14530131.357578598</v>
      </c>
      <c r="V25" s="89">
        <v>1834.2240000000002</v>
      </c>
      <c r="W25" s="90">
        <v>1.4340266071428571</v>
      </c>
      <c r="X25" s="91">
        <f t="shared" si="1"/>
        <v>18982435.048962478</v>
      </c>
      <c r="Y25" s="196"/>
      <c r="Z25" s="86">
        <f t="shared" si="39"/>
        <v>5524.08</v>
      </c>
      <c r="AA25" s="86">
        <f t="shared" si="40"/>
        <v>4971.6720000000005</v>
      </c>
      <c r="AB25" s="86">
        <f t="shared" si="41"/>
        <v>6076.4880000000003</v>
      </c>
      <c r="AC25" s="469"/>
      <c r="AD25" s="100"/>
      <c r="AE25" s="86">
        <f t="shared" si="42"/>
        <v>5779.4762008488524</v>
      </c>
      <c r="AF25" s="86">
        <f t="shared" si="2"/>
        <v>15201906.629942566</v>
      </c>
      <c r="AG25" s="92">
        <f t="shared" si="43"/>
        <v>0</v>
      </c>
      <c r="AH25" s="92">
        <f t="shared" si="44"/>
        <v>0</v>
      </c>
      <c r="AI25" s="86">
        <f t="shared" si="45"/>
        <v>5779.4762008488524</v>
      </c>
      <c r="AJ25" s="201"/>
      <c r="AK25" s="86">
        <f t="shared" si="3"/>
        <v>15201906.629942566</v>
      </c>
      <c r="AL25" s="93">
        <f t="shared" si="4"/>
        <v>18982435.048962478</v>
      </c>
      <c r="AM25" s="93">
        <f t="shared" si="5"/>
        <v>14530131.357578598</v>
      </c>
      <c r="AN25" s="94">
        <f t="shared" si="46"/>
        <v>0</v>
      </c>
      <c r="AO25" s="95"/>
      <c r="AP25" s="86">
        <f t="shared" si="47"/>
        <v>5759.9472358969952</v>
      </c>
      <c r="AQ25" s="86">
        <f t="shared" si="6"/>
        <v>15150539.085296573</v>
      </c>
      <c r="AR25" s="92">
        <f t="shared" si="48"/>
        <v>0</v>
      </c>
      <c r="AS25" s="92">
        <f t="shared" si="49"/>
        <v>0</v>
      </c>
      <c r="AT25" s="86">
        <f t="shared" si="50"/>
        <v>5759.9472358969952</v>
      </c>
      <c r="AU25" s="86">
        <f t="shared" si="7"/>
        <v>15150539.085296573</v>
      </c>
      <c r="AV25" s="93">
        <f t="shared" si="8"/>
        <v>18982435.048962478</v>
      </c>
      <c r="AW25" s="93">
        <f t="shared" si="9"/>
        <v>14530131.357578598</v>
      </c>
      <c r="AX25" s="94">
        <f t="shared" si="10"/>
        <v>0</v>
      </c>
      <c r="AY25" s="92">
        <f t="shared" si="11"/>
        <v>0</v>
      </c>
      <c r="AZ25" s="95"/>
      <c r="BA25" s="86">
        <f t="shared" si="51"/>
        <v>5766.9758580867065</v>
      </c>
      <c r="BB25" s="86">
        <f t="shared" si="12"/>
        <v>15169026.653123127</v>
      </c>
      <c r="BC25" s="92">
        <f t="shared" si="52"/>
        <v>0</v>
      </c>
      <c r="BD25" s="92">
        <f t="shared" si="53"/>
        <v>0</v>
      </c>
      <c r="BE25" s="86">
        <f t="shared" si="54"/>
        <v>5766.9758580867065</v>
      </c>
      <c r="BF25" s="86">
        <f t="shared" si="13"/>
        <v>15169026.653123127</v>
      </c>
      <c r="BG25" s="96">
        <f t="shared" si="14"/>
        <v>18982435.048962478</v>
      </c>
      <c r="BH25" s="96">
        <f t="shared" si="15"/>
        <v>14530131.357578598</v>
      </c>
      <c r="BI25" s="94">
        <f t="shared" si="16"/>
        <v>0</v>
      </c>
      <c r="BJ25" s="92">
        <f t="shared" si="17"/>
        <v>0</v>
      </c>
      <c r="BK25" s="95"/>
      <c r="BL25" s="86">
        <f t="shared" si="55"/>
        <v>5766.9759308611119</v>
      </c>
      <c r="BM25" s="86">
        <f t="shared" si="18"/>
        <v>15169026.844543539</v>
      </c>
      <c r="BN25" s="92">
        <f t="shared" si="56"/>
        <v>0</v>
      </c>
      <c r="BO25" s="92">
        <f t="shared" si="57"/>
        <v>0</v>
      </c>
      <c r="BP25" s="86">
        <f t="shared" si="58"/>
        <v>5766.9759308611119</v>
      </c>
      <c r="BQ25" s="86">
        <f t="shared" si="19"/>
        <v>15169026.844543539</v>
      </c>
      <c r="BR25" s="93">
        <f t="shared" si="20"/>
        <v>18982435.048962478</v>
      </c>
      <c r="BS25" s="93">
        <f t="shared" si="21"/>
        <v>14530131.357578598</v>
      </c>
      <c r="BT25" s="94">
        <f t="shared" si="22"/>
        <v>0</v>
      </c>
      <c r="BU25" s="92">
        <f t="shared" si="23"/>
        <v>0</v>
      </c>
      <c r="BV25" s="95"/>
      <c r="BW25" s="86">
        <f t="shared" si="59"/>
        <v>5766.9759308611119</v>
      </c>
      <c r="BX25" s="86">
        <f t="shared" si="24"/>
        <v>15169026.844543539</v>
      </c>
      <c r="BY25" s="92">
        <f t="shared" si="60"/>
        <v>0</v>
      </c>
      <c r="BZ25" s="92">
        <f t="shared" si="61"/>
        <v>0</v>
      </c>
      <c r="CA25" s="86">
        <f t="shared" si="62"/>
        <v>5766.9759308611119</v>
      </c>
      <c r="CB25" s="86">
        <f t="shared" si="25"/>
        <v>15169026.844543539</v>
      </c>
      <c r="CC25" s="96">
        <f t="shared" si="26"/>
        <v>18982435.048962478</v>
      </c>
      <c r="CD25" s="96">
        <f t="shared" si="27"/>
        <v>14530131.357578598</v>
      </c>
      <c r="CE25" s="94">
        <f t="shared" si="28"/>
        <v>0</v>
      </c>
      <c r="CF25" s="92">
        <f t="shared" si="29"/>
        <v>0</v>
      </c>
      <c r="CG25" s="67"/>
      <c r="CH25" s="86">
        <f t="shared" si="30"/>
        <v>5766.9759308611119</v>
      </c>
      <c r="CI25" s="86">
        <f t="shared" si="31"/>
        <v>15169026.844543539</v>
      </c>
      <c r="CJ25" s="92">
        <f t="shared" si="63"/>
        <v>0</v>
      </c>
      <c r="CK25" s="92">
        <f t="shared" si="64"/>
        <v>0</v>
      </c>
      <c r="CL25" s="86">
        <f t="shared" si="65"/>
        <v>5766.9759308611119</v>
      </c>
      <c r="CM25" s="86">
        <f t="shared" si="32"/>
        <v>15169026.844543539</v>
      </c>
      <c r="CN25" s="97">
        <f t="shared" si="33"/>
        <v>1.0439703861749128</v>
      </c>
      <c r="CO25" s="554">
        <f t="shared" si="34"/>
        <v>60027</v>
      </c>
      <c r="CP25" s="153"/>
      <c r="CQ25" s="153">
        <f t="shared" si="35"/>
        <v>5939.99</v>
      </c>
      <c r="CR25" s="353"/>
      <c r="CS25" s="391" t="str">
        <f>VLOOKUP(A25,Characteristics!A18:M101,13,FALSE)</f>
        <v/>
      </c>
      <c r="CT25" s="206">
        <f>VLOOKUP(A25,Characteristics!A18:C101,3,FALSE)</f>
        <v>0</v>
      </c>
      <c r="CU25" s="557">
        <f t="shared" si="66"/>
        <v>5939.99</v>
      </c>
      <c r="CV25" s="557" t="str">
        <f t="shared" si="67"/>
        <v/>
      </c>
    </row>
    <row r="26" spans="1:100" s="125" customFormat="1" x14ac:dyDescent="0.3">
      <c r="A26" s="199">
        <v>60028</v>
      </c>
      <c r="B26" s="139"/>
      <c r="C26" s="558">
        <f>VLOOKUP($A26,'Fed Bs Rt+IME+GME+VBP+RAA+HAC'!$B$5:$AG$88,19,FALSE)</f>
        <v>6918.4759729999996</v>
      </c>
      <c r="D26" s="458">
        <f>VLOOKUP($A26,'Fed Bs Rt+IME+GME+VBP+RAA+HAC'!$B$5:$AG$88,25,FALSE)</f>
        <v>719.22561501596999</v>
      </c>
      <c r="E26" s="458">
        <f>VLOOKUP($A26,'Fed Bs Rt+IME+GME+VBP+RAA+HAC'!$B$5:$AG$88,29,FALSE)</f>
        <v>-8.3596200999997929</v>
      </c>
      <c r="F26" s="458">
        <f>VLOOKUP($A26,'Fed Bs Rt+IME+GME+VBP+RAA+HAC'!$B$5:$AG$88,27,FALSE)</f>
        <v>0</v>
      </c>
      <c r="G26" s="458">
        <f>VLOOKUP($A26,'Fed Bs Rt+IME+GME+VBP+RAA+HAC'!$B$5:$AG$88,32,FALSE)</f>
        <v>0</v>
      </c>
      <c r="H26" s="205">
        <f t="shared" si="36"/>
        <v>710.86599491597019</v>
      </c>
      <c r="I26" s="458">
        <f>VLOOKUP(A26,'Fed Bs Rt+IME+GME+VBP+RAA+HAC'!$B$5:$U$88,20,FALSE)</f>
        <v>94.043320640486243</v>
      </c>
      <c r="J26" s="459">
        <f>IF(Characteristics!M19="CAH",+C26*J$4,0)</f>
        <v>0</v>
      </c>
      <c r="K26" s="459">
        <f>IF(OR(Characteristics!M19="SCH",Characteristics!M19="MDH"),+C26*K$4,0)</f>
        <v>0</v>
      </c>
      <c r="L26" s="460">
        <f>IF(OR(J26&gt;0,K26&gt;0,M26&gt;0),0,IF(VLOOKUP(A26,Characteristics!A:H,8,FALSE)&lt;=L$6,L$4*C26,IF(VLOOKUP(A26,Characteristics!A:H,8,FALSE)&gt;=L$5,0,(VLOOKUP(A26,Characteristics!A:H,8,FALSE)-L$5)/(L$6-L$5)*L$4*C26)))</f>
        <v>0</v>
      </c>
      <c r="M26" s="541">
        <f>IF(VLOOKUP($A26,Characteristics!$A:$E,3,FALSE)=2,M$4*C26,0)</f>
        <v>0</v>
      </c>
      <c r="N26" s="461">
        <f>IF(VLOOKUP($A26,Characteristics!$A:$K,6,FALSE)&gt;=N$5,N$4*C26,IF(VLOOKUP($A26,Characteristics!$A:$K,6,FALSE)&lt;=N$6,0,(VLOOKUP($A26,Characteristics!$A:$K,6,FALSE)-N$6)/(N$5-N$6)*N$4*C26))</f>
        <v>0</v>
      </c>
      <c r="O26" s="461">
        <f>IF(VLOOKUP($A26,Characteristics!$A:$K,11,FALSE)&lt;=O$6,O$4*C26,IF(VLOOKUP($A26,Characteristics!$A:$K,11,FALSE)&gt;=O$5,0,(VLOOKUP($A26,Characteristics!$A:$K,11,FALSE)-O$5)/(O$6-O$5)*O$4*C26))</f>
        <v>0</v>
      </c>
      <c r="P26" s="205">
        <f t="shared" si="37"/>
        <v>7723.3852885564556</v>
      </c>
      <c r="Q26" s="205"/>
      <c r="R26" s="86">
        <v>6310.5</v>
      </c>
      <c r="S26" s="87">
        <f t="shared" si="0"/>
        <v>6436.71</v>
      </c>
      <c r="T26" s="471"/>
      <c r="U26" s="86">
        <f t="shared" si="38"/>
        <v>49966398.181139491</v>
      </c>
      <c r="V26" s="89">
        <v>5894.6282000000001</v>
      </c>
      <c r="W26" s="90">
        <v>1.3169148175588072</v>
      </c>
      <c r="X26" s="91">
        <f t="shared" si="1"/>
        <v>59954502.320963167</v>
      </c>
      <c r="Y26" s="196"/>
      <c r="Z26" s="86">
        <f t="shared" si="39"/>
        <v>6436.71</v>
      </c>
      <c r="AA26" s="86">
        <f t="shared" si="40"/>
        <v>5793.0389999999998</v>
      </c>
      <c r="AB26" s="86">
        <f t="shared" si="41"/>
        <v>7080.3810000000003</v>
      </c>
      <c r="AC26" s="469"/>
      <c r="AD26" s="100"/>
      <c r="AE26" s="86">
        <f t="shared" si="42"/>
        <v>6185.2013043039251</v>
      </c>
      <c r="AF26" s="86">
        <f t="shared" si="2"/>
        <v>48014005.788881786</v>
      </c>
      <c r="AG26" s="92">
        <f t="shared" si="43"/>
        <v>0</v>
      </c>
      <c r="AH26" s="92">
        <f t="shared" si="44"/>
        <v>0</v>
      </c>
      <c r="AI26" s="86">
        <f t="shared" si="45"/>
        <v>6185.2013043039251</v>
      </c>
      <c r="AJ26" s="201"/>
      <c r="AK26" s="86">
        <f t="shared" si="3"/>
        <v>48014005.788881786</v>
      </c>
      <c r="AL26" s="93">
        <f t="shared" si="4"/>
        <v>59954502.320963167</v>
      </c>
      <c r="AM26" s="93">
        <f t="shared" si="5"/>
        <v>49966398.181139491</v>
      </c>
      <c r="AN26" s="94">
        <f t="shared" si="46"/>
        <v>0</v>
      </c>
      <c r="AO26" s="95"/>
      <c r="AP26" s="86">
        <f t="shared" si="47"/>
        <v>6164.3013861635582</v>
      </c>
      <c r="AQ26" s="86">
        <f t="shared" si="6"/>
        <v>47851765.509025335</v>
      </c>
      <c r="AR26" s="92">
        <f t="shared" si="48"/>
        <v>0</v>
      </c>
      <c r="AS26" s="92">
        <f t="shared" si="49"/>
        <v>0</v>
      </c>
      <c r="AT26" s="86">
        <f t="shared" si="50"/>
        <v>6164.3013861635582</v>
      </c>
      <c r="AU26" s="86">
        <f t="shared" si="7"/>
        <v>47851765.509025335</v>
      </c>
      <c r="AV26" s="93">
        <f t="shared" si="8"/>
        <v>59954502.320963167</v>
      </c>
      <c r="AW26" s="93">
        <f t="shared" si="9"/>
        <v>49966398.181139491</v>
      </c>
      <c r="AX26" s="94">
        <f t="shared" si="10"/>
        <v>0</v>
      </c>
      <c r="AY26" s="92">
        <f t="shared" si="11"/>
        <v>0</v>
      </c>
      <c r="AZ26" s="95"/>
      <c r="BA26" s="86">
        <f t="shared" si="51"/>
        <v>6171.8234247747532</v>
      </c>
      <c r="BB26" s="86">
        <f t="shared" si="12"/>
        <v>47910157.012818567</v>
      </c>
      <c r="BC26" s="92">
        <f t="shared" si="52"/>
        <v>0</v>
      </c>
      <c r="BD26" s="92">
        <f t="shared" si="53"/>
        <v>0</v>
      </c>
      <c r="BE26" s="86">
        <f t="shared" si="54"/>
        <v>6171.8234247747532</v>
      </c>
      <c r="BF26" s="86">
        <f t="shared" si="13"/>
        <v>47910157.012818567</v>
      </c>
      <c r="BG26" s="96">
        <f t="shared" si="14"/>
        <v>59954502.320963167</v>
      </c>
      <c r="BH26" s="96">
        <f t="shared" si="15"/>
        <v>49966398.181139491</v>
      </c>
      <c r="BI26" s="94">
        <f t="shared" si="16"/>
        <v>0</v>
      </c>
      <c r="BJ26" s="92">
        <f t="shared" si="17"/>
        <v>0</v>
      </c>
      <c r="BK26" s="95"/>
      <c r="BL26" s="86">
        <f t="shared" si="55"/>
        <v>6171.823502657996</v>
      </c>
      <c r="BM26" s="86">
        <f t="shared" si="18"/>
        <v>47910157.617404617</v>
      </c>
      <c r="BN26" s="92">
        <f t="shared" si="56"/>
        <v>0</v>
      </c>
      <c r="BO26" s="92">
        <f t="shared" si="57"/>
        <v>0</v>
      </c>
      <c r="BP26" s="86">
        <f t="shared" si="58"/>
        <v>6171.823502657996</v>
      </c>
      <c r="BQ26" s="86">
        <f t="shared" si="19"/>
        <v>47910157.617404617</v>
      </c>
      <c r="BR26" s="93">
        <f t="shared" si="20"/>
        <v>59954502.320963167</v>
      </c>
      <c r="BS26" s="93">
        <f t="shared" si="21"/>
        <v>49966398.181139491</v>
      </c>
      <c r="BT26" s="94">
        <f t="shared" si="22"/>
        <v>0</v>
      </c>
      <c r="BU26" s="92">
        <f t="shared" si="23"/>
        <v>0</v>
      </c>
      <c r="BV26" s="95"/>
      <c r="BW26" s="86">
        <f t="shared" si="59"/>
        <v>6171.823502657996</v>
      </c>
      <c r="BX26" s="86">
        <f t="shared" si="24"/>
        <v>47910157.617404617</v>
      </c>
      <c r="BY26" s="92">
        <f t="shared" si="60"/>
        <v>0</v>
      </c>
      <c r="BZ26" s="92">
        <f t="shared" si="61"/>
        <v>0</v>
      </c>
      <c r="CA26" s="86">
        <f t="shared" si="62"/>
        <v>6171.823502657996</v>
      </c>
      <c r="CB26" s="86">
        <f t="shared" si="25"/>
        <v>47910157.617404617</v>
      </c>
      <c r="CC26" s="96">
        <f t="shared" si="26"/>
        <v>59954502.320963167</v>
      </c>
      <c r="CD26" s="96">
        <f t="shared" si="27"/>
        <v>49966398.181139491</v>
      </c>
      <c r="CE26" s="94">
        <f t="shared" si="28"/>
        <v>0</v>
      </c>
      <c r="CF26" s="92">
        <f t="shared" si="29"/>
        <v>0</v>
      </c>
      <c r="CG26" s="67"/>
      <c r="CH26" s="86">
        <f t="shared" si="30"/>
        <v>6171.823502657996</v>
      </c>
      <c r="CI26" s="86">
        <f t="shared" si="31"/>
        <v>47910157.617404617</v>
      </c>
      <c r="CJ26" s="92">
        <f t="shared" si="63"/>
        <v>0</v>
      </c>
      <c r="CK26" s="92">
        <f t="shared" si="64"/>
        <v>0</v>
      </c>
      <c r="CL26" s="86">
        <f t="shared" si="65"/>
        <v>6171.823502657996</v>
      </c>
      <c r="CM26" s="86">
        <f t="shared" si="32"/>
        <v>47910157.617404617</v>
      </c>
      <c r="CN26" s="97">
        <f t="shared" si="33"/>
        <v>0.95884753277031221</v>
      </c>
      <c r="CO26" s="554">
        <f t="shared" si="34"/>
        <v>60028</v>
      </c>
      <c r="CP26" s="153"/>
      <c r="CQ26" s="153">
        <f t="shared" si="35"/>
        <v>6356.98</v>
      </c>
      <c r="CR26" s="353"/>
      <c r="CS26" s="391" t="str">
        <f>VLOOKUP(A26,Characteristics!A19:M102,13,FALSE)</f>
        <v/>
      </c>
      <c r="CT26" s="206">
        <f>VLOOKUP(A26,Characteristics!A19:C102,3,FALSE)</f>
        <v>0</v>
      </c>
      <c r="CU26" s="557">
        <f t="shared" si="66"/>
        <v>6356.98</v>
      </c>
      <c r="CV26" s="557" t="str">
        <f t="shared" si="67"/>
        <v/>
      </c>
    </row>
    <row r="27" spans="1:100" s="125" customFormat="1" x14ac:dyDescent="0.3">
      <c r="A27" s="199">
        <v>60030</v>
      </c>
      <c r="B27" s="139"/>
      <c r="C27" s="558">
        <f>VLOOKUP($A27,'Fed Bs Rt+IME+GME+VBP+RAA+HAC'!$B$5:$AG$88,19,FALSE)</f>
        <v>6918.4759729999996</v>
      </c>
      <c r="D27" s="458">
        <f>VLOOKUP($A27,'Fed Bs Rt+IME+GME+VBP+RAA+HAC'!$B$5:$AG$88,25,FALSE)</f>
        <v>0</v>
      </c>
      <c r="E27" s="458">
        <f>VLOOKUP($A27,'Fed Bs Rt+IME+GME+VBP+RAA+HAC'!$B$5:$AG$88,29,FALSE)</f>
        <v>-13.504001699999939</v>
      </c>
      <c r="F27" s="458">
        <f>VLOOKUP($A27,'Fed Bs Rt+IME+GME+VBP+RAA+HAC'!$B$5:$AG$88,27,FALSE)</f>
        <v>0</v>
      </c>
      <c r="G27" s="458">
        <f>VLOOKUP($A27,'Fed Bs Rt+IME+GME+VBP+RAA+HAC'!$B$5:$AG$88,32,FALSE)</f>
        <v>0</v>
      </c>
      <c r="H27" s="205">
        <f t="shared" si="36"/>
        <v>-13.504001699999939</v>
      </c>
      <c r="I27" s="458">
        <f>VLOOKUP(A27,'Fed Bs Rt+IME+GME+VBP+RAA+HAC'!$B$5:$U$88,20,FALSE)</f>
        <v>0</v>
      </c>
      <c r="J27" s="459">
        <f>IF(Characteristics!M20="CAH",+C27*J$4,0)</f>
        <v>0</v>
      </c>
      <c r="K27" s="459">
        <f>IF(OR(Characteristics!M20="SCH",Characteristics!M20="MDH"),+C27*K$4,0)</f>
        <v>0</v>
      </c>
      <c r="L27" s="460">
        <f>IF(OR(J27&gt;0,K27&gt;0,M27&gt;0),0,IF(VLOOKUP(A27,Characteristics!A:H,8,FALSE)&lt;=L$6,L$4*C27,IF(VLOOKUP(A27,Characteristics!A:H,8,FALSE)&gt;=L$5,0,(VLOOKUP(A27,Characteristics!A:H,8,FALSE)-L$5)/(L$6-L$5)*L$4*C27)))</f>
        <v>0</v>
      </c>
      <c r="M27" s="541">
        <f>IF(VLOOKUP($A27,Characteristics!$A:$E,3,FALSE)=2,M$4*C27,0)</f>
        <v>0</v>
      </c>
      <c r="N27" s="461">
        <f>IF(VLOOKUP($A27,Characteristics!$A:$K,6,FALSE)&gt;=N$5,N$4*C27,IF(VLOOKUP($A27,Characteristics!$A:$K,6,FALSE)&lt;=N$6,0,(VLOOKUP($A27,Characteristics!$A:$K,6,FALSE)-N$6)/(N$5-N$6)*N$4*C27))</f>
        <v>0</v>
      </c>
      <c r="O27" s="461">
        <f>IF(VLOOKUP($A27,Characteristics!$A:$K,11,FALSE)&lt;=O$6,O$4*C27,IF(VLOOKUP($A27,Characteristics!$A:$K,11,FALSE)&gt;=O$5,0,(VLOOKUP($A27,Characteristics!$A:$K,11,FALSE)-O$5)/(O$6-O$5)*O$4*C27))</f>
        <v>0</v>
      </c>
      <c r="P27" s="205">
        <f t="shared" si="37"/>
        <v>6904.9719712999995</v>
      </c>
      <c r="Q27" s="205"/>
      <c r="R27" s="86">
        <v>5456.52</v>
      </c>
      <c r="S27" s="87">
        <f t="shared" si="0"/>
        <v>5565.65</v>
      </c>
      <c r="T27" s="471"/>
      <c r="U27" s="86">
        <f t="shared" si="38"/>
        <v>5276029.6221065233</v>
      </c>
      <c r="V27" s="89">
        <v>635.4276000000001</v>
      </c>
      <c r="W27" s="90">
        <v>1.4918503436426116</v>
      </c>
      <c r="X27" s="91">
        <f t="shared" si="1"/>
        <v>6545657.1398478299</v>
      </c>
      <c r="Y27" s="196"/>
      <c r="Z27" s="86">
        <f t="shared" si="39"/>
        <v>5565.65</v>
      </c>
      <c r="AA27" s="86">
        <f t="shared" si="40"/>
        <v>5009.085</v>
      </c>
      <c r="AB27" s="86">
        <f t="shared" si="41"/>
        <v>6122.2150000000001</v>
      </c>
      <c r="AC27" s="469"/>
      <c r="AD27" s="100"/>
      <c r="AE27" s="86">
        <f t="shared" si="42"/>
        <v>5529.7826079384013</v>
      </c>
      <c r="AF27" s="86">
        <f t="shared" si="2"/>
        <v>5242028.6657070545</v>
      </c>
      <c r="AG27" s="92">
        <f t="shared" si="43"/>
        <v>0</v>
      </c>
      <c r="AH27" s="92">
        <f t="shared" si="44"/>
        <v>0</v>
      </c>
      <c r="AI27" s="86">
        <f t="shared" si="45"/>
        <v>5529.7826079384013</v>
      </c>
      <c r="AJ27" s="201"/>
      <c r="AK27" s="86">
        <f t="shared" si="3"/>
        <v>5242028.6657070545</v>
      </c>
      <c r="AL27" s="93">
        <f t="shared" si="4"/>
        <v>6545657.1398478299</v>
      </c>
      <c r="AM27" s="93">
        <f t="shared" si="5"/>
        <v>5276029.6221065233</v>
      </c>
      <c r="AN27" s="94">
        <f t="shared" si="46"/>
        <v>0</v>
      </c>
      <c r="AO27" s="95"/>
      <c r="AP27" s="86">
        <f t="shared" si="47"/>
        <v>5511.0973625997394</v>
      </c>
      <c r="AQ27" s="86">
        <f t="shared" si="6"/>
        <v>5224315.7466584072</v>
      </c>
      <c r="AR27" s="92">
        <f t="shared" si="48"/>
        <v>0</v>
      </c>
      <c r="AS27" s="92">
        <f t="shared" si="49"/>
        <v>0</v>
      </c>
      <c r="AT27" s="86">
        <f t="shared" si="50"/>
        <v>5511.0973625997394</v>
      </c>
      <c r="AU27" s="86">
        <f t="shared" si="7"/>
        <v>5224315.7466584072</v>
      </c>
      <c r="AV27" s="93">
        <f t="shared" si="8"/>
        <v>6545657.1398478299</v>
      </c>
      <c r="AW27" s="93">
        <f t="shared" si="9"/>
        <v>5276029.6221065233</v>
      </c>
      <c r="AX27" s="94">
        <f t="shared" si="10"/>
        <v>0</v>
      </c>
      <c r="AY27" s="92">
        <f t="shared" si="11"/>
        <v>0</v>
      </c>
      <c r="AZ27" s="95"/>
      <c r="BA27" s="86">
        <f t="shared" si="51"/>
        <v>5517.8223237193515</v>
      </c>
      <c r="BB27" s="86">
        <f t="shared" si="12"/>
        <v>5230690.7601922415</v>
      </c>
      <c r="BC27" s="92">
        <f t="shared" si="52"/>
        <v>0</v>
      </c>
      <c r="BD27" s="92">
        <f t="shared" si="53"/>
        <v>0</v>
      </c>
      <c r="BE27" s="86">
        <f t="shared" si="54"/>
        <v>5517.8223237193515</v>
      </c>
      <c r="BF27" s="86">
        <f t="shared" si="13"/>
        <v>5230690.7601922415</v>
      </c>
      <c r="BG27" s="96">
        <f t="shared" si="14"/>
        <v>6545657.1398478299</v>
      </c>
      <c r="BH27" s="96">
        <f t="shared" si="15"/>
        <v>5276029.6221065233</v>
      </c>
      <c r="BI27" s="94">
        <f t="shared" si="16"/>
        <v>0</v>
      </c>
      <c r="BJ27" s="92">
        <f t="shared" si="17"/>
        <v>0</v>
      </c>
      <c r="BK27" s="95"/>
      <c r="BL27" s="86">
        <f t="shared" si="55"/>
        <v>5517.8223933496483</v>
      </c>
      <c r="BM27" s="86">
        <f t="shared" si="18"/>
        <v>5230690.8261991786</v>
      </c>
      <c r="BN27" s="92">
        <f t="shared" si="56"/>
        <v>0</v>
      </c>
      <c r="BO27" s="92">
        <f t="shared" si="57"/>
        <v>0</v>
      </c>
      <c r="BP27" s="86">
        <f t="shared" si="58"/>
        <v>5517.8223933496483</v>
      </c>
      <c r="BQ27" s="86">
        <f t="shared" si="19"/>
        <v>5230690.8261991786</v>
      </c>
      <c r="BR27" s="93">
        <f t="shared" si="20"/>
        <v>6545657.1398478299</v>
      </c>
      <c r="BS27" s="93">
        <f t="shared" si="21"/>
        <v>5276029.6221065233</v>
      </c>
      <c r="BT27" s="94">
        <f t="shared" si="22"/>
        <v>0</v>
      </c>
      <c r="BU27" s="92">
        <f t="shared" si="23"/>
        <v>0</v>
      </c>
      <c r="BV27" s="95"/>
      <c r="BW27" s="86">
        <f t="shared" si="59"/>
        <v>5517.8223933496483</v>
      </c>
      <c r="BX27" s="86">
        <f t="shared" si="24"/>
        <v>5230690.8261991786</v>
      </c>
      <c r="BY27" s="92">
        <f t="shared" si="60"/>
        <v>0</v>
      </c>
      <c r="BZ27" s="92">
        <f t="shared" si="61"/>
        <v>0</v>
      </c>
      <c r="CA27" s="86">
        <f t="shared" si="62"/>
        <v>5517.8223933496483</v>
      </c>
      <c r="CB27" s="86">
        <f t="shared" si="25"/>
        <v>5230690.8261991786</v>
      </c>
      <c r="CC27" s="96">
        <f t="shared" si="26"/>
        <v>6545657.1398478299</v>
      </c>
      <c r="CD27" s="96">
        <f t="shared" si="27"/>
        <v>5276029.6221065233</v>
      </c>
      <c r="CE27" s="94">
        <f t="shared" si="28"/>
        <v>0</v>
      </c>
      <c r="CF27" s="92">
        <f t="shared" si="29"/>
        <v>0</v>
      </c>
      <c r="CG27" s="67"/>
      <c r="CH27" s="86">
        <f t="shared" si="30"/>
        <v>5517.8223933496483</v>
      </c>
      <c r="CI27" s="86">
        <f t="shared" si="31"/>
        <v>5230690.8261991786</v>
      </c>
      <c r="CJ27" s="92">
        <f t="shared" si="63"/>
        <v>0</v>
      </c>
      <c r="CK27" s="92">
        <f t="shared" si="64"/>
        <v>0</v>
      </c>
      <c r="CL27" s="86">
        <f t="shared" si="65"/>
        <v>5517.8223933496483</v>
      </c>
      <c r="CM27" s="86">
        <f t="shared" si="32"/>
        <v>5230690.8261991786</v>
      </c>
      <c r="CN27" s="97">
        <f t="shared" si="33"/>
        <v>0.99140664492910058</v>
      </c>
      <c r="CO27" s="554">
        <f t="shared" si="34"/>
        <v>60030</v>
      </c>
      <c r="CP27" s="153"/>
      <c r="CQ27" s="153">
        <f t="shared" si="35"/>
        <v>5683.36</v>
      </c>
      <c r="CR27" s="353"/>
      <c r="CS27" s="391" t="str">
        <f>VLOOKUP(A27,Characteristics!A20:M103,13,FALSE)</f>
        <v/>
      </c>
      <c r="CT27" s="206">
        <f>VLOOKUP(A27,Characteristics!A20:C103,3,FALSE)</f>
        <v>0</v>
      </c>
      <c r="CU27" s="557">
        <f t="shared" si="66"/>
        <v>5683.36</v>
      </c>
      <c r="CV27" s="557" t="str">
        <f t="shared" si="67"/>
        <v/>
      </c>
    </row>
    <row r="28" spans="1:100" s="125" customFormat="1" x14ac:dyDescent="0.3">
      <c r="A28" s="199">
        <v>60031</v>
      </c>
      <c r="B28" s="139"/>
      <c r="C28" s="558">
        <f>VLOOKUP($A28,'Fed Bs Rt+IME+GME+VBP+RAA+HAC'!$B$5:$AG$88,19,FALSE)</f>
        <v>6918.4759729999996</v>
      </c>
      <c r="D28" s="458">
        <f>VLOOKUP($A28,'Fed Bs Rt+IME+GME+VBP+RAA+HAC'!$B$5:$AG$88,25,FALSE)</f>
        <v>37.559603792280001</v>
      </c>
      <c r="E28" s="458">
        <f>VLOOKUP($A28,'Fed Bs Rt+IME+GME+VBP+RAA+HAC'!$B$5:$AG$88,29,FALSE)</f>
        <v>-0.64304769999992917</v>
      </c>
      <c r="F28" s="458">
        <f>VLOOKUP($A28,'Fed Bs Rt+IME+GME+VBP+RAA+HAC'!$B$5:$AG$88,27,FALSE)</f>
        <v>0</v>
      </c>
      <c r="G28" s="458">
        <f>VLOOKUP($A28,'Fed Bs Rt+IME+GME+VBP+RAA+HAC'!$B$5:$AG$88,32,FALSE)</f>
        <v>0</v>
      </c>
      <c r="H28" s="205">
        <f t="shared" si="36"/>
        <v>36.916556092280075</v>
      </c>
      <c r="I28" s="458">
        <f>VLOOKUP(A28,'Fed Bs Rt+IME+GME+VBP+RAA+HAC'!$B$5:$U$88,20,FALSE)</f>
        <v>5.6014657033715336</v>
      </c>
      <c r="J28" s="459">
        <f>IF(Characteristics!M21="CAH",+C28*J$4,0)</f>
        <v>0</v>
      </c>
      <c r="K28" s="459">
        <f>IF(OR(Characteristics!M21="SCH",Characteristics!M21="MDH"),+C28*K$4,0)</f>
        <v>0</v>
      </c>
      <c r="L28" s="460">
        <f>IF(OR(J28&gt;0,K28&gt;0,M28&gt;0),0,IF(VLOOKUP(A28,Characteristics!A:H,8,FALSE)&lt;=L$6,L$4*C28,IF(VLOOKUP(A28,Characteristics!A:H,8,FALSE)&gt;=L$5,0,(VLOOKUP(A28,Characteristics!A:H,8,FALSE)-L$5)/(L$6-L$5)*L$4*C28)))</f>
        <v>0</v>
      </c>
      <c r="M28" s="541">
        <f>IF(VLOOKUP($A28,Characteristics!$A:$E,3,FALSE)=2,M$4*C28,0)</f>
        <v>0</v>
      </c>
      <c r="N28" s="461">
        <f>IF(VLOOKUP($A28,Characteristics!$A:$K,6,FALSE)&gt;=N$5,N$4*C28,IF(VLOOKUP($A28,Characteristics!$A:$K,6,FALSE)&lt;=N$6,0,(VLOOKUP($A28,Characteristics!$A:$K,6,FALSE)-N$6)/(N$5-N$6)*N$4*C28))</f>
        <v>0</v>
      </c>
      <c r="O28" s="461">
        <f>IF(VLOOKUP($A28,Characteristics!$A:$K,11,FALSE)&lt;=O$6,O$4*C28,IF(VLOOKUP($A28,Characteristics!$A:$K,11,FALSE)&gt;=O$5,0,(VLOOKUP($A28,Characteristics!$A:$K,11,FALSE)-O$5)/(O$6-O$5)*O$4*C28))</f>
        <v>0</v>
      </c>
      <c r="P28" s="205">
        <f t="shared" si="37"/>
        <v>6960.9939947956509</v>
      </c>
      <c r="Q28" s="205"/>
      <c r="R28" s="86">
        <v>5621.83</v>
      </c>
      <c r="S28" s="87">
        <f t="shared" si="0"/>
        <v>5734.27</v>
      </c>
      <c r="T28" s="471"/>
      <c r="U28" s="86">
        <f t="shared" si="38"/>
        <v>67076038.574881092</v>
      </c>
      <c r="V28" s="89">
        <v>8085.8708000000006</v>
      </c>
      <c r="W28" s="90">
        <v>1.4466466648663245</v>
      </c>
      <c r="X28" s="91">
        <f t="shared" si="1"/>
        <v>81425517.409265473</v>
      </c>
      <c r="Y28" s="196"/>
      <c r="Z28" s="86">
        <f t="shared" si="39"/>
        <v>5734.27</v>
      </c>
      <c r="AA28" s="86">
        <f t="shared" si="40"/>
        <v>5160.8430000000008</v>
      </c>
      <c r="AB28" s="86">
        <f t="shared" si="41"/>
        <v>6307.697000000001</v>
      </c>
      <c r="AC28" s="469"/>
      <c r="AD28" s="100"/>
      <c r="AE28" s="86">
        <f t="shared" si="42"/>
        <v>5574.6473246201476</v>
      </c>
      <c r="AF28" s="86">
        <f t="shared" si="2"/>
        <v>65208868.607090123</v>
      </c>
      <c r="AG28" s="92">
        <f t="shared" si="43"/>
        <v>0</v>
      </c>
      <c r="AH28" s="92">
        <f t="shared" si="44"/>
        <v>0</v>
      </c>
      <c r="AI28" s="86">
        <f t="shared" si="45"/>
        <v>5574.6473246201476</v>
      </c>
      <c r="AJ28" s="201"/>
      <c r="AK28" s="86">
        <f t="shared" si="3"/>
        <v>65208868.607090123</v>
      </c>
      <c r="AL28" s="93">
        <f t="shared" si="4"/>
        <v>81425517.409265473</v>
      </c>
      <c r="AM28" s="93">
        <f t="shared" si="5"/>
        <v>67076038.574881092</v>
      </c>
      <c r="AN28" s="94">
        <f t="shared" si="46"/>
        <v>0</v>
      </c>
      <c r="AO28" s="95"/>
      <c r="AP28" s="86">
        <f t="shared" si="47"/>
        <v>5555.8104805121147</v>
      </c>
      <c r="AQ28" s="86">
        <f t="shared" si="6"/>
        <v>64988526.544016801</v>
      </c>
      <c r="AR28" s="92">
        <f t="shared" si="48"/>
        <v>0</v>
      </c>
      <c r="AS28" s="92">
        <f t="shared" si="49"/>
        <v>0</v>
      </c>
      <c r="AT28" s="86">
        <f t="shared" si="50"/>
        <v>5555.8104805121147</v>
      </c>
      <c r="AU28" s="86">
        <f t="shared" si="7"/>
        <v>64988526.544016801</v>
      </c>
      <c r="AV28" s="93">
        <f t="shared" si="8"/>
        <v>81425517.409265473</v>
      </c>
      <c r="AW28" s="93">
        <f t="shared" si="9"/>
        <v>67076038.574881092</v>
      </c>
      <c r="AX28" s="94">
        <f t="shared" si="10"/>
        <v>0</v>
      </c>
      <c r="AY28" s="92">
        <f t="shared" si="11"/>
        <v>0</v>
      </c>
      <c r="AZ28" s="95"/>
      <c r="BA28" s="86">
        <f t="shared" si="51"/>
        <v>5562.5900031754118</v>
      </c>
      <c r="BB28" s="86">
        <f t="shared" si="12"/>
        <v>65067829.319031335</v>
      </c>
      <c r="BC28" s="92">
        <f t="shared" si="52"/>
        <v>0</v>
      </c>
      <c r="BD28" s="92">
        <f t="shared" si="53"/>
        <v>0</v>
      </c>
      <c r="BE28" s="86">
        <f t="shared" si="54"/>
        <v>5562.5900031754118</v>
      </c>
      <c r="BF28" s="86">
        <f t="shared" si="13"/>
        <v>65067829.319031335</v>
      </c>
      <c r="BG28" s="96">
        <f t="shared" si="14"/>
        <v>81425517.409265473</v>
      </c>
      <c r="BH28" s="96">
        <f t="shared" si="15"/>
        <v>67076038.574881092</v>
      </c>
      <c r="BI28" s="94">
        <f t="shared" si="16"/>
        <v>0</v>
      </c>
      <c r="BJ28" s="92">
        <f t="shared" si="17"/>
        <v>0</v>
      </c>
      <c r="BK28" s="95"/>
      <c r="BL28" s="86">
        <f t="shared" si="55"/>
        <v>5562.5900733706394</v>
      </c>
      <c r="BM28" s="86">
        <f t="shared" si="18"/>
        <v>65067830.140132859</v>
      </c>
      <c r="BN28" s="92">
        <f t="shared" si="56"/>
        <v>0</v>
      </c>
      <c r="BO28" s="92">
        <f t="shared" si="57"/>
        <v>0</v>
      </c>
      <c r="BP28" s="86">
        <f t="shared" si="58"/>
        <v>5562.5900733706394</v>
      </c>
      <c r="BQ28" s="86">
        <f t="shared" si="19"/>
        <v>65067830.140132859</v>
      </c>
      <c r="BR28" s="93">
        <f t="shared" si="20"/>
        <v>81425517.409265473</v>
      </c>
      <c r="BS28" s="93">
        <f t="shared" si="21"/>
        <v>67076038.574881092</v>
      </c>
      <c r="BT28" s="94">
        <f t="shared" si="22"/>
        <v>0</v>
      </c>
      <c r="BU28" s="92">
        <f t="shared" si="23"/>
        <v>0</v>
      </c>
      <c r="BV28" s="95"/>
      <c r="BW28" s="86">
        <f t="shared" si="59"/>
        <v>5562.5900733706394</v>
      </c>
      <c r="BX28" s="86">
        <f t="shared" si="24"/>
        <v>65067830.140132859</v>
      </c>
      <c r="BY28" s="92">
        <f t="shared" si="60"/>
        <v>0</v>
      </c>
      <c r="BZ28" s="92">
        <f t="shared" si="61"/>
        <v>0</v>
      </c>
      <c r="CA28" s="86">
        <f t="shared" si="62"/>
        <v>5562.5900733706394</v>
      </c>
      <c r="CB28" s="86">
        <f t="shared" si="25"/>
        <v>65067830.140132859</v>
      </c>
      <c r="CC28" s="96">
        <f t="shared" si="26"/>
        <v>81425517.409265473</v>
      </c>
      <c r="CD28" s="96">
        <f t="shared" si="27"/>
        <v>67076038.574881092</v>
      </c>
      <c r="CE28" s="94">
        <f t="shared" si="28"/>
        <v>0</v>
      </c>
      <c r="CF28" s="92">
        <f t="shared" si="29"/>
        <v>0</v>
      </c>
      <c r="CG28" s="67"/>
      <c r="CH28" s="86">
        <f t="shared" si="30"/>
        <v>5562.5900733706394</v>
      </c>
      <c r="CI28" s="86">
        <f t="shared" si="31"/>
        <v>65067830.140132859</v>
      </c>
      <c r="CJ28" s="92">
        <f t="shared" si="63"/>
        <v>0</v>
      </c>
      <c r="CK28" s="92">
        <f t="shared" si="64"/>
        <v>0</v>
      </c>
      <c r="CL28" s="86">
        <f t="shared" si="65"/>
        <v>5562.5900733706394</v>
      </c>
      <c r="CM28" s="86">
        <f t="shared" si="32"/>
        <v>65067830.140132859</v>
      </c>
      <c r="CN28" s="97">
        <f t="shared" si="33"/>
        <v>0.97006071799385785</v>
      </c>
      <c r="CO28" s="554">
        <f t="shared" si="34"/>
        <v>60031</v>
      </c>
      <c r="CP28" s="153"/>
      <c r="CQ28" s="153">
        <f t="shared" si="35"/>
        <v>5729.47</v>
      </c>
      <c r="CR28" s="353"/>
      <c r="CS28" s="391" t="str">
        <f>VLOOKUP(A28,Characteristics!A21:M104,13,FALSE)</f>
        <v/>
      </c>
      <c r="CT28" s="206">
        <f>VLOOKUP(A28,Characteristics!A21:C104,3,FALSE)</f>
        <v>0</v>
      </c>
      <c r="CU28" s="557">
        <f t="shared" si="66"/>
        <v>5729.47</v>
      </c>
      <c r="CV28" s="557" t="str">
        <f t="shared" si="67"/>
        <v/>
      </c>
    </row>
    <row r="29" spans="1:100" s="125" customFormat="1" x14ac:dyDescent="0.3">
      <c r="A29" s="199">
        <v>60032</v>
      </c>
      <c r="B29" s="139"/>
      <c r="C29" s="558">
        <f>VLOOKUP($A29,'Fed Bs Rt+IME+GME+VBP+RAA+HAC'!$B$5:$AG$88,19,FALSE)</f>
        <v>6918.4759729999996</v>
      </c>
      <c r="D29" s="458">
        <f>VLOOKUP($A29,'Fed Bs Rt+IME+GME+VBP+RAA+HAC'!$B$5:$AG$88,25,FALSE)</f>
        <v>168.05435194257001</v>
      </c>
      <c r="E29" s="458">
        <f>VLOOKUP($A29,'Fed Bs Rt+IME+GME+VBP+RAA+HAC'!$B$5:$AG$88,29,FALSE)</f>
        <v>-1.9291430999997874</v>
      </c>
      <c r="F29" s="458">
        <f>VLOOKUP($A29,'Fed Bs Rt+IME+GME+VBP+RAA+HAC'!$B$5:$AG$88,27,FALSE)</f>
        <v>0</v>
      </c>
      <c r="G29" s="458">
        <f>VLOOKUP($A29,'Fed Bs Rt+IME+GME+VBP+RAA+HAC'!$B$5:$AG$88,32,FALSE)</f>
        <v>0</v>
      </c>
      <c r="H29" s="205">
        <f t="shared" si="36"/>
        <v>166.12520884257023</v>
      </c>
      <c r="I29" s="458">
        <f>VLOOKUP(A29,'Fed Bs Rt+IME+GME+VBP+RAA+HAC'!$B$5:$U$88,20,FALSE)</f>
        <v>6.5086284504919334</v>
      </c>
      <c r="J29" s="459">
        <f>IF(Characteristics!M22="CAH",+C29*J$4,0)</f>
        <v>0</v>
      </c>
      <c r="K29" s="459">
        <f>IF(OR(Characteristics!M22="SCH",Characteristics!M22="MDH"),+C29*K$4,0)</f>
        <v>0</v>
      </c>
      <c r="L29" s="460">
        <f>IF(OR(J29&gt;0,K29&gt;0,M29&gt;0),0,IF(VLOOKUP(A29,Characteristics!A:H,8,FALSE)&lt;=L$6,L$4*C29,IF(VLOOKUP(A29,Characteristics!A:H,8,FALSE)&gt;=L$5,0,(VLOOKUP(A29,Characteristics!A:H,8,FALSE)-L$5)/(L$6-L$5)*L$4*C29)))</f>
        <v>0</v>
      </c>
      <c r="M29" s="541">
        <f>IF(VLOOKUP($A29,Characteristics!$A:$E,3,FALSE)=2,M$4*C29,0)</f>
        <v>0</v>
      </c>
      <c r="N29" s="461">
        <f>IF(VLOOKUP($A29,Characteristics!$A:$K,6,FALSE)&gt;=N$5,N$4*C29,IF(VLOOKUP($A29,Characteristics!$A:$K,6,FALSE)&lt;=N$6,0,(VLOOKUP($A29,Characteristics!$A:$K,6,FALSE)-N$6)/(N$5-N$6)*N$4*C29))</f>
        <v>0</v>
      </c>
      <c r="O29" s="461">
        <f>IF(VLOOKUP($A29,Characteristics!$A:$K,11,FALSE)&lt;=O$6,O$4*C29,IF(VLOOKUP($A29,Characteristics!$A:$K,11,FALSE)&gt;=O$5,0,(VLOOKUP($A29,Characteristics!$A:$K,11,FALSE)-O$5)/(O$6-O$5)*O$4*C29))</f>
        <v>0</v>
      </c>
      <c r="P29" s="205">
        <f t="shared" si="37"/>
        <v>7091.1098102930619</v>
      </c>
      <c r="Q29" s="205"/>
      <c r="R29" s="86">
        <v>5793.67</v>
      </c>
      <c r="S29" s="87">
        <f t="shared" si="0"/>
        <v>5909.54</v>
      </c>
      <c r="T29" s="471"/>
      <c r="U29" s="86">
        <f t="shared" si="38"/>
        <v>23227032.630758066</v>
      </c>
      <c r="V29" s="89">
        <v>3608.3990000000003</v>
      </c>
      <c r="W29" s="90">
        <v>1.089244810892587</v>
      </c>
      <c r="X29" s="91">
        <f t="shared" si="1"/>
        <v>27871109.925978262</v>
      </c>
      <c r="Y29" s="196"/>
      <c r="Z29" s="86">
        <f t="shared" si="39"/>
        <v>5909.54</v>
      </c>
      <c r="AA29" s="86">
        <f t="shared" si="40"/>
        <v>5318.5860000000002</v>
      </c>
      <c r="AB29" s="86">
        <f t="shared" si="41"/>
        <v>6500.4940000000006</v>
      </c>
      <c r="AC29" s="469"/>
      <c r="AD29" s="100"/>
      <c r="AE29" s="86">
        <f t="shared" si="42"/>
        <v>5678.8493657791705</v>
      </c>
      <c r="AF29" s="86">
        <f t="shared" si="2"/>
        <v>22320319.267508559</v>
      </c>
      <c r="AG29" s="92">
        <f t="shared" si="43"/>
        <v>0</v>
      </c>
      <c r="AH29" s="92">
        <f t="shared" si="44"/>
        <v>0</v>
      </c>
      <c r="AI29" s="86">
        <f t="shared" si="45"/>
        <v>5678.8493657791705</v>
      </c>
      <c r="AJ29" s="201"/>
      <c r="AK29" s="86">
        <f t="shared" si="3"/>
        <v>22320319.267508559</v>
      </c>
      <c r="AL29" s="93">
        <f t="shared" si="4"/>
        <v>27871109.925978262</v>
      </c>
      <c r="AM29" s="93">
        <f t="shared" si="5"/>
        <v>23227032.630758066</v>
      </c>
      <c r="AN29" s="94">
        <f t="shared" si="46"/>
        <v>0</v>
      </c>
      <c r="AO29" s="95"/>
      <c r="AP29" s="86">
        <f t="shared" si="47"/>
        <v>5659.6604209030083</v>
      </c>
      <c r="AQ29" s="86">
        <f t="shared" si="6"/>
        <v>22244898.465079196</v>
      </c>
      <c r="AR29" s="92">
        <f t="shared" si="48"/>
        <v>0</v>
      </c>
      <c r="AS29" s="92">
        <f t="shared" si="49"/>
        <v>0</v>
      </c>
      <c r="AT29" s="86">
        <f t="shared" si="50"/>
        <v>5659.6604209030083</v>
      </c>
      <c r="AU29" s="86">
        <f t="shared" si="7"/>
        <v>22244898.465079196</v>
      </c>
      <c r="AV29" s="93">
        <f t="shared" si="8"/>
        <v>27871109.925978262</v>
      </c>
      <c r="AW29" s="93">
        <f t="shared" si="9"/>
        <v>23227032.630758066</v>
      </c>
      <c r="AX29" s="94">
        <f t="shared" si="10"/>
        <v>0</v>
      </c>
      <c r="AY29" s="92">
        <f t="shared" si="11"/>
        <v>0</v>
      </c>
      <c r="AZ29" s="95"/>
      <c r="BA29" s="86">
        <f t="shared" si="51"/>
        <v>5666.5666672958014</v>
      </c>
      <c r="BB29" s="86">
        <f t="shared" si="12"/>
        <v>22272042.982304133</v>
      </c>
      <c r="BC29" s="92">
        <f t="shared" si="52"/>
        <v>0</v>
      </c>
      <c r="BD29" s="92">
        <f t="shared" si="53"/>
        <v>0</v>
      </c>
      <c r="BE29" s="86">
        <f t="shared" si="54"/>
        <v>5666.5666672958014</v>
      </c>
      <c r="BF29" s="86">
        <f t="shared" si="13"/>
        <v>22272042.982304133</v>
      </c>
      <c r="BG29" s="96">
        <f t="shared" si="14"/>
        <v>27871109.925978262</v>
      </c>
      <c r="BH29" s="96">
        <f t="shared" si="15"/>
        <v>23227032.630758066</v>
      </c>
      <c r="BI29" s="94">
        <f t="shared" si="16"/>
        <v>0</v>
      </c>
      <c r="BJ29" s="92">
        <f t="shared" si="17"/>
        <v>0</v>
      </c>
      <c r="BK29" s="95"/>
      <c r="BL29" s="86">
        <f t="shared" si="55"/>
        <v>5666.566738803127</v>
      </c>
      <c r="BM29" s="86">
        <f t="shared" si="18"/>
        <v>22272043.263358664</v>
      </c>
      <c r="BN29" s="92">
        <f t="shared" si="56"/>
        <v>0</v>
      </c>
      <c r="BO29" s="92">
        <f t="shared" si="57"/>
        <v>0</v>
      </c>
      <c r="BP29" s="86">
        <f t="shared" si="58"/>
        <v>5666.566738803127</v>
      </c>
      <c r="BQ29" s="86">
        <f t="shared" si="19"/>
        <v>22272043.263358664</v>
      </c>
      <c r="BR29" s="93">
        <f t="shared" si="20"/>
        <v>27871109.925978262</v>
      </c>
      <c r="BS29" s="93">
        <f t="shared" si="21"/>
        <v>23227032.630758066</v>
      </c>
      <c r="BT29" s="94">
        <f t="shared" si="22"/>
        <v>0</v>
      </c>
      <c r="BU29" s="92">
        <f t="shared" si="23"/>
        <v>0</v>
      </c>
      <c r="BV29" s="95"/>
      <c r="BW29" s="86">
        <f t="shared" si="59"/>
        <v>5666.566738803127</v>
      </c>
      <c r="BX29" s="86">
        <f t="shared" si="24"/>
        <v>22272043.263358664</v>
      </c>
      <c r="BY29" s="92">
        <f t="shared" si="60"/>
        <v>0</v>
      </c>
      <c r="BZ29" s="92">
        <f t="shared" si="61"/>
        <v>0</v>
      </c>
      <c r="CA29" s="86">
        <f t="shared" si="62"/>
        <v>5666.566738803127</v>
      </c>
      <c r="CB29" s="86">
        <f t="shared" si="25"/>
        <v>22272043.263358664</v>
      </c>
      <c r="CC29" s="96">
        <f t="shared" si="26"/>
        <v>27871109.925978262</v>
      </c>
      <c r="CD29" s="96">
        <f t="shared" si="27"/>
        <v>23227032.630758066</v>
      </c>
      <c r="CE29" s="94">
        <f t="shared" si="28"/>
        <v>0</v>
      </c>
      <c r="CF29" s="92">
        <f t="shared" si="29"/>
        <v>0</v>
      </c>
      <c r="CG29" s="67"/>
      <c r="CH29" s="86">
        <f t="shared" si="30"/>
        <v>5666.566738803127</v>
      </c>
      <c r="CI29" s="86">
        <f t="shared" si="31"/>
        <v>22272043.263358664</v>
      </c>
      <c r="CJ29" s="92">
        <f t="shared" si="63"/>
        <v>0</v>
      </c>
      <c r="CK29" s="92">
        <f t="shared" si="64"/>
        <v>0</v>
      </c>
      <c r="CL29" s="86">
        <f t="shared" si="65"/>
        <v>5666.566738803127</v>
      </c>
      <c r="CM29" s="86">
        <f t="shared" si="32"/>
        <v>22272043.263358664</v>
      </c>
      <c r="CN29" s="97">
        <f t="shared" si="33"/>
        <v>0.95888457287760587</v>
      </c>
      <c r="CO29" s="554">
        <f t="shared" si="34"/>
        <v>60032</v>
      </c>
      <c r="CP29" s="153"/>
      <c r="CQ29" s="153">
        <f t="shared" si="35"/>
        <v>5836.56</v>
      </c>
      <c r="CR29" s="353"/>
      <c r="CS29" s="391" t="str">
        <f>VLOOKUP(A29,Characteristics!A22:M105,13,FALSE)</f>
        <v/>
      </c>
      <c r="CT29" s="206">
        <f>VLOOKUP(A29,Characteristics!A22:C105,3,FALSE)</f>
        <v>0</v>
      </c>
      <c r="CU29" s="557">
        <f t="shared" si="66"/>
        <v>5836.56</v>
      </c>
      <c r="CV29" s="557" t="str">
        <f t="shared" si="67"/>
        <v/>
      </c>
    </row>
    <row r="30" spans="1:100" s="125" customFormat="1" x14ac:dyDescent="0.3">
      <c r="A30" s="199">
        <v>60034</v>
      </c>
      <c r="B30" s="139"/>
      <c r="C30" s="558">
        <f>VLOOKUP($A30,'Fed Bs Rt+IME+GME+VBP+RAA+HAC'!$B$5:$AG$88,19,FALSE)</f>
        <v>6918.4759729999996</v>
      </c>
      <c r="D30" s="458">
        <f>VLOOKUP($A30,'Fed Bs Rt+IME+GME+VBP+RAA+HAC'!$B$5:$AG$88,25,FALSE)</f>
        <v>358.28792951260004</v>
      </c>
      <c r="E30" s="458">
        <f>VLOOKUP($A30,'Fed Bs Rt+IME+GME+VBP+RAA+HAC'!$B$5:$AG$88,29,FALSE)</f>
        <v>-5.7874293000000767</v>
      </c>
      <c r="F30" s="458">
        <f>VLOOKUP($A30,'Fed Bs Rt+IME+GME+VBP+RAA+HAC'!$B$5:$AG$88,27,FALSE)</f>
        <v>0</v>
      </c>
      <c r="G30" s="458">
        <f>VLOOKUP($A30,'Fed Bs Rt+IME+GME+VBP+RAA+HAC'!$B$5:$AG$88,32,FALSE)</f>
        <v>0</v>
      </c>
      <c r="H30" s="205">
        <f t="shared" si="36"/>
        <v>352.50050021259995</v>
      </c>
      <c r="I30" s="458">
        <f>VLOOKUP(A30,'Fed Bs Rt+IME+GME+VBP+RAA+HAC'!$B$5:$U$88,20,FALSE)</f>
        <v>29.563465290673026</v>
      </c>
      <c r="J30" s="459">
        <f>IF(Characteristics!M23="CAH",+C30*J$4,0)</f>
        <v>0</v>
      </c>
      <c r="K30" s="459">
        <f>IF(OR(Characteristics!M23="SCH",Characteristics!M23="MDH"),+C30*K$4,0)</f>
        <v>0</v>
      </c>
      <c r="L30" s="460">
        <f>IF(OR(J30&gt;0,K30&gt;0,M30&gt;0),0,IF(VLOOKUP(A30,Characteristics!A:H,8,FALSE)&lt;=L$6,L$4*C30,IF(VLOOKUP(A30,Characteristics!A:H,8,FALSE)&gt;=L$5,0,(VLOOKUP(A30,Characteristics!A:H,8,FALSE)-L$5)/(L$6-L$5)*L$4*C30)))</f>
        <v>0</v>
      </c>
      <c r="M30" s="541">
        <f>IF(VLOOKUP($A30,Characteristics!$A:$E,3,FALSE)=2,M$4*C30,0)</f>
        <v>0</v>
      </c>
      <c r="N30" s="461">
        <f>IF(VLOOKUP($A30,Characteristics!$A:$K,6,FALSE)&gt;=N$5,N$4*C30,IF(VLOOKUP($A30,Characteristics!$A:$K,6,FALSE)&lt;=N$6,0,(VLOOKUP($A30,Characteristics!$A:$K,6,FALSE)-N$6)/(N$5-N$6)*N$4*C30))</f>
        <v>0</v>
      </c>
      <c r="O30" s="461">
        <f>IF(VLOOKUP($A30,Characteristics!$A:$K,11,FALSE)&lt;=O$6,O$4*C30,IF(VLOOKUP($A30,Characteristics!$A:$K,11,FALSE)&gt;=O$5,0,(VLOOKUP($A30,Characteristics!$A:$K,11,FALSE)-O$5)/(O$6-O$5)*O$4*C30))</f>
        <v>0</v>
      </c>
      <c r="P30" s="205">
        <f t="shared" si="37"/>
        <v>7300.5399385032724</v>
      </c>
      <c r="Q30" s="205"/>
      <c r="R30" s="86">
        <v>5632.67</v>
      </c>
      <c r="S30" s="87">
        <f t="shared" si="0"/>
        <v>5745.32</v>
      </c>
      <c r="T30" s="471"/>
      <c r="U30" s="86">
        <f t="shared" si="38"/>
        <v>48202482.627646588</v>
      </c>
      <c r="V30" s="89">
        <v>5271.2104000000008</v>
      </c>
      <c r="W30" s="90">
        <v>1.5916399544324773</v>
      </c>
      <c r="X30" s="91">
        <f t="shared" si="1"/>
        <v>61250574.303632185</v>
      </c>
      <c r="Y30" s="196"/>
      <c r="Z30" s="86">
        <f t="shared" si="39"/>
        <v>5745.32</v>
      </c>
      <c r="AA30" s="86">
        <f t="shared" si="40"/>
        <v>5170.7879999999996</v>
      </c>
      <c r="AB30" s="86">
        <f t="shared" si="41"/>
        <v>6319.8519999999999</v>
      </c>
      <c r="AC30" s="469"/>
      <c r="AD30" s="100"/>
      <c r="AE30" s="86">
        <f t="shared" si="42"/>
        <v>5846.5695368919141</v>
      </c>
      <c r="AF30" s="86">
        <f t="shared" si="2"/>
        <v>49051952.986667454</v>
      </c>
      <c r="AG30" s="92">
        <f t="shared" si="43"/>
        <v>0</v>
      </c>
      <c r="AH30" s="92">
        <f t="shared" si="44"/>
        <v>0</v>
      </c>
      <c r="AI30" s="86">
        <f t="shared" si="45"/>
        <v>5846.5695368919141</v>
      </c>
      <c r="AJ30" s="201"/>
      <c r="AK30" s="86">
        <f t="shared" si="3"/>
        <v>49051952.986667454</v>
      </c>
      <c r="AL30" s="93">
        <f t="shared" si="4"/>
        <v>61250574.303632185</v>
      </c>
      <c r="AM30" s="93">
        <f t="shared" si="5"/>
        <v>48202482.627646588</v>
      </c>
      <c r="AN30" s="94">
        <f t="shared" si="46"/>
        <v>0</v>
      </c>
      <c r="AO30" s="95"/>
      <c r="AP30" s="86">
        <f t="shared" si="47"/>
        <v>5826.8138622240622</v>
      </c>
      <c r="AQ30" s="86">
        <f t="shared" si="6"/>
        <v>48886205.462600112</v>
      </c>
      <c r="AR30" s="92">
        <f t="shared" si="48"/>
        <v>0</v>
      </c>
      <c r="AS30" s="92">
        <f t="shared" si="49"/>
        <v>0</v>
      </c>
      <c r="AT30" s="86">
        <f t="shared" si="50"/>
        <v>5826.8138622240622</v>
      </c>
      <c r="AU30" s="86">
        <f t="shared" si="7"/>
        <v>48886205.462600112</v>
      </c>
      <c r="AV30" s="93">
        <f t="shared" si="8"/>
        <v>61250574.303632185</v>
      </c>
      <c r="AW30" s="93">
        <f t="shared" si="9"/>
        <v>48202482.627646588</v>
      </c>
      <c r="AX30" s="94">
        <f t="shared" si="10"/>
        <v>0</v>
      </c>
      <c r="AY30" s="92">
        <f t="shared" si="11"/>
        <v>0</v>
      </c>
      <c r="AZ30" s="95"/>
      <c r="BA30" s="86">
        <f t="shared" si="51"/>
        <v>5833.924078955235</v>
      </c>
      <c r="BB30" s="86">
        <f t="shared" si="12"/>
        <v>48945859.250111185</v>
      </c>
      <c r="BC30" s="92">
        <f t="shared" si="52"/>
        <v>0</v>
      </c>
      <c r="BD30" s="92">
        <f t="shared" si="53"/>
        <v>0</v>
      </c>
      <c r="BE30" s="86">
        <f t="shared" si="54"/>
        <v>5833.924078955235</v>
      </c>
      <c r="BF30" s="86">
        <f t="shared" si="13"/>
        <v>48945859.250111185</v>
      </c>
      <c r="BG30" s="96">
        <f t="shared" si="14"/>
        <v>61250574.303632185</v>
      </c>
      <c r="BH30" s="96">
        <f t="shared" si="15"/>
        <v>48202482.627646588</v>
      </c>
      <c r="BI30" s="94">
        <f t="shared" si="16"/>
        <v>0</v>
      </c>
      <c r="BJ30" s="92">
        <f t="shared" si="17"/>
        <v>0</v>
      </c>
      <c r="BK30" s="95"/>
      <c r="BL30" s="86">
        <f t="shared" si="55"/>
        <v>5833.924152574471</v>
      </c>
      <c r="BM30" s="86">
        <f t="shared" si="18"/>
        <v>48945859.867766947</v>
      </c>
      <c r="BN30" s="92">
        <f t="shared" si="56"/>
        <v>0</v>
      </c>
      <c r="BO30" s="92">
        <f t="shared" si="57"/>
        <v>0</v>
      </c>
      <c r="BP30" s="86">
        <f t="shared" si="58"/>
        <v>5833.924152574471</v>
      </c>
      <c r="BQ30" s="86">
        <f t="shared" si="19"/>
        <v>48945859.867766947</v>
      </c>
      <c r="BR30" s="93">
        <f t="shared" si="20"/>
        <v>61250574.303632185</v>
      </c>
      <c r="BS30" s="93">
        <f t="shared" si="21"/>
        <v>48202482.627646588</v>
      </c>
      <c r="BT30" s="94">
        <f t="shared" si="22"/>
        <v>0</v>
      </c>
      <c r="BU30" s="92">
        <f t="shared" si="23"/>
        <v>0</v>
      </c>
      <c r="BV30" s="95"/>
      <c r="BW30" s="86">
        <f t="shared" si="59"/>
        <v>5833.924152574471</v>
      </c>
      <c r="BX30" s="86">
        <f t="shared" si="24"/>
        <v>48945859.867766947</v>
      </c>
      <c r="BY30" s="92">
        <f t="shared" si="60"/>
        <v>0</v>
      </c>
      <c r="BZ30" s="92">
        <f t="shared" si="61"/>
        <v>0</v>
      </c>
      <c r="CA30" s="86">
        <f t="shared" si="62"/>
        <v>5833.924152574471</v>
      </c>
      <c r="CB30" s="86">
        <f t="shared" si="25"/>
        <v>48945859.867766947</v>
      </c>
      <c r="CC30" s="96">
        <f t="shared" si="26"/>
        <v>61250574.303632185</v>
      </c>
      <c r="CD30" s="96">
        <f t="shared" si="27"/>
        <v>48202482.627646588</v>
      </c>
      <c r="CE30" s="94">
        <f t="shared" si="28"/>
        <v>0</v>
      </c>
      <c r="CF30" s="92">
        <f t="shared" si="29"/>
        <v>0</v>
      </c>
      <c r="CG30" s="67"/>
      <c r="CH30" s="86">
        <f t="shared" si="30"/>
        <v>5833.924152574471</v>
      </c>
      <c r="CI30" s="86">
        <f t="shared" si="31"/>
        <v>48945859.867766947</v>
      </c>
      <c r="CJ30" s="92">
        <f t="shared" si="63"/>
        <v>0</v>
      </c>
      <c r="CK30" s="92">
        <f t="shared" si="64"/>
        <v>0</v>
      </c>
      <c r="CL30" s="86">
        <f t="shared" si="65"/>
        <v>5833.924152574471</v>
      </c>
      <c r="CM30" s="86">
        <f t="shared" si="32"/>
        <v>48945859.867766947</v>
      </c>
      <c r="CN30" s="97">
        <f t="shared" si="33"/>
        <v>1.0154219699815625</v>
      </c>
      <c r="CO30" s="554">
        <f t="shared" si="34"/>
        <v>60034</v>
      </c>
      <c r="CP30" s="153"/>
      <c r="CQ30" s="153">
        <f t="shared" si="35"/>
        <v>6008.94</v>
      </c>
      <c r="CR30" s="353"/>
      <c r="CS30" s="391" t="str">
        <f>VLOOKUP(A30,Characteristics!A23:M106,13,FALSE)</f>
        <v/>
      </c>
      <c r="CT30" s="206">
        <f>VLOOKUP(A30,Characteristics!A23:C106,3,FALSE)</f>
        <v>0</v>
      </c>
      <c r="CU30" s="557">
        <f t="shared" si="66"/>
        <v>6008.94</v>
      </c>
      <c r="CV30" s="557" t="str">
        <f t="shared" si="67"/>
        <v/>
      </c>
    </row>
    <row r="31" spans="1:100" s="125" customFormat="1" x14ac:dyDescent="0.3">
      <c r="A31" s="199">
        <v>60044</v>
      </c>
      <c r="B31" s="139"/>
      <c r="C31" s="558">
        <f>VLOOKUP($A31,'Fed Bs Rt+IME+GME+VBP+RAA+HAC'!$B$5:$AG$88,19,FALSE)</f>
        <v>6918.4759729999996</v>
      </c>
      <c r="D31" s="458">
        <f>VLOOKUP($A31,'Fed Bs Rt+IME+GME+VBP+RAA+HAC'!$B$5:$AG$88,25,FALSE)</f>
        <v>0</v>
      </c>
      <c r="E31" s="458">
        <f>VLOOKUP($A31,'Fed Bs Rt+IME+GME+VBP+RAA+HAC'!$B$5:$AG$88,29,FALSE)</f>
        <v>0</v>
      </c>
      <c r="F31" s="458">
        <f>VLOOKUP($A31,'Fed Bs Rt+IME+GME+VBP+RAA+HAC'!$B$5:$AG$88,27,FALSE)</f>
        <v>0</v>
      </c>
      <c r="G31" s="458">
        <f>VLOOKUP($A31,'Fed Bs Rt+IME+GME+VBP+RAA+HAC'!$B$5:$AG$88,32,FALSE)</f>
        <v>0</v>
      </c>
      <c r="H31" s="205">
        <f t="shared" si="36"/>
        <v>0</v>
      </c>
      <c r="I31" s="458">
        <f>VLOOKUP(A31,'Fed Bs Rt+IME+GME+VBP+RAA+HAC'!$B$5:$U$88,20,FALSE)</f>
        <v>0</v>
      </c>
      <c r="J31" s="459">
        <f>IF(Characteristics!M24="CAH",+C31*J$4,0)</f>
        <v>0</v>
      </c>
      <c r="K31" s="459">
        <f>IF(OR(Characteristics!M24="SCH",Characteristics!M24="MDH"),+C31*K$4,0)</f>
        <v>1383.6951945999999</v>
      </c>
      <c r="L31" s="460">
        <f>IF(OR(J31&gt;0,K31&gt;0,M31&gt;0),0,IF(VLOOKUP(A31,Characteristics!A:H,8,FALSE)&lt;=L$6,L$4*C31,IF(VLOOKUP(A31,Characteristics!A:H,8,FALSE)&gt;=L$5,0,(VLOOKUP(A31,Characteristics!A:H,8,FALSE)-L$5)/(L$6-L$5)*L$4*C31)))</f>
        <v>0</v>
      </c>
      <c r="M31" s="541">
        <f>IF(VLOOKUP($A31,Characteristics!$A:$E,3,FALSE)=2,M$4*C31,0)</f>
        <v>0</v>
      </c>
      <c r="N31" s="461">
        <f>IF(VLOOKUP($A31,Characteristics!$A:$K,6,FALSE)&gt;=N$5,N$4*C31,IF(VLOOKUP($A31,Characteristics!$A:$K,6,FALSE)&lt;=N$6,0,(VLOOKUP($A31,Characteristics!$A:$K,6,FALSE)-N$6)/(N$5-N$6)*N$4*C31))</f>
        <v>0</v>
      </c>
      <c r="O31" s="461">
        <f>IF(VLOOKUP($A31,Characteristics!$A:$K,11,FALSE)&lt;=O$6,O$4*C31,IF(VLOOKUP($A31,Characteristics!$A:$K,11,FALSE)&gt;=O$5,0,(VLOOKUP($A31,Characteristics!$A:$K,11,FALSE)-O$5)/(O$6-O$5)*O$4*C31))</f>
        <v>0</v>
      </c>
      <c r="P31" s="205">
        <f t="shared" si="37"/>
        <v>8302.1711675999995</v>
      </c>
      <c r="Q31" s="205"/>
      <c r="R31" s="86">
        <v>6501.09</v>
      </c>
      <c r="S31" s="87">
        <f t="shared" si="0"/>
        <v>6631.11</v>
      </c>
      <c r="T31" s="471"/>
      <c r="U31" s="86">
        <f t="shared" si="38"/>
        <v>1979196.4922886989</v>
      </c>
      <c r="V31" s="89">
        <v>479.30020000000002</v>
      </c>
      <c r="W31" s="90">
        <v>0.6227232346241458</v>
      </c>
      <c r="X31" s="91">
        <f t="shared" si="1"/>
        <v>2477960.4098400259</v>
      </c>
      <c r="Y31" s="196"/>
      <c r="Z31" s="86">
        <f t="shared" si="39"/>
        <v>6631.11</v>
      </c>
      <c r="AA31" s="86">
        <f t="shared" si="40"/>
        <v>5967.9989999999998</v>
      </c>
      <c r="AB31" s="86">
        <f t="shared" si="41"/>
        <v>7294.2210000000005</v>
      </c>
      <c r="AC31" s="469"/>
      <c r="AD31" s="100"/>
      <c r="AE31" s="86">
        <f t="shared" si="42"/>
        <v>6648.7165945843517</v>
      </c>
      <c r="AF31" s="86">
        <f t="shared" si="2"/>
        <v>1984451.5567111711</v>
      </c>
      <c r="AG31" s="92">
        <f t="shared" si="43"/>
        <v>0</v>
      </c>
      <c r="AH31" s="92">
        <f t="shared" si="44"/>
        <v>0</v>
      </c>
      <c r="AI31" s="86">
        <f t="shared" si="45"/>
        <v>6648.7165945843517</v>
      </c>
      <c r="AJ31" s="201"/>
      <c r="AK31" s="86">
        <f t="shared" si="3"/>
        <v>1984451.5567111711</v>
      </c>
      <c r="AL31" s="93">
        <f t="shared" si="4"/>
        <v>2477960.4098400259</v>
      </c>
      <c r="AM31" s="93">
        <f t="shared" si="5"/>
        <v>1979196.4922886989</v>
      </c>
      <c r="AN31" s="94">
        <f t="shared" si="46"/>
        <v>0</v>
      </c>
      <c r="AO31" s="95"/>
      <c r="AP31" s="86">
        <f t="shared" si="47"/>
        <v>6626.2504490655929</v>
      </c>
      <c r="AQ31" s="86">
        <f t="shared" si="6"/>
        <v>1977746.0554593483</v>
      </c>
      <c r="AR31" s="92">
        <f t="shared" si="48"/>
        <v>0</v>
      </c>
      <c r="AS31" s="92">
        <f t="shared" si="49"/>
        <v>0</v>
      </c>
      <c r="AT31" s="86">
        <f t="shared" si="50"/>
        <v>6626.2504490655929</v>
      </c>
      <c r="AU31" s="86">
        <f t="shared" si="7"/>
        <v>1977746.0554593483</v>
      </c>
      <c r="AV31" s="93">
        <f t="shared" si="8"/>
        <v>2477960.4098400259</v>
      </c>
      <c r="AW31" s="93">
        <f t="shared" si="9"/>
        <v>1979196.4922886989</v>
      </c>
      <c r="AX31" s="94">
        <f t="shared" si="10"/>
        <v>0</v>
      </c>
      <c r="AY31" s="92">
        <f t="shared" si="11"/>
        <v>0</v>
      </c>
      <c r="AZ31" s="95"/>
      <c r="BA31" s="86">
        <f t="shared" si="51"/>
        <v>6634.3361847561273</v>
      </c>
      <c r="BB31" s="86">
        <f t="shared" si="12"/>
        <v>1980159.4160756371</v>
      </c>
      <c r="BC31" s="92">
        <f t="shared" si="52"/>
        <v>0</v>
      </c>
      <c r="BD31" s="92">
        <f t="shared" si="53"/>
        <v>0</v>
      </c>
      <c r="BE31" s="86">
        <f t="shared" si="54"/>
        <v>6634.3361847561273</v>
      </c>
      <c r="BF31" s="86">
        <f t="shared" si="13"/>
        <v>1980159.4160756371</v>
      </c>
      <c r="BG31" s="96">
        <f t="shared" si="14"/>
        <v>2477960.4098400259</v>
      </c>
      <c r="BH31" s="96">
        <f t="shared" si="15"/>
        <v>1979196.4922886989</v>
      </c>
      <c r="BI31" s="94">
        <f t="shared" si="16"/>
        <v>0</v>
      </c>
      <c r="BJ31" s="92">
        <f t="shared" si="17"/>
        <v>0</v>
      </c>
      <c r="BK31" s="95"/>
      <c r="BL31" s="86">
        <f t="shared" si="55"/>
        <v>6634.336268475894</v>
      </c>
      <c r="BM31" s="86">
        <f t="shared" si="18"/>
        <v>1980159.4410635908</v>
      </c>
      <c r="BN31" s="92">
        <f t="shared" si="56"/>
        <v>0</v>
      </c>
      <c r="BO31" s="92">
        <f t="shared" si="57"/>
        <v>0</v>
      </c>
      <c r="BP31" s="86">
        <f t="shared" si="58"/>
        <v>6634.336268475894</v>
      </c>
      <c r="BQ31" s="86">
        <f t="shared" si="19"/>
        <v>1980159.4410635908</v>
      </c>
      <c r="BR31" s="93">
        <f t="shared" si="20"/>
        <v>2477960.4098400259</v>
      </c>
      <c r="BS31" s="93">
        <f t="shared" si="21"/>
        <v>1979196.4922886989</v>
      </c>
      <c r="BT31" s="94">
        <f t="shared" si="22"/>
        <v>0</v>
      </c>
      <c r="BU31" s="92">
        <f t="shared" si="23"/>
        <v>0</v>
      </c>
      <c r="BV31" s="95"/>
      <c r="BW31" s="86">
        <f t="shared" si="59"/>
        <v>6634.336268475894</v>
      </c>
      <c r="BX31" s="86">
        <f t="shared" si="24"/>
        <v>1980159.4410635908</v>
      </c>
      <c r="BY31" s="92">
        <f t="shared" si="60"/>
        <v>0</v>
      </c>
      <c r="BZ31" s="92">
        <f t="shared" si="61"/>
        <v>0</v>
      </c>
      <c r="CA31" s="86">
        <f t="shared" si="62"/>
        <v>6634.336268475894</v>
      </c>
      <c r="CB31" s="86">
        <f t="shared" si="25"/>
        <v>1980159.4410635908</v>
      </c>
      <c r="CC31" s="96">
        <f t="shared" si="26"/>
        <v>2477960.4098400259</v>
      </c>
      <c r="CD31" s="96">
        <f t="shared" si="27"/>
        <v>1979196.4922886989</v>
      </c>
      <c r="CE31" s="94">
        <f t="shared" si="28"/>
        <v>0</v>
      </c>
      <c r="CF31" s="92">
        <f t="shared" si="29"/>
        <v>0</v>
      </c>
      <c r="CG31" s="67"/>
      <c r="CH31" s="86">
        <f t="shared" si="30"/>
        <v>6634.336268475894</v>
      </c>
      <c r="CI31" s="86">
        <f t="shared" si="31"/>
        <v>1980159.4410635908</v>
      </c>
      <c r="CJ31" s="92">
        <f t="shared" si="63"/>
        <v>0</v>
      </c>
      <c r="CK31" s="92">
        <f t="shared" si="64"/>
        <v>0</v>
      </c>
      <c r="CL31" s="86">
        <f t="shared" si="65"/>
        <v>6634.336268475894</v>
      </c>
      <c r="CM31" s="86">
        <f t="shared" si="32"/>
        <v>1980159.4410635908</v>
      </c>
      <c r="CN31" s="97">
        <f t="shared" si="33"/>
        <v>1.0004865352069101</v>
      </c>
      <c r="CO31" s="554">
        <f t="shared" si="34"/>
        <v>60044</v>
      </c>
      <c r="CP31" s="153"/>
      <c r="CQ31" s="153">
        <f t="shared" si="35"/>
        <v>6833.37</v>
      </c>
      <c r="CR31" s="353"/>
      <c r="CS31" s="391" t="str">
        <f>VLOOKUP(A31,Characteristics!A24:M107,13,FALSE)</f>
        <v>SCH</v>
      </c>
      <c r="CT31" s="206">
        <f>VLOOKUP(A31,Characteristics!A24:C107,3,FALSE)</f>
        <v>1</v>
      </c>
      <c r="CU31" s="557" t="str">
        <f t="shared" si="66"/>
        <v/>
      </c>
      <c r="CV31" s="557">
        <f t="shared" si="67"/>
        <v>6833.37</v>
      </c>
    </row>
    <row r="32" spans="1:100" s="125" customFormat="1" x14ac:dyDescent="0.3">
      <c r="A32" s="199">
        <v>60049</v>
      </c>
      <c r="B32" s="139"/>
      <c r="C32" s="558">
        <f>VLOOKUP($A32,'Fed Bs Rt+IME+GME+VBP+RAA+HAC'!$B$5:$AG$88,19,FALSE)</f>
        <v>6918.4759729999996</v>
      </c>
      <c r="D32" s="458">
        <f>VLOOKUP($A32,'Fed Bs Rt+IME+GME+VBP+RAA+HAC'!$B$5:$AG$88,25,FALSE)</f>
        <v>0</v>
      </c>
      <c r="E32" s="458">
        <f>VLOOKUP($A32,'Fed Bs Rt+IME+GME+VBP+RAA+HAC'!$B$5:$AG$88,29,FALSE)</f>
        <v>0</v>
      </c>
      <c r="F32" s="458">
        <f>VLOOKUP($A32,'Fed Bs Rt+IME+GME+VBP+RAA+HAC'!$B$5:$AG$88,27,FALSE)</f>
        <v>0</v>
      </c>
      <c r="G32" s="458">
        <f>VLOOKUP($A32,'Fed Bs Rt+IME+GME+VBP+RAA+HAC'!$B$5:$AG$88,32,FALSE)</f>
        <v>0</v>
      </c>
      <c r="H32" s="205">
        <f t="shared" si="36"/>
        <v>0</v>
      </c>
      <c r="I32" s="458">
        <f>VLOOKUP(A32,'Fed Bs Rt+IME+GME+VBP+RAA+HAC'!$B$5:$U$88,20,FALSE)</f>
        <v>0</v>
      </c>
      <c r="J32" s="459">
        <f>IF(Characteristics!M25="CAH",+C32*J$4,0)</f>
        <v>0</v>
      </c>
      <c r="K32" s="459">
        <f>IF(OR(Characteristics!M25="SCH",Characteristics!M25="MDH"),+C32*K$4,0)</f>
        <v>1383.6951945999999</v>
      </c>
      <c r="L32" s="460">
        <f>IF(OR(J32&gt;0,K32&gt;0,M32&gt;0),0,IF(VLOOKUP(A32,Characteristics!A:H,8,FALSE)&lt;=L$6,L$4*C32,IF(VLOOKUP(A32,Characteristics!A:H,8,FALSE)&gt;=L$5,0,(VLOOKUP(A32,Characteristics!A:H,8,FALSE)-L$5)/(L$6-L$5)*L$4*C32)))</f>
        <v>0</v>
      </c>
      <c r="M32" s="541">
        <f>IF(VLOOKUP($A32,Characteristics!$A:$E,3,FALSE)=2,M$4*C32,0)</f>
        <v>0</v>
      </c>
      <c r="N32" s="461">
        <f>IF(VLOOKUP($A32,Characteristics!$A:$K,6,FALSE)&gt;=N$5,N$4*C32,IF(VLOOKUP($A32,Characteristics!$A:$K,6,FALSE)&lt;=N$6,0,(VLOOKUP($A32,Characteristics!$A:$K,6,FALSE)-N$6)/(N$5-N$6)*N$4*C32))</f>
        <v>0</v>
      </c>
      <c r="O32" s="461">
        <f>IF(VLOOKUP($A32,Characteristics!$A:$K,11,FALSE)&lt;=O$6,O$4*C32,IF(VLOOKUP($A32,Characteristics!$A:$K,11,FALSE)&gt;=O$5,0,(VLOOKUP($A32,Characteristics!$A:$K,11,FALSE)-O$5)/(O$6-O$5)*O$4*C32))</f>
        <v>0</v>
      </c>
      <c r="P32" s="205">
        <f t="shared" si="37"/>
        <v>8302.1711675999995</v>
      </c>
      <c r="Q32" s="205"/>
      <c r="R32" s="86">
        <v>9356.7900000000009</v>
      </c>
      <c r="S32" s="87">
        <f t="shared" si="0"/>
        <v>9543.93</v>
      </c>
      <c r="T32" s="471"/>
      <c r="U32" s="86">
        <f t="shared" si="38"/>
        <v>2977113.009140708</v>
      </c>
      <c r="V32" s="89">
        <v>452.00520000000006</v>
      </c>
      <c r="W32" s="90">
        <v>0.69012004830917872</v>
      </c>
      <c r="X32" s="91">
        <f t="shared" si="1"/>
        <v>2589761.4281721325</v>
      </c>
      <c r="Y32" s="196"/>
      <c r="Z32" s="86">
        <f t="shared" si="39"/>
        <v>9543.93</v>
      </c>
      <c r="AA32" s="86">
        <f t="shared" si="40"/>
        <v>8589.5370000000003</v>
      </c>
      <c r="AB32" s="86">
        <f t="shared" si="41"/>
        <v>10498.323</v>
      </c>
      <c r="AC32" s="469"/>
      <c r="AD32" s="98"/>
      <c r="AE32" s="86">
        <f t="shared" si="42"/>
        <v>6648.7165945843517</v>
      </c>
      <c r="AF32" s="86">
        <f t="shared" si="2"/>
        <v>2073986.3628323742</v>
      </c>
      <c r="AG32" s="92">
        <f t="shared" si="43"/>
        <v>1</v>
      </c>
      <c r="AH32" s="92">
        <f t="shared" si="44"/>
        <v>0</v>
      </c>
      <c r="AI32" s="86">
        <f t="shared" si="45"/>
        <v>8589.5370000000003</v>
      </c>
      <c r="AJ32" s="201"/>
      <c r="AK32" s="86">
        <f t="shared" si="3"/>
        <v>2679401.7082266374</v>
      </c>
      <c r="AL32" s="93">
        <f t="shared" si="4"/>
        <v>0</v>
      </c>
      <c r="AM32" s="93">
        <f t="shared" si="5"/>
        <v>297711.30091407057</v>
      </c>
      <c r="AN32" s="94">
        <f t="shared" si="46"/>
        <v>1</v>
      </c>
      <c r="AO32" s="95"/>
      <c r="AP32" s="86">
        <f t="shared" si="47"/>
        <v>8589.5370000000003</v>
      </c>
      <c r="AQ32" s="86">
        <f t="shared" si="6"/>
        <v>2679401.7082266374</v>
      </c>
      <c r="AR32" s="92">
        <f t="shared" si="48"/>
        <v>1</v>
      </c>
      <c r="AS32" s="92">
        <f t="shared" si="49"/>
        <v>0</v>
      </c>
      <c r="AT32" s="86">
        <f t="shared" si="50"/>
        <v>8589.5370000000003</v>
      </c>
      <c r="AU32" s="86">
        <f t="shared" si="7"/>
        <v>2679401.7082266374</v>
      </c>
      <c r="AV32" s="93">
        <f t="shared" si="8"/>
        <v>0</v>
      </c>
      <c r="AW32" s="93">
        <f t="shared" si="9"/>
        <v>297711.30091407057</v>
      </c>
      <c r="AX32" s="94">
        <f t="shared" si="10"/>
        <v>1</v>
      </c>
      <c r="AY32" s="92">
        <f t="shared" si="11"/>
        <v>0</v>
      </c>
      <c r="AZ32" s="95"/>
      <c r="BA32" s="86">
        <f t="shared" si="51"/>
        <v>8589.5370000000003</v>
      </c>
      <c r="BB32" s="86">
        <f t="shared" si="12"/>
        <v>2679401.7082266374</v>
      </c>
      <c r="BC32" s="92">
        <f t="shared" si="52"/>
        <v>1</v>
      </c>
      <c r="BD32" s="92">
        <f t="shared" si="53"/>
        <v>0</v>
      </c>
      <c r="BE32" s="86">
        <f t="shared" si="54"/>
        <v>8589.5370000000003</v>
      </c>
      <c r="BF32" s="86">
        <f t="shared" si="13"/>
        <v>2679401.7082266374</v>
      </c>
      <c r="BG32" s="96">
        <f t="shared" si="14"/>
        <v>0</v>
      </c>
      <c r="BH32" s="96">
        <f t="shared" si="15"/>
        <v>297711.30091407057</v>
      </c>
      <c r="BI32" s="94">
        <f t="shared" si="16"/>
        <v>1</v>
      </c>
      <c r="BJ32" s="92">
        <f t="shared" si="17"/>
        <v>0</v>
      </c>
      <c r="BK32" s="95"/>
      <c r="BL32" s="86">
        <f t="shared" si="55"/>
        <v>8589.5370000000003</v>
      </c>
      <c r="BM32" s="86">
        <f t="shared" si="18"/>
        <v>2679401.7082266374</v>
      </c>
      <c r="BN32" s="92">
        <f t="shared" si="56"/>
        <v>1</v>
      </c>
      <c r="BO32" s="92">
        <f t="shared" si="57"/>
        <v>0</v>
      </c>
      <c r="BP32" s="86">
        <f t="shared" si="58"/>
        <v>8589.5370000000003</v>
      </c>
      <c r="BQ32" s="86">
        <f t="shared" si="19"/>
        <v>2679401.7082266374</v>
      </c>
      <c r="BR32" s="93">
        <f t="shared" si="20"/>
        <v>0</v>
      </c>
      <c r="BS32" s="93">
        <f t="shared" si="21"/>
        <v>297711.30091407057</v>
      </c>
      <c r="BT32" s="94">
        <f t="shared" si="22"/>
        <v>1</v>
      </c>
      <c r="BU32" s="92">
        <f t="shared" si="23"/>
        <v>0</v>
      </c>
      <c r="BV32" s="95"/>
      <c r="BW32" s="86">
        <f t="shared" si="59"/>
        <v>8589.5370000000003</v>
      </c>
      <c r="BX32" s="86">
        <f t="shared" si="24"/>
        <v>2679401.7082266374</v>
      </c>
      <c r="BY32" s="92">
        <f t="shared" si="60"/>
        <v>1</v>
      </c>
      <c r="BZ32" s="92">
        <f t="shared" si="61"/>
        <v>0</v>
      </c>
      <c r="CA32" s="86">
        <f t="shared" si="62"/>
        <v>8589.5370000000003</v>
      </c>
      <c r="CB32" s="86">
        <f t="shared" si="25"/>
        <v>2679401.7082266374</v>
      </c>
      <c r="CC32" s="96">
        <f t="shared" si="26"/>
        <v>0</v>
      </c>
      <c r="CD32" s="96">
        <f t="shared" si="27"/>
        <v>297711.30091407057</v>
      </c>
      <c r="CE32" s="94">
        <f t="shared" si="28"/>
        <v>1</v>
      </c>
      <c r="CF32" s="92">
        <f t="shared" si="29"/>
        <v>0</v>
      </c>
      <c r="CG32" s="67"/>
      <c r="CH32" s="86">
        <f t="shared" si="30"/>
        <v>6634.336268475894</v>
      </c>
      <c r="CI32" s="86">
        <f t="shared" si="31"/>
        <v>2069500.5948171879</v>
      </c>
      <c r="CJ32" s="92">
        <f t="shared" si="63"/>
        <v>1</v>
      </c>
      <c r="CK32" s="92">
        <f t="shared" si="64"/>
        <v>0</v>
      </c>
      <c r="CL32" s="86">
        <f t="shared" si="65"/>
        <v>8589.5370000000003</v>
      </c>
      <c r="CM32" s="86">
        <f t="shared" si="32"/>
        <v>2679401.7082266374</v>
      </c>
      <c r="CN32" s="97">
        <f t="shared" si="33"/>
        <v>0.9</v>
      </c>
      <c r="CO32" s="554">
        <f t="shared" si="34"/>
        <v>60049</v>
      </c>
      <c r="CP32" s="153"/>
      <c r="CQ32" s="153">
        <f t="shared" si="35"/>
        <v>8847.2199999999993</v>
      </c>
      <c r="CR32" s="353"/>
      <c r="CS32" s="391" t="str">
        <f>VLOOKUP(A32,Characteristics!A25:M108,13,FALSE)</f>
        <v>SCH</v>
      </c>
      <c r="CT32" s="206">
        <f>VLOOKUP(A32,Characteristics!A25:C108,3,FALSE)</f>
        <v>1</v>
      </c>
      <c r="CU32" s="557" t="str">
        <f t="shared" si="66"/>
        <v/>
      </c>
      <c r="CV32" s="557">
        <f t="shared" si="67"/>
        <v>8847.2199999999993</v>
      </c>
    </row>
    <row r="33" spans="1:100" s="125" customFormat="1" x14ac:dyDescent="0.3">
      <c r="A33" s="199">
        <v>60054</v>
      </c>
      <c r="B33" s="139"/>
      <c r="C33" s="558">
        <f>VLOOKUP($A33,'Fed Bs Rt+IME+GME+VBP+RAA+HAC'!$B$5:$AG$88,19,FALSE)</f>
        <v>6918.4759729999996</v>
      </c>
      <c r="D33" s="458">
        <f>VLOOKUP($A33,'Fed Bs Rt+IME+GME+VBP+RAA+HAC'!$B$5:$AG$88,25,FALSE)</f>
        <v>0</v>
      </c>
      <c r="E33" s="458">
        <f>VLOOKUP($A33,'Fed Bs Rt+IME+GME+VBP+RAA+HAC'!$B$5:$AG$88,29,FALSE)</f>
        <v>0</v>
      </c>
      <c r="F33" s="458">
        <f>VLOOKUP($A33,'Fed Bs Rt+IME+GME+VBP+RAA+HAC'!$B$5:$AG$88,27,FALSE)</f>
        <v>0</v>
      </c>
      <c r="G33" s="458">
        <f>VLOOKUP($A33,'Fed Bs Rt+IME+GME+VBP+RAA+HAC'!$B$5:$AG$88,32,FALSE)</f>
        <v>0</v>
      </c>
      <c r="H33" s="205">
        <f t="shared" si="36"/>
        <v>0</v>
      </c>
      <c r="I33" s="458">
        <f>VLOOKUP(A33,'Fed Bs Rt+IME+GME+VBP+RAA+HAC'!$B$5:$U$88,20,FALSE)</f>
        <v>0</v>
      </c>
      <c r="J33" s="459">
        <f>IF(Characteristics!M26="CAH",+C33*J$4,0)</f>
        <v>0</v>
      </c>
      <c r="K33" s="459">
        <f>IF(OR(Characteristics!M26="SCH",Characteristics!M26="MDH"),+C33*K$4,0)</f>
        <v>0</v>
      </c>
      <c r="L33" s="460">
        <f>IF(OR(J33&gt;0,K33&gt;0,M33&gt;0),0,IF(VLOOKUP(A33,Characteristics!A:H,8,FALSE)&lt;=L$6,L$4*C33,IF(VLOOKUP(A33,Characteristics!A:H,8,FALSE)&gt;=L$5,0,(VLOOKUP(A33,Characteristics!A:H,8,FALSE)-L$5)/(L$6-L$5)*L$4*C33)))</f>
        <v>0</v>
      </c>
      <c r="M33" s="541">
        <f>IF(VLOOKUP($A33,Characteristics!$A:$E,3,FALSE)=2,M$4*C33,0)</f>
        <v>0</v>
      </c>
      <c r="N33" s="399">
        <f>IF(VLOOKUP($A33,Characteristics!$A:$K,6,FALSE)&gt;=N$5,N$4*C33,IF(VLOOKUP($A33,Characteristics!$A:$K,6,FALSE)&lt;=N$6,0,(VLOOKUP($A33,Characteristics!$A:$K,6,FALSE)-N$6)/(N$5-N$6)*N$4*C33))</f>
        <v>0</v>
      </c>
      <c r="O33" s="461">
        <f>IF(VLOOKUP($A33,Characteristics!$A:$K,11,FALSE)&lt;=O$6,O$4*C33,IF(VLOOKUP($A33,Characteristics!$A:$K,11,FALSE)&gt;=O$5,0,(VLOOKUP($A33,Characteristics!$A:$K,11,FALSE)-O$5)/(O$6-O$5)*O$4*C33))</f>
        <v>0</v>
      </c>
      <c r="P33" s="205">
        <f>SUM(C33,H33:O33)</f>
        <v>6918.4759729999996</v>
      </c>
      <c r="Q33" s="205"/>
      <c r="R33" s="86">
        <v>5463.38</v>
      </c>
      <c r="S33" s="87">
        <f t="shared" si="0"/>
        <v>5572.65</v>
      </c>
      <c r="T33" s="471"/>
      <c r="U33" s="86">
        <f t="shared" si="38"/>
        <v>1900185.6402469261</v>
      </c>
      <c r="V33" s="89">
        <v>491.31000000000006</v>
      </c>
      <c r="W33" s="90">
        <v>0.69403066666666668</v>
      </c>
      <c r="X33" s="91">
        <f t="shared" si="1"/>
        <v>2359091.0421950025</v>
      </c>
      <c r="Y33" s="196"/>
      <c r="Z33" s="86">
        <f t="shared" si="39"/>
        <v>5572.65</v>
      </c>
      <c r="AA33" s="86">
        <f t="shared" si="40"/>
        <v>5015.3850000000002</v>
      </c>
      <c r="AB33" s="86">
        <f t="shared" si="41"/>
        <v>6129.915</v>
      </c>
      <c r="AC33" s="469"/>
      <c r="AD33" s="100"/>
      <c r="AE33" s="86">
        <f t="shared" si="42"/>
        <v>5540.5971621536264</v>
      </c>
      <c r="AF33" s="86">
        <f t="shared" si="2"/>
        <v>1889256.1287569094</v>
      </c>
      <c r="AG33" s="92">
        <f t="shared" si="43"/>
        <v>0</v>
      </c>
      <c r="AH33" s="92">
        <f t="shared" si="44"/>
        <v>0</v>
      </c>
      <c r="AI33" s="86">
        <f t="shared" si="45"/>
        <v>5540.5971621536264</v>
      </c>
      <c r="AJ33" s="201"/>
      <c r="AK33" s="86">
        <f t="shared" si="3"/>
        <v>1889256.1287569094</v>
      </c>
      <c r="AL33" s="93">
        <f t="shared" si="4"/>
        <v>2359091.0421950025</v>
      </c>
      <c r="AM33" s="93">
        <f t="shared" si="5"/>
        <v>1900185.6402469261</v>
      </c>
      <c r="AN33" s="94">
        <f t="shared" si="46"/>
        <v>0</v>
      </c>
      <c r="AO33" s="95"/>
      <c r="AP33" s="86">
        <f t="shared" si="47"/>
        <v>5521.8753742213275</v>
      </c>
      <c r="AQ33" s="86">
        <f t="shared" si="6"/>
        <v>1882872.2947481878</v>
      </c>
      <c r="AR33" s="92">
        <f t="shared" si="48"/>
        <v>0</v>
      </c>
      <c r="AS33" s="92">
        <f t="shared" si="49"/>
        <v>0</v>
      </c>
      <c r="AT33" s="86">
        <f t="shared" si="50"/>
        <v>5521.8753742213275</v>
      </c>
      <c r="AU33" s="86">
        <f t="shared" si="7"/>
        <v>1882872.2947481878</v>
      </c>
      <c r="AV33" s="93">
        <f t="shared" si="8"/>
        <v>2359091.0421950025</v>
      </c>
      <c r="AW33" s="93">
        <f t="shared" si="9"/>
        <v>1900185.6402469261</v>
      </c>
      <c r="AX33" s="94">
        <f t="shared" si="10"/>
        <v>0</v>
      </c>
      <c r="AY33" s="92">
        <f t="shared" si="11"/>
        <v>0</v>
      </c>
      <c r="AZ33" s="95"/>
      <c r="BA33" s="86">
        <f t="shared" si="51"/>
        <v>5528.6134872967732</v>
      </c>
      <c r="BB33" s="86">
        <f t="shared" si="12"/>
        <v>1885169.8848908171</v>
      </c>
      <c r="BC33" s="92">
        <f t="shared" si="52"/>
        <v>0</v>
      </c>
      <c r="BD33" s="92">
        <f t="shared" si="53"/>
        <v>0</v>
      </c>
      <c r="BE33" s="86">
        <f t="shared" si="54"/>
        <v>5528.6134872967732</v>
      </c>
      <c r="BF33" s="86">
        <f t="shared" si="13"/>
        <v>1885169.8848908171</v>
      </c>
      <c r="BG33" s="96">
        <f t="shared" si="14"/>
        <v>2359091.0421950025</v>
      </c>
      <c r="BH33" s="96">
        <f t="shared" si="15"/>
        <v>1900185.6402469261</v>
      </c>
      <c r="BI33" s="94">
        <f t="shared" si="16"/>
        <v>0</v>
      </c>
      <c r="BJ33" s="92">
        <f t="shared" si="17"/>
        <v>0</v>
      </c>
      <c r="BK33" s="95"/>
      <c r="BL33" s="86">
        <f t="shared" si="55"/>
        <v>5528.613557063245</v>
      </c>
      <c r="BM33" s="86">
        <f t="shared" si="18"/>
        <v>1885169.9086800821</v>
      </c>
      <c r="BN33" s="92">
        <f t="shared" si="56"/>
        <v>0</v>
      </c>
      <c r="BO33" s="92">
        <f t="shared" si="57"/>
        <v>0</v>
      </c>
      <c r="BP33" s="86">
        <f t="shared" si="58"/>
        <v>5528.613557063245</v>
      </c>
      <c r="BQ33" s="86">
        <f t="shared" si="19"/>
        <v>1885169.9086800821</v>
      </c>
      <c r="BR33" s="93">
        <f t="shared" si="20"/>
        <v>2359091.0421950025</v>
      </c>
      <c r="BS33" s="93">
        <f t="shared" si="21"/>
        <v>1900185.6402469261</v>
      </c>
      <c r="BT33" s="94">
        <f t="shared" si="22"/>
        <v>0</v>
      </c>
      <c r="BU33" s="92">
        <f t="shared" si="23"/>
        <v>0</v>
      </c>
      <c r="BV33" s="95"/>
      <c r="BW33" s="86">
        <f t="shared" si="59"/>
        <v>5528.613557063245</v>
      </c>
      <c r="BX33" s="86">
        <f t="shared" si="24"/>
        <v>1885169.9086800821</v>
      </c>
      <c r="BY33" s="92">
        <f t="shared" si="60"/>
        <v>0</v>
      </c>
      <c r="BZ33" s="92">
        <f t="shared" si="61"/>
        <v>0</v>
      </c>
      <c r="CA33" s="86">
        <f t="shared" si="62"/>
        <v>5528.613557063245</v>
      </c>
      <c r="CB33" s="86">
        <f t="shared" si="25"/>
        <v>1885169.9086800821</v>
      </c>
      <c r="CC33" s="96">
        <f t="shared" si="26"/>
        <v>2359091.0421950025</v>
      </c>
      <c r="CD33" s="96">
        <f t="shared" si="27"/>
        <v>1900185.6402469261</v>
      </c>
      <c r="CE33" s="94">
        <f t="shared" si="28"/>
        <v>0</v>
      </c>
      <c r="CF33" s="92">
        <f t="shared" si="29"/>
        <v>0</v>
      </c>
      <c r="CG33" s="67"/>
      <c r="CH33" s="86">
        <f t="shared" si="30"/>
        <v>5528.613557063245</v>
      </c>
      <c r="CI33" s="86">
        <f t="shared" si="31"/>
        <v>1885169.9086800821</v>
      </c>
      <c r="CJ33" s="92">
        <f t="shared" si="63"/>
        <v>0</v>
      </c>
      <c r="CK33" s="92">
        <f t="shared" si="64"/>
        <v>0</v>
      </c>
      <c r="CL33" s="86">
        <f t="shared" si="65"/>
        <v>5528.613557063245</v>
      </c>
      <c r="CM33" s="86">
        <f t="shared" si="32"/>
        <v>1885169.9086800821</v>
      </c>
      <c r="CN33" s="97">
        <f t="shared" si="33"/>
        <v>0.99209775547777901</v>
      </c>
      <c r="CO33" s="554">
        <f t="shared" si="34"/>
        <v>60054</v>
      </c>
      <c r="CP33" s="153"/>
      <c r="CQ33" s="153">
        <f t="shared" si="35"/>
        <v>5694.47</v>
      </c>
      <c r="CR33" s="353"/>
      <c r="CS33" s="391" t="str">
        <f>VLOOKUP(A33,Characteristics!A26:M109,13,FALSE)</f>
        <v/>
      </c>
      <c r="CT33" s="206">
        <f>VLOOKUP(A33,Characteristics!A26:C109,3,FALSE)</f>
        <v>0</v>
      </c>
      <c r="CU33" s="557">
        <f t="shared" si="66"/>
        <v>5694.47</v>
      </c>
      <c r="CV33" s="557" t="str">
        <f t="shared" si="67"/>
        <v/>
      </c>
    </row>
    <row r="34" spans="1:100" s="125" customFormat="1" x14ac:dyDescent="0.3">
      <c r="A34" s="199">
        <v>60064</v>
      </c>
      <c r="B34" s="139"/>
      <c r="C34" s="558">
        <f>VLOOKUP($A34,'Fed Bs Rt+IME+GME+VBP+RAA+HAC'!$B$5:$AG$88,19,FALSE)</f>
        <v>6918.4759729999996</v>
      </c>
      <c r="D34" s="458">
        <f>VLOOKUP($A34,'Fed Bs Rt+IME+GME+VBP+RAA+HAC'!$B$5:$AG$88,25,FALSE)</f>
        <v>0</v>
      </c>
      <c r="E34" s="458">
        <f>VLOOKUP($A34,'Fed Bs Rt+IME+GME+VBP+RAA+HAC'!$B$5:$AG$88,29,FALSE)</f>
        <v>-6.430477000000006</v>
      </c>
      <c r="F34" s="458">
        <f>VLOOKUP($A34,'Fed Bs Rt+IME+GME+VBP+RAA+HAC'!$B$5:$AG$88,27,FALSE)</f>
        <v>0</v>
      </c>
      <c r="G34" s="458">
        <f>VLOOKUP($A34,'Fed Bs Rt+IME+GME+VBP+RAA+HAC'!$B$5:$AG$88,32,FALSE)</f>
        <v>0</v>
      </c>
      <c r="H34" s="205">
        <f t="shared" si="36"/>
        <v>-6.430477000000006</v>
      </c>
      <c r="I34" s="458">
        <f>VLOOKUP(A34,'Fed Bs Rt+IME+GME+VBP+RAA+HAC'!$B$5:$U$88,20,FALSE)</f>
        <v>0</v>
      </c>
      <c r="J34" s="459">
        <f>IF(Characteristics!M27="CAH",+C34*J$4,0)</f>
        <v>0</v>
      </c>
      <c r="K34" s="459">
        <f>IF(OR(Characteristics!M27="SCH",Characteristics!M27="MDH"),+C34*K$4,0)</f>
        <v>0</v>
      </c>
      <c r="L34" s="460">
        <f>IF(OR(J34&gt;0,K34&gt;0,M34&gt;0),0,IF(VLOOKUP(A34,Characteristics!A:H,8,FALSE)&lt;=L$6,L$4*C34,IF(VLOOKUP(A34,Characteristics!A:H,8,FALSE)&gt;=L$5,0,(VLOOKUP(A34,Characteristics!A:H,8,FALSE)-L$5)/(L$6-L$5)*L$4*C34)))</f>
        <v>0</v>
      </c>
      <c r="M34" s="541">
        <f>IF(VLOOKUP($A34,Characteristics!$A:$E,3,FALSE)=2,M$4*C34,0)</f>
        <v>0</v>
      </c>
      <c r="N34" s="461">
        <f>IF(VLOOKUP($A34,Characteristics!$A:$K,6,FALSE)&gt;=N$5,N$4*C34,IF(VLOOKUP($A34,Characteristics!$A:$K,6,FALSE)&lt;=N$6,0,(VLOOKUP($A34,Characteristics!$A:$K,6,FALSE)-N$6)/(N$5-N$6)*N$4*C34))</f>
        <v>0</v>
      </c>
      <c r="O34" s="461">
        <f>IF(VLOOKUP($A34,Characteristics!$A:$K,11,FALSE)&lt;=O$6,O$4*C34,IF(VLOOKUP($A34,Characteristics!$A:$K,11,FALSE)&gt;=O$5,0,(VLOOKUP($A34,Characteristics!$A:$K,11,FALSE)-O$5)/(O$6-O$5)*O$4*C34))</f>
        <v>0</v>
      </c>
      <c r="P34" s="205">
        <f t="shared" si="37"/>
        <v>6912.0454959999997</v>
      </c>
      <c r="Q34" s="205"/>
      <c r="R34" s="86">
        <v>5347.41</v>
      </c>
      <c r="S34" s="87">
        <f t="shared" si="0"/>
        <v>5454.36</v>
      </c>
      <c r="T34" s="471"/>
      <c r="U34" s="86">
        <f t="shared" si="38"/>
        <v>19880953.191371966</v>
      </c>
      <c r="V34" s="89">
        <v>1723.9522000000002</v>
      </c>
      <c r="W34" s="90">
        <v>2.1143076630778972</v>
      </c>
      <c r="X34" s="91">
        <f t="shared" si="1"/>
        <v>25194166.311466318</v>
      </c>
      <c r="Y34" s="196"/>
      <c r="Z34" s="86">
        <f t="shared" si="39"/>
        <v>5454.36</v>
      </c>
      <c r="AA34" s="86">
        <f t="shared" si="40"/>
        <v>4908.924</v>
      </c>
      <c r="AB34" s="86">
        <f t="shared" si="41"/>
        <v>5999.7960000000003</v>
      </c>
      <c r="AC34" s="469"/>
      <c r="AD34" s="98"/>
      <c r="AE34" s="86">
        <f t="shared" si="42"/>
        <v>5535.4473744320912</v>
      </c>
      <c r="AF34" s="86">
        <f t="shared" si="2"/>
        <v>20176513.861275613</v>
      </c>
      <c r="AG34" s="92">
        <f t="shared" si="43"/>
        <v>0</v>
      </c>
      <c r="AH34" s="92">
        <f t="shared" si="44"/>
        <v>0</v>
      </c>
      <c r="AI34" s="86">
        <f t="shared" si="45"/>
        <v>5535.4473744320912</v>
      </c>
      <c r="AJ34" s="201"/>
      <c r="AK34" s="86">
        <f t="shared" si="3"/>
        <v>20176513.861275613</v>
      </c>
      <c r="AL34" s="93">
        <f t="shared" si="4"/>
        <v>25194166.311466318</v>
      </c>
      <c r="AM34" s="93">
        <f t="shared" si="5"/>
        <v>19880953.191371966</v>
      </c>
      <c r="AN34" s="94">
        <f t="shared" si="46"/>
        <v>0</v>
      </c>
      <c r="AO34" s="95"/>
      <c r="AP34" s="86">
        <f t="shared" si="47"/>
        <v>5516.7429877348568</v>
      </c>
      <c r="AQ34" s="86">
        <f t="shared" si="6"/>
        <v>20108337.019922819</v>
      </c>
      <c r="AR34" s="92">
        <f t="shared" si="48"/>
        <v>0</v>
      </c>
      <c r="AS34" s="92">
        <f t="shared" si="49"/>
        <v>0</v>
      </c>
      <c r="AT34" s="86">
        <f t="shared" si="50"/>
        <v>5516.7429877348568</v>
      </c>
      <c r="AU34" s="86">
        <f t="shared" si="7"/>
        <v>20108337.019922819</v>
      </c>
      <c r="AV34" s="93">
        <f t="shared" si="8"/>
        <v>25194166.311466318</v>
      </c>
      <c r="AW34" s="93">
        <f t="shared" si="9"/>
        <v>19880953.191371966</v>
      </c>
      <c r="AX34" s="94">
        <f t="shared" si="10"/>
        <v>0</v>
      </c>
      <c r="AY34" s="92">
        <f t="shared" si="11"/>
        <v>0</v>
      </c>
      <c r="AZ34" s="95"/>
      <c r="BA34" s="86">
        <f t="shared" si="51"/>
        <v>5523.4748379741914</v>
      </c>
      <c r="BB34" s="86">
        <f t="shared" si="12"/>
        <v>20132874.380768001</v>
      </c>
      <c r="BC34" s="92">
        <f t="shared" si="52"/>
        <v>0</v>
      </c>
      <c r="BD34" s="92">
        <f t="shared" si="53"/>
        <v>0</v>
      </c>
      <c r="BE34" s="86">
        <f t="shared" si="54"/>
        <v>5523.4748379741914</v>
      </c>
      <c r="BF34" s="86">
        <f t="shared" si="13"/>
        <v>20132874.380768001</v>
      </c>
      <c r="BG34" s="96">
        <f t="shared" si="14"/>
        <v>25194166.311466318</v>
      </c>
      <c r="BH34" s="96">
        <f t="shared" si="15"/>
        <v>19880953.191371966</v>
      </c>
      <c r="BI34" s="94">
        <f t="shared" si="16"/>
        <v>0</v>
      </c>
      <c r="BJ34" s="92">
        <f t="shared" si="17"/>
        <v>0</v>
      </c>
      <c r="BK34" s="95"/>
      <c r="BL34" s="86">
        <f t="shared" si="55"/>
        <v>5523.474907675818</v>
      </c>
      <c r="BM34" s="86">
        <f t="shared" si="18"/>
        <v>20132874.634828016</v>
      </c>
      <c r="BN34" s="92">
        <f t="shared" si="56"/>
        <v>0</v>
      </c>
      <c r="BO34" s="92">
        <f t="shared" si="57"/>
        <v>0</v>
      </c>
      <c r="BP34" s="86">
        <f t="shared" si="58"/>
        <v>5523.474907675818</v>
      </c>
      <c r="BQ34" s="86">
        <f t="shared" si="19"/>
        <v>20132874.634828016</v>
      </c>
      <c r="BR34" s="93">
        <f t="shared" si="20"/>
        <v>25194166.311466318</v>
      </c>
      <c r="BS34" s="93">
        <f t="shared" si="21"/>
        <v>19880953.191371966</v>
      </c>
      <c r="BT34" s="94">
        <f t="shared" si="22"/>
        <v>0</v>
      </c>
      <c r="BU34" s="92">
        <f t="shared" si="23"/>
        <v>0</v>
      </c>
      <c r="BV34" s="95"/>
      <c r="BW34" s="86">
        <f t="shared" si="59"/>
        <v>5523.474907675818</v>
      </c>
      <c r="BX34" s="86">
        <f t="shared" si="24"/>
        <v>20132874.634828016</v>
      </c>
      <c r="BY34" s="92">
        <f t="shared" si="60"/>
        <v>0</v>
      </c>
      <c r="BZ34" s="92">
        <f t="shared" si="61"/>
        <v>0</v>
      </c>
      <c r="CA34" s="86">
        <f t="shared" si="62"/>
        <v>5523.474907675818</v>
      </c>
      <c r="CB34" s="86">
        <f t="shared" si="25"/>
        <v>20132874.634828016</v>
      </c>
      <c r="CC34" s="96">
        <f t="shared" si="26"/>
        <v>25194166.311466318</v>
      </c>
      <c r="CD34" s="96">
        <f t="shared" si="27"/>
        <v>19880953.191371966</v>
      </c>
      <c r="CE34" s="94">
        <f t="shared" si="28"/>
        <v>0</v>
      </c>
      <c r="CF34" s="92">
        <f t="shared" si="29"/>
        <v>0</v>
      </c>
      <c r="CG34" s="67"/>
      <c r="CH34" s="86">
        <f t="shared" si="30"/>
        <v>5523.474907675818</v>
      </c>
      <c r="CI34" s="86">
        <f t="shared" si="31"/>
        <v>20132874.634828016</v>
      </c>
      <c r="CJ34" s="92">
        <f t="shared" si="63"/>
        <v>0</v>
      </c>
      <c r="CK34" s="92">
        <f t="shared" si="64"/>
        <v>0</v>
      </c>
      <c r="CL34" s="86">
        <f t="shared" si="65"/>
        <v>5523.474907675818</v>
      </c>
      <c r="CM34" s="86">
        <f t="shared" si="32"/>
        <v>20132874.634828016</v>
      </c>
      <c r="CN34" s="97">
        <f t="shared" si="33"/>
        <v>1.0126714972381394</v>
      </c>
      <c r="CO34" s="554">
        <f t="shared" si="34"/>
        <v>60064</v>
      </c>
      <c r="CP34" s="153"/>
      <c r="CQ34" s="153">
        <f t="shared" si="35"/>
        <v>5689.18</v>
      </c>
      <c r="CR34" s="353"/>
      <c r="CS34" s="391" t="str">
        <f>VLOOKUP(A34,Characteristics!A27:M110,13,FALSE)</f>
        <v/>
      </c>
      <c r="CT34" s="206">
        <f>VLOOKUP(A34,Characteristics!A27:C110,3,FALSE)</f>
        <v>0</v>
      </c>
      <c r="CU34" s="557">
        <f t="shared" si="66"/>
        <v>5689.18</v>
      </c>
      <c r="CV34" s="557" t="str">
        <f t="shared" si="67"/>
        <v/>
      </c>
    </row>
    <row r="35" spans="1:100" s="125" customFormat="1" x14ac:dyDescent="0.3">
      <c r="A35" s="199">
        <v>60065</v>
      </c>
      <c r="B35" s="139"/>
      <c r="C35" s="558">
        <f>VLOOKUP($A35,'Fed Bs Rt+IME+GME+VBP+RAA+HAC'!$B$5:$AG$88,19,FALSE)</f>
        <v>6918.4759729999996</v>
      </c>
      <c r="D35" s="458">
        <f>VLOOKUP($A35,'Fed Bs Rt+IME+GME+VBP+RAA+HAC'!$B$5:$AG$88,25,FALSE)</f>
        <v>53.372213456379995</v>
      </c>
      <c r="E35" s="458">
        <f>VLOOKUP($A35,'Fed Bs Rt+IME+GME+VBP+RAA+HAC'!$B$5:$AG$88,29,FALSE)</f>
        <v>-0.64304769999992917</v>
      </c>
      <c r="F35" s="458">
        <f>VLOOKUP($A35,'Fed Bs Rt+IME+GME+VBP+RAA+HAC'!$B$5:$AG$88,27,FALSE)</f>
        <v>0</v>
      </c>
      <c r="G35" s="458">
        <f>VLOOKUP($A35,'Fed Bs Rt+IME+GME+VBP+RAA+HAC'!$B$5:$AG$88,32,FALSE)</f>
        <v>0</v>
      </c>
      <c r="H35" s="205">
        <f t="shared" si="36"/>
        <v>52.72916575638007</v>
      </c>
      <c r="I35" s="458">
        <f>VLOOKUP(A35,'Fed Bs Rt+IME+GME+VBP+RAA+HAC'!$B$5:$U$88,20,FALSE)</f>
        <v>1.5096824243740219</v>
      </c>
      <c r="J35" s="459">
        <f>IF(Characteristics!M28="CAH",+C35*J$4,0)</f>
        <v>0</v>
      </c>
      <c r="K35" s="459">
        <f>IF(OR(Characteristics!M28="SCH",Characteristics!M28="MDH"),+C35*K$4,0)</f>
        <v>0</v>
      </c>
      <c r="L35" s="460">
        <f>IF(OR(J35&gt;0,K35&gt;0,M35&gt;0),0,IF(VLOOKUP(A35,Characteristics!A:H,8,FALSE)&lt;=L$6,L$4*C35,IF(VLOOKUP(A35,Characteristics!A:H,8,FALSE)&gt;=L$5,0,(VLOOKUP(A35,Characteristics!A:H,8,FALSE)-L$5)/(L$6-L$5)*L$4*C35)))</f>
        <v>0</v>
      </c>
      <c r="M35" s="541">
        <f>IF(VLOOKUP($A35,Characteristics!$A:$E,3,FALSE)=2,M$4*C35,0)</f>
        <v>0</v>
      </c>
      <c r="N35" s="461">
        <f>IF(VLOOKUP($A35,Characteristics!$A:$K,6,FALSE)&gt;=N$5,N$4*C35,IF(VLOOKUP($A35,Characteristics!$A:$K,6,FALSE)&lt;=N$6,0,(VLOOKUP($A35,Characteristics!$A:$K,6,FALSE)-N$6)/(N$5-N$6)*N$4*C35))</f>
        <v>211.54841736335189</v>
      </c>
      <c r="O35" s="461">
        <f>IF(VLOOKUP($A35,Characteristics!$A:$K,11,FALSE)&lt;=O$6,O$4*C35,IF(VLOOKUP($A35,Characteristics!$A:$K,11,FALSE)&gt;=O$5,0,(VLOOKUP($A35,Characteristics!$A:$K,11,FALSE)-O$5)/(O$6-O$5)*O$4*C35))</f>
        <v>0</v>
      </c>
      <c r="P35" s="205">
        <f t="shared" si="37"/>
        <v>7184.2632385441057</v>
      </c>
      <c r="Q35" s="205"/>
      <c r="R35" s="86">
        <v>5435.57</v>
      </c>
      <c r="S35" s="87">
        <f t="shared" si="0"/>
        <v>5544.28</v>
      </c>
      <c r="T35" s="471"/>
      <c r="U35" s="86">
        <f t="shared" si="38"/>
        <v>30351523.215240229</v>
      </c>
      <c r="V35" s="89">
        <v>3985.07</v>
      </c>
      <c r="W35" s="90">
        <v>1.3737236712328769</v>
      </c>
      <c r="X35" s="91">
        <f t="shared" si="1"/>
        <v>39329422.841030464</v>
      </c>
      <c r="Y35" s="196"/>
      <c r="Z35" s="86">
        <f t="shared" si="39"/>
        <v>5544.28</v>
      </c>
      <c r="AA35" s="86">
        <f t="shared" si="40"/>
        <v>4989.8519999999999</v>
      </c>
      <c r="AB35" s="86">
        <f t="shared" si="41"/>
        <v>6098.7080000000005</v>
      </c>
      <c r="AC35" s="469"/>
      <c r="AD35" s="100"/>
      <c r="AE35" s="86">
        <f t="shared" si="42"/>
        <v>5753.4504227499319</v>
      </c>
      <c r="AF35" s="86">
        <f t="shared" si="2"/>
        <v>31496602.638003178</v>
      </c>
      <c r="AG35" s="92">
        <f t="shared" si="43"/>
        <v>0</v>
      </c>
      <c r="AH35" s="92">
        <f t="shared" si="44"/>
        <v>0</v>
      </c>
      <c r="AI35" s="86">
        <f t="shared" si="45"/>
        <v>5753.4504227499319</v>
      </c>
      <c r="AJ35" s="201"/>
      <c r="AK35" s="86">
        <f t="shared" si="3"/>
        <v>31496602.638003178</v>
      </c>
      <c r="AL35" s="93">
        <f t="shared" si="4"/>
        <v>39329422.841030464</v>
      </c>
      <c r="AM35" s="93">
        <f t="shared" si="5"/>
        <v>30351523.215240229</v>
      </c>
      <c r="AN35" s="94">
        <f t="shared" si="46"/>
        <v>0</v>
      </c>
      <c r="AO35" s="95"/>
      <c r="AP35" s="86">
        <f t="shared" si="47"/>
        <v>5734.0093994195422</v>
      </c>
      <c r="AQ35" s="86">
        <f t="shared" si="6"/>
        <v>31390174.991682947</v>
      </c>
      <c r="AR35" s="92">
        <f t="shared" si="48"/>
        <v>0</v>
      </c>
      <c r="AS35" s="92">
        <f t="shared" si="49"/>
        <v>0</v>
      </c>
      <c r="AT35" s="86">
        <f t="shared" si="50"/>
        <v>5734.0093994195422</v>
      </c>
      <c r="AU35" s="86">
        <f t="shared" si="7"/>
        <v>31390174.991682947</v>
      </c>
      <c r="AV35" s="93">
        <f t="shared" si="8"/>
        <v>39329422.841030464</v>
      </c>
      <c r="AW35" s="93">
        <f t="shared" si="9"/>
        <v>30351523.215240229</v>
      </c>
      <c r="AX35" s="94">
        <f t="shared" si="10"/>
        <v>0</v>
      </c>
      <c r="AY35" s="92">
        <f t="shared" si="11"/>
        <v>0</v>
      </c>
      <c r="AZ35" s="95"/>
      <c r="BA35" s="86">
        <f t="shared" si="51"/>
        <v>5741.0063707545578</v>
      </c>
      <c r="BB35" s="86">
        <f t="shared" si="12"/>
        <v>31428479.106538456</v>
      </c>
      <c r="BC35" s="92">
        <f t="shared" si="52"/>
        <v>0</v>
      </c>
      <c r="BD35" s="92">
        <f t="shared" si="53"/>
        <v>0</v>
      </c>
      <c r="BE35" s="86">
        <f t="shared" si="54"/>
        <v>5741.0063707545578</v>
      </c>
      <c r="BF35" s="86">
        <f t="shared" si="13"/>
        <v>31428479.106538456</v>
      </c>
      <c r="BG35" s="96">
        <f t="shared" si="14"/>
        <v>39329422.841030464</v>
      </c>
      <c r="BH35" s="96">
        <f t="shared" si="15"/>
        <v>30351523.215240229</v>
      </c>
      <c r="BI35" s="94">
        <f t="shared" si="16"/>
        <v>0</v>
      </c>
      <c r="BJ35" s="92">
        <f t="shared" si="17"/>
        <v>0</v>
      </c>
      <c r="BK35" s="95"/>
      <c r="BL35" s="86">
        <f t="shared" si="55"/>
        <v>5741.0064432012505</v>
      </c>
      <c r="BM35" s="86">
        <f t="shared" si="18"/>
        <v>31428479.503139541</v>
      </c>
      <c r="BN35" s="92">
        <f t="shared" si="56"/>
        <v>0</v>
      </c>
      <c r="BO35" s="92">
        <f t="shared" si="57"/>
        <v>0</v>
      </c>
      <c r="BP35" s="86">
        <f t="shared" si="58"/>
        <v>5741.0064432012505</v>
      </c>
      <c r="BQ35" s="86">
        <f t="shared" si="19"/>
        <v>31428479.503139541</v>
      </c>
      <c r="BR35" s="93">
        <f t="shared" si="20"/>
        <v>39329422.841030464</v>
      </c>
      <c r="BS35" s="93">
        <f t="shared" si="21"/>
        <v>30351523.215240229</v>
      </c>
      <c r="BT35" s="94">
        <f t="shared" si="22"/>
        <v>0</v>
      </c>
      <c r="BU35" s="92">
        <f t="shared" si="23"/>
        <v>0</v>
      </c>
      <c r="BV35" s="95"/>
      <c r="BW35" s="86">
        <f t="shared" si="59"/>
        <v>5741.0064432012505</v>
      </c>
      <c r="BX35" s="86">
        <f t="shared" si="24"/>
        <v>31428479.503139541</v>
      </c>
      <c r="BY35" s="92">
        <f t="shared" si="60"/>
        <v>0</v>
      </c>
      <c r="BZ35" s="92">
        <f t="shared" si="61"/>
        <v>0</v>
      </c>
      <c r="CA35" s="86">
        <f t="shared" si="62"/>
        <v>5741.0064432012505</v>
      </c>
      <c r="CB35" s="86">
        <f t="shared" si="25"/>
        <v>31428479.503139541</v>
      </c>
      <c r="CC35" s="96">
        <f t="shared" si="26"/>
        <v>39329422.841030464</v>
      </c>
      <c r="CD35" s="96">
        <f t="shared" si="27"/>
        <v>30351523.215240229</v>
      </c>
      <c r="CE35" s="94">
        <f t="shared" si="28"/>
        <v>0</v>
      </c>
      <c r="CF35" s="92">
        <f t="shared" si="29"/>
        <v>0</v>
      </c>
      <c r="CG35" s="67"/>
      <c r="CH35" s="86">
        <f t="shared" si="30"/>
        <v>5741.0064432012505</v>
      </c>
      <c r="CI35" s="86">
        <f t="shared" si="31"/>
        <v>31428479.503139541</v>
      </c>
      <c r="CJ35" s="92">
        <f t="shared" si="63"/>
        <v>0</v>
      </c>
      <c r="CK35" s="92">
        <f t="shared" si="64"/>
        <v>0</v>
      </c>
      <c r="CL35" s="86">
        <f t="shared" si="65"/>
        <v>5741.0064432012505</v>
      </c>
      <c r="CM35" s="86">
        <f t="shared" si="32"/>
        <v>31428479.503139541</v>
      </c>
      <c r="CN35" s="97">
        <f t="shared" si="33"/>
        <v>1.0354827756176186</v>
      </c>
      <c r="CO35" s="554">
        <f t="shared" si="34"/>
        <v>60065</v>
      </c>
      <c r="CP35" s="153"/>
      <c r="CQ35" s="153">
        <f t="shared" si="35"/>
        <v>5913.24</v>
      </c>
      <c r="CR35" s="353"/>
      <c r="CS35" s="391" t="str">
        <f>VLOOKUP(A35,Characteristics!A28:M111,13,FALSE)</f>
        <v/>
      </c>
      <c r="CT35" s="206">
        <f>VLOOKUP(A35,Characteristics!A28:C111,3,FALSE)</f>
        <v>0</v>
      </c>
      <c r="CU35" s="557">
        <f t="shared" si="66"/>
        <v>5913.24</v>
      </c>
      <c r="CV35" s="557" t="str">
        <f t="shared" si="67"/>
        <v/>
      </c>
    </row>
    <row r="36" spans="1:100" s="125" customFormat="1" x14ac:dyDescent="0.3">
      <c r="A36" s="199">
        <v>60071</v>
      </c>
      <c r="B36" s="139"/>
      <c r="C36" s="558">
        <f>VLOOKUP($A36,'Fed Bs Rt+IME+GME+VBP+RAA+HAC'!$B$5:$AG$88,19,FALSE)</f>
        <v>6918.4759729999996</v>
      </c>
      <c r="D36" s="458">
        <f>VLOOKUP($A36,'Fed Bs Rt+IME+GME+VBP+RAA+HAC'!$B$5:$AG$88,25,FALSE)</f>
        <v>0</v>
      </c>
      <c r="E36" s="458">
        <f>VLOOKUP($A36,'Fed Bs Rt+IME+GME+VBP+RAA+HAC'!$B$5:$AG$88,29,FALSE)</f>
        <v>-9.6457154999996515</v>
      </c>
      <c r="F36" s="458">
        <f>VLOOKUP($A36,'Fed Bs Rt+IME+GME+VBP+RAA+HAC'!$B$5:$AG$88,27,FALSE)</f>
        <v>0</v>
      </c>
      <c r="G36" s="458">
        <f>VLOOKUP($A36,'Fed Bs Rt+IME+GME+VBP+RAA+HAC'!$B$5:$AG$88,32,FALSE)</f>
        <v>0</v>
      </c>
      <c r="H36" s="205">
        <f t="shared" si="36"/>
        <v>-9.6457154999996515</v>
      </c>
      <c r="I36" s="458">
        <f>VLOOKUP(A36,'Fed Bs Rt+IME+GME+VBP+RAA+HAC'!$B$5:$U$88,20,FALSE)</f>
        <v>0</v>
      </c>
      <c r="J36" s="459">
        <f>IF(Characteristics!M29="CAH",+C36*J$4,0)</f>
        <v>0</v>
      </c>
      <c r="K36" s="459">
        <f>IF(OR(Characteristics!M29="SCH",Characteristics!M29="MDH"),+C36*K$4,0)</f>
        <v>1383.6951945999999</v>
      </c>
      <c r="L36" s="460">
        <f>IF(OR(J36&gt;0,K36&gt;0,M36&gt;0),0,IF(VLOOKUP(A36,Characteristics!A:H,8,FALSE)&lt;=L$6,L$4*C36,IF(VLOOKUP(A36,Characteristics!A:H,8,FALSE)&gt;=L$5,0,(VLOOKUP(A36,Characteristics!A:H,8,FALSE)-L$5)/(L$6-L$5)*L$4*C36)))</f>
        <v>0</v>
      </c>
      <c r="M36" s="541">
        <f>IF(VLOOKUP($A36,Characteristics!$A:$E,3,FALSE)=2,M$4*C36,0)</f>
        <v>0</v>
      </c>
      <c r="N36" s="399">
        <f>IF(VLOOKUP($A36,Characteristics!$A:$K,6,FALSE)&gt;=N$5,N$4*C36,IF(VLOOKUP($A36,Characteristics!$A:$K,6,FALSE)&lt;=N$6,0,(VLOOKUP($A36,Characteristics!$A:$K,6,FALSE)-N$6)/(N$5-N$6)*N$4*C36))</f>
        <v>0</v>
      </c>
      <c r="O36" s="461">
        <f>IF(VLOOKUP($A36,Characteristics!$A:$K,11,FALSE)&lt;=O$6,O$4*C36,IF(VLOOKUP($A36,Characteristics!$A:$K,11,FALSE)&gt;=O$5,0,(VLOOKUP($A36,Characteristics!$A:$K,11,FALSE)-O$5)/(O$6-O$5)*O$4*C36))</f>
        <v>0</v>
      </c>
      <c r="P36" s="205">
        <f t="shared" si="37"/>
        <v>8292.5254520999988</v>
      </c>
      <c r="Q36" s="205"/>
      <c r="R36" s="86">
        <v>6360.91</v>
      </c>
      <c r="S36" s="87">
        <f t="shared" si="0"/>
        <v>6488.13</v>
      </c>
      <c r="T36" s="471"/>
      <c r="U36" s="86">
        <f t="shared" si="38"/>
        <v>3077339.7271172823</v>
      </c>
      <c r="V36" s="89">
        <v>470.56580000000002</v>
      </c>
      <c r="W36" s="90">
        <v>1.0079419953596287</v>
      </c>
      <c r="X36" s="91">
        <f t="shared" si="1"/>
        <v>3933169.9598926846</v>
      </c>
      <c r="Y36" s="196"/>
      <c r="Z36" s="86">
        <f t="shared" si="39"/>
        <v>6488.13</v>
      </c>
      <c r="AA36" s="86">
        <f t="shared" si="40"/>
        <v>5839.317</v>
      </c>
      <c r="AB36" s="86">
        <f t="shared" si="41"/>
        <v>7136.9430000000011</v>
      </c>
      <c r="AC36" s="469"/>
      <c r="AD36" s="100"/>
      <c r="AE36" s="86">
        <f t="shared" si="42"/>
        <v>6640.991913002048</v>
      </c>
      <c r="AF36" s="86">
        <f t="shared" si="2"/>
        <v>3149842.5958397565</v>
      </c>
      <c r="AG36" s="92">
        <f t="shared" si="43"/>
        <v>0</v>
      </c>
      <c r="AH36" s="92">
        <f t="shared" si="44"/>
        <v>0</v>
      </c>
      <c r="AI36" s="86">
        <f t="shared" si="45"/>
        <v>6640.991913002048</v>
      </c>
      <c r="AJ36" s="201"/>
      <c r="AK36" s="86">
        <f t="shared" si="3"/>
        <v>3149842.5958397565</v>
      </c>
      <c r="AL36" s="93">
        <f t="shared" si="4"/>
        <v>3933169.9598926846</v>
      </c>
      <c r="AM36" s="93">
        <f t="shared" si="5"/>
        <v>3077339.7271172823</v>
      </c>
      <c r="AN36" s="94">
        <f t="shared" si="46"/>
        <v>0</v>
      </c>
      <c r="AO36" s="95"/>
      <c r="AP36" s="86">
        <f t="shared" si="47"/>
        <v>6618.5518693358863</v>
      </c>
      <c r="AQ36" s="86">
        <f t="shared" si="6"/>
        <v>3139199.2151041473</v>
      </c>
      <c r="AR36" s="92">
        <f t="shared" si="48"/>
        <v>0</v>
      </c>
      <c r="AS36" s="92">
        <f t="shared" si="49"/>
        <v>0</v>
      </c>
      <c r="AT36" s="86">
        <f t="shared" si="50"/>
        <v>6618.5518693358863</v>
      </c>
      <c r="AU36" s="86">
        <f t="shared" si="7"/>
        <v>3139199.2151041473</v>
      </c>
      <c r="AV36" s="93">
        <f t="shared" si="8"/>
        <v>3933169.9598926846</v>
      </c>
      <c r="AW36" s="93">
        <f t="shared" si="9"/>
        <v>3077339.7271172823</v>
      </c>
      <c r="AX36" s="94">
        <f t="shared" si="10"/>
        <v>0</v>
      </c>
      <c r="AY36" s="92">
        <f t="shared" si="11"/>
        <v>0</v>
      </c>
      <c r="AZ36" s="95"/>
      <c r="BA36" s="86">
        <f t="shared" si="51"/>
        <v>6626.6282107722545</v>
      </c>
      <c r="BB36" s="86">
        <f t="shared" si="12"/>
        <v>3143029.8483300381</v>
      </c>
      <c r="BC36" s="92">
        <f t="shared" si="52"/>
        <v>0</v>
      </c>
      <c r="BD36" s="92">
        <f t="shared" si="53"/>
        <v>0</v>
      </c>
      <c r="BE36" s="86">
        <f t="shared" si="54"/>
        <v>6626.6282107722545</v>
      </c>
      <c r="BF36" s="86">
        <f t="shared" si="13"/>
        <v>3143029.8483300381</v>
      </c>
      <c r="BG36" s="96">
        <f t="shared" si="14"/>
        <v>3933169.9598926846</v>
      </c>
      <c r="BH36" s="96">
        <f t="shared" si="15"/>
        <v>3077339.7271172823</v>
      </c>
      <c r="BI36" s="94">
        <f t="shared" si="16"/>
        <v>0</v>
      </c>
      <c r="BJ36" s="92">
        <f t="shared" si="17"/>
        <v>0</v>
      </c>
      <c r="BK36" s="95"/>
      <c r="BL36" s="86">
        <f t="shared" si="55"/>
        <v>6626.6282943947535</v>
      </c>
      <c r="BM36" s="86">
        <f t="shared" si="18"/>
        <v>3143029.8879924435</v>
      </c>
      <c r="BN36" s="92">
        <f t="shared" si="56"/>
        <v>0</v>
      </c>
      <c r="BO36" s="92">
        <f t="shared" si="57"/>
        <v>0</v>
      </c>
      <c r="BP36" s="86">
        <f t="shared" si="58"/>
        <v>6626.6282943947535</v>
      </c>
      <c r="BQ36" s="86">
        <f t="shared" si="19"/>
        <v>3143029.8879924435</v>
      </c>
      <c r="BR36" s="93">
        <f t="shared" si="20"/>
        <v>3933169.9598926846</v>
      </c>
      <c r="BS36" s="93">
        <f t="shared" si="21"/>
        <v>3077339.7271172823</v>
      </c>
      <c r="BT36" s="94">
        <f t="shared" si="22"/>
        <v>0</v>
      </c>
      <c r="BU36" s="92">
        <f t="shared" si="23"/>
        <v>0</v>
      </c>
      <c r="BV36" s="95"/>
      <c r="BW36" s="86">
        <f t="shared" si="59"/>
        <v>6626.6282943947535</v>
      </c>
      <c r="BX36" s="86">
        <f t="shared" si="24"/>
        <v>3143029.8879924435</v>
      </c>
      <c r="BY36" s="92">
        <f t="shared" si="60"/>
        <v>0</v>
      </c>
      <c r="BZ36" s="92">
        <f t="shared" si="61"/>
        <v>0</v>
      </c>
      <c r="CA36" s="86">
        <f t="shared" si="62"/>
        <v>6626.6282943947535</v>
      </c>
      <c r="CB36" s="86">
        <f t="shared" si="25"/>
        <v>3143029.8879924435</v>
      </c>
      <c r="CC36" s="96">
        <f t="shared" si="26"/>
        <v>3933169.9598926846</v>
      </c>
      <c r="CD36" s="96">
        <f t="shared" si="27"/>
        <v>3077339.7271172823</v>
      </c>
      <c r="CE36" s="94">
        <f t="shared" si="28"/>
        <v>0</v>
      </c>
      <c r="CF36" s="92">
        <f t="shared" si="29"/>
        <v>0</v>
      </c>
      <c r="CG36" s="67"/>
      <c r="CH36" s="86">
        <f t="shared" si="30"/>
        <v>6626.6282943947535</v>
      </c>
      <c r="CI36" s="86">
        <f t="shared" si="31"/>
        <v>3143029.8879924435</v>
      </c>
      <c r="CJ36" s="92">
        <f t="shared" si="63"/>
        <v>0</v>
      </c>
      <c r="CK36" s="92">
        <f t="shared" si="64"/>
        <v>0</v>
      </c>
      <c r="CL36" s="86">
        <f t="shared" si="65"/>
        <v>6626.6282943947535</v>
      </c>
      <c r="CM36" s="86">
        <f t="shared" si="32"/>
        <v>3143029.8879924435</v>
      </c>
      <c r="CN36" s="97">
        <f t="shared" si="33"/>
        <v>1.0213464117387836</v>
      </c>
      <c r="CO36" s="554">
        <f t="shared" si="34"/>
        <v>60071</v>
      </c>
      <c r="CP36" s="153"/>
      <c r="CQ36" s="153">
        <f t="shared" si="35"/>
        <v>6825.43</v>
      </c>
      <c r="CR36" s="353"/>
      <c r="CS36" s="391" t="str">
        <f>VLOOKUP(A36,Characteristics!A29:M112,13,FALSE)</f>
        <v>SCH</v>
      </c>
      <c r="CT36" s="206">
        <f>VLOOKUP(A36,Characteristics!A29:C112,3,FALSE)</f>
        <v>1</v>
      </c>
      <c r="CU36" s="557" t="str">
        <f t="shared" si="66"/>
        <v/>
      </c>
      <c r="CV36" s="557">
        <f t="shared" si="67"/>
        <v>6825.43</v>
      </c>
    </row>
    <row r="37" spans="1:100" s="125" customFormat="1" x14ac:dyDescent="0.3">
      <c r="A37" s="199">
        <v>60075</v>
      </c>
      <c r="B37" s="139"/>
      <c r="C37" s="558">
        <f>VLOOKUP($A37,'Fed Bs Rt+IME+GME+VBP+RAA+HAC'!$B$5:$AG$88,19,FALSE)</f>
        <v>6918.4759729999996</v>
      </c>
      <c r="D37" s="458">
        <f>VLOOKUP($A37,'Fed Bs Rt+IME+GME+VBP+RAA+HAC'!$B$5:$AG$88,25,FALSE)</f>
        <v>0</v>
      </c>
      <c r="E37" s="458">
        <f>VLOOKUP($A37,'Fed Bs Rt+IME+GME+VBP+RAA+HAC'!$B$5:$AG$88,29,FALSE)</f>
        <v>-4.5013339000002182</v>
      </c>
      <c r="F37" s="458">
        <f>VLOOKUP($A37,'Fed Bs Rt+IME+GME+VBP+RAA+HAC'!$B$5:$AG$88,27,FALSE)</f>
        <v>0</v>
      </c>
      <c r="G37" s="458">
        <f>VLOOKUP($A37,'Fed Bs Rt+IME+GME+VBP+RAA+HAC'!$B$5:$AG$88,32,FALSE)</f>
        <v>0</v>
      </c>
      <c r="H37" s="205">
        <f t="shared" si="36"/>
        <v>-4.5013339000002182</v>
      </c>
      <c r="I37" s="458">
        <f>VLOOKUP(A37,'Fed Bs Rt+IME+GME+VBP+RAA+HAC'!$B$5:$U$88,20,FALSE)</f>
        <v>0</v>
      </c>
      <c r="J37" s="459">
        <f>IF(Characteristics!M30="CAH",+C37*J$4,0)</f>
        <v>0</v>
      </c>
      <c r="K37" s="459">
        <f>IF(OR(Characteristics!M30="SCH",Characteristics!M30="MDH"),+C37*K$4,0)</f>
        <v>1383.6951945999999</v>
      </c>
      <c r="L37" s="460">
        <f>IF(OR(J37&gt;0,K37&gt;0,M37&gt;0),0,IF(VLOOKUP(A37,Characteristics!A:H,8,FALSE)&lt;=L$6,L$4*C37,IF(VLOOKUP(A37,Characteristics!A:H,8,FALSE)&gt;=L$5,0,(VLOOKUP(A37,Characteristics!A:H,8,FALSE)-L$5)/(L$6-L$5)*L$4*C37)))</f>
        <v>0</v>
      </c>
      <c r="M37" s="541">
        <f>IF(VLOOKUP($A37,Characteristics!$A:$E,3,FALSE)=2,M$4*C37,0)</f>
        <v>0</v>
      </c>
      <c r="N37" s="461">
        <f>IF(VLOOKUP($A37,Characteristics!$A:$K,6,FALSE)&gt;=N$5,N$4*C37,IF(VLOOKUP($A37,Characteristics!$A:$K,6,FALSE)&lt;=N$6,0,(VLOOKUP($A37,Characteristics!$A:$K,6,FALSE)-N$6)/(N$5-N$6)*N$4*C37))</f>
        <v>85.530099853928746</v>
      </c>
      <c r="O37" s="461">
        <f>IF(VLOOKUP($A37,Characteristics!$A:$K,11,FALSE)&lt;=O$6,O$4*C37,IF(VLOOKUP($A37,Characteristics!$A:$K,11,FALSE)&gt;=O$5,0,(VLOOKUP($A37,Characteristics!$A:$K,11,FALSE)-O$5)/(O$6-O$5)*O$4*C37))</f>
        <v>0</v>
      </c>
      <c r="P37" s="205">
        <f t="shared" si="37"/>
        <v>8383.1999335539276</v>
      </c>
      <c r="Q37" s="205"/>
      <c r="R37" s="86">
        <v>5900.13</v>
      </c>
      <c r="S37" s="87">
        <f t="shared" si="0"/>
        <v>6018.13</v>
      </c>
      <c r="T37" s="471"/>
      <c r="U37" s="86">
        <f t="shared" si="38"/>
        <v>4019866.6164610325</v>
      </c>
      <c r="V37" s="89">
        <v>735.87320000000011</v>
      </c>
      <c r="W37" s="90">
        <v>0.90770994065281907</v>
      </c>
      <c r="X37" s="91">
        <f t="shared" si="1"/>
        <v>5599637.3544625621</v>
      </c>
      <c r="Y37" s="196"/>
      <c r="Z37" s="86">
        <f t="shared" si="39"/>
        <v>6018.13</v>
      </c>
      <c r="AA37" s="86">
        <f t="shared" si="40"/>
        <v>5416.317</v>
      </c>
      <c r="AB37" s="86">
        <f t="shared" si="41"/>
        <v>6619.9430000000002</v>
      </c>
      <c r="AC37" s="469"/>
      <c r="AD37" s="100"/>
      <c r="AE37" s="86">
        <f t="shared" si="42"/>
        <v>6713.607728477019</v>
      </c>
      <c r="AF37" s="86">
        <f t="shared" si="2"/>
        <v>4484417.5156933386</v>
      </c>
      <c r="AG37" s="92">
        <f t="shared" si="43"/>
        <v>0</v>
      </c>
      <c r="AH37" s="92">
        <f t="shared" si="44"/>
        <v>1</v>
      </c>
      <c r="AI37" s="86">
        <f t="shared" si="45"/>
        <v>6619.9430000000002</v>
      </c>
      <c r="AJ37" s="201"/>
      <c r="AK37" s="86">
        <f t="shared" si="3"/>
        <v>4421853.2781071356</v>
      </c>
      <c r="AL37" s="93">
        <f t="shared" si="4"/>
        <v>5599637.3544625621</v>
      </c>
      <c r="AM37" s="93">
        <f t="shared" si="5"/>
        <v>4019866.6164610325</v>
      </c>
      <c r="AN37" s="94">
        <f t="shared" si="46"/>
        <v>0</v>
      </c>
      <c r="AO37" s="95"/>
      <c r="AP37" s="86">
        <f t="shared" si="47"/>
        <v>6690.9223145271017</v>
      </c>
      <c r="AQ37" s="86">
        <f t="shared" si="6"/>
        <v>4469264.5797783826</v>
      </c>
      <c r="AR37" s="92">
        <f t="shared" si="48"/>
        <v>0</v>
      </c>
      <c r="AS37" s="92">
        <f t="shared" si="49"/>
        <v>1</v>
      </c>
      <c r="AT37" s="86">
        <f t="shared" si="50"/>
        <v>6619.9430000000002</v>
      </c>
      <c r="AU37" s="86">
        <f t="shared" si="7"/>
        <v>4421853.2781071356</v>
      </c>
      <c r="AV37" s="93">
        <f t="shared" si="8"/>
        <v>0</v>
      </c>
      <c r="AW37" s="93">
        <f t="shared" si="9"/>
        <v>-401986.66164610302</v>
      </c>
      <c r="AX37" s="94">
        <f t="shared" si="10"/>
        <v>1</v>
      </c>
      <c r="AY37" s="92">
        <f t="shared" si="11"/>
        <v>1</v>
      </c>
      <c r="AZ37" s="95"/>
      <c r="BA37" s="86">
        <f t="shared" si="51"/>
        <v>6619.9430000000002</v>
      </c>
      <c r="BB37" s="86">
        <f t="shared" si="12"/>
        <v>4421853.2781071356</v>
      </c>
      <c r="BC37" s="92">
        <f t="shared" si="52"/>
        <v>0</v>
      </c>
      <c r="BD37" s="92">
        <f t="shared" si="53"/>
        <v>1</v>
      </c>
      <c r="BE37" s="86">
        <f t="shared" si="54"/>
        <v>6619.9430000000002</v>
      </c>
      <c r="BF37" s="86">
        <f t="shared" si="13"/>
        <v>4421853.2781071356</v>
      </c>
      <c r="BG37" s="96">
        <f t="shared" si="14"/>
        <v>0</v>
      </c>
      <c r="BH37" s="96">
        <f t="shared" si="15"/>
        <v>-401986.66164610302</v>
      </c>
      <c r="BI37" s="94">
        <f t="shared" si="16"/>
        <v>1</v>
      </c>
      <c r="BJ37" s="92">
        <f t="shared" si="17"/>
        <v>0</v>
      </c>
      <c r="BK37" s="95"/>
      <c r="BL37" s="86">
        <f t="shared" si="55"/>
        <v>6619.9430000000002</v>
      </c>
      <c r="BM37" s="86">
        <f t="shared" si="18"/>
        <v>4421853.2781071356</v>
      </c>
      <c r="BN37" s="92">
        <f t="shared" si="56"/>
        <v>0</v>
      </c>
      <c r="BO37" s="92">
        <f t="shared" si="57"/>
        <v>1</v>
      </c>
      <c r="BP37" s="86">
        <f t="shared" si="58"/>
        <v>6619.9430000000002</v>
      </c>
      <c r="BQ37" s="86">
        <f t="shared" si="19"/>
        <v>4421853.2781071356</v>
      </c>
      <c r="BR37" s="93">
        <f t="shared" si="20"/>
        <v>0</v>
      </c>
      <c r="BS37" s="93">
        <f t="shared" si="21"/>
        <v>-401986.66164610302</v>
      </c>
      <c r="BT37" s="94">
        <f t="shared" si="22"/>
        <v>1</v>
      </c>
      <c r="BU37" s="92">
        <f t="shared" si="23"/>
        <v>0</v>
      </c>
      <c r="BV37" s="95"/>
      <c r="BW37" s="86">
        <f t="shared" si="59"/>
        <v>6619.9430000000002</v>
      </c>
      <c r="BX37" s="86">
        <f t="shared" si="24"/>
        <v>4421853.2781071356</v>
      </c>
      <c r="BY37" s="92">
        <f t="shared" si="60"/>
        <v>0</v>
      </c>
      <c r="BZ37" s="92">
        <f t="shared" si="61"/>
        <v>1</v>
      </c>
      <c r="CA37" s="86">
        <f t="shared" si="62"/>
        <v>6619.9430000000002</v>
      </c>
      <c r="CB37" s="86">
        <f t="shared" si="25"/>
        <v>4421853.2781071356</v>
      </c>
      <c r="CC37" s="96">
        <f t="shared" si="26"/>
        <v>0</v>
      </c>
      <c r="CD37" s="96">
        <f t="shared" si="27"/>
        <v>-401986.66164610302</v>
      </c>
      <c r="CE37" s="94">
        <f t="shared" si="28"/>
        <v>1</v>
      </c>
      <c r="CF37" s="92">
        <f t="shared" si="29"/>
        <v>0</v>
      </c>
      <c r="CG37" s="67"/>
      <c r="CH37" s="86">
        <f t="shared" si="30"/>
        <v>6699.0870511212715</v>
      </c>
      <c r="CI37" s="86">
        <f t="shared" si="31"/>
        <v>4474718.2924876623</v>
      </c>
      <c r="CJ37" s="92">
        <f t="shared" si="63"/>
        <v>0</v>
      </c>
      <c r="CK37" s="92">
        <f t="shared" si="64"/>
        <v>1</v>
      </c>
      <c r="CL37" s="86">
        <f t="shared" si="65"/>
        <v>6619.9430000000002</v>
      </c>
      <c r="CM37" s="86">
        <f t="shared" si="32"/>
        <v>4421853.2781071356</v>
      </c>
      <c r="CN37" s="97">
        <f t="shared" si="33"/>
        <v>1.1000000000000001</v>
      </c>
      <c r="CO37" s="554">
        <f t="shared" si="34"/>
        <v>60075</v>
      </c>
      <c r="CP37" s="153"/>
      <c r="CQ37" s="153">
        <f t="shared" si="35"/>
        <v>6818.54</v>
      </c>
      <c r="CR37" s="353"/>
      <c r="CS37" s="391" t="str">
        <f>VLOOKUP(A37,Characteristics!A30:M113,13,FALSE)</f>
        <v>SCH</v>
      </c>
      <c r="CT37" s="206">
        <f>VLOOKUP(A37,Characteristics!A30:C113,3,FALSE)</f>
        <v>1</v>
      </c>
      <c r="CU37" s="557" t="str">
        <f t="shared" si="66"/>
        <v/>
      </c>
      <c r="CV37" s="557">
        <f t="shared" si="67"/>
        <v>6818.54</v>
      </c>
    </row>
    <row r="38" spans="1:100" s="125" customFormat="1" x14ac:dyDescent="0.3">
      <c r="A38" s="199">
        <v>60076</v>
      </c>
      <c r="B38" s="139"/>
      <c r="C38" s="558">
        <f>VLOOKUP($A38,'Fed Bs Rt+IME+GME+VBP+RAA+HAC'!$B$5:$AG$88,19,FALSE)</f>
        <v>6918.4759729999996</v>
      </c>
      <c r="D38" s="458">
        <f>VLOOKUP($A38,'Fed Bs Rt+IME+GME+VBP+RAA+HAC'!$B$5:$AG$88,25,FALSE)</f>
        <v>0</v>
      </c>
      <c r="E38" s="458">
        <f>VLOOKUP($A38,'Fed Bs Rt+IME+GME+VBP+RAA+HAC'!$B$5:$AG$88,29,FALSE)</f>
        <v>0</v>
      </c>
      <c r="F38" s="458">
        <f>VLOOKUP($A38,'Fed Bs Rt+IME+GME+VBP+RAA+HAC'!$B$5:$AG$88,27,FALSE)</f>
        <v>0</v>
      </c>
      <c r="G38" s="458">
        <f>VLOOKUP($A38,'Fed Bs Rt+IME+GME+VBP+RAA+HAC'!$B$5:$AG$88,32,FALSE)</f>
        <v>0</v>
      </c>
      <c r="H38" s="205">
        <f t="shared" si="36"/>
        <v>0</v>
      </c>
      <c r="I38" s="458">
        <f>VLOOKUP(A38,'Fed Bs Rt+IME+GME+VBP+RAA+HAC'!$B$5:$U$88,20,FALSE)</f>
        <v>0</v>
      </c>
      <c r="J38" s="459">
        <f>IF(Characteristics!M31="CAH",+C38*J$4,0)</f>
        <v>0</v>
      </c>
      <c r="K38" s="459">
        <f>IF(OR(Characteristics!M31="SCH",Characteristics!M31="MDH"),+C38*K$4,0)</f>
        <v>1383.6951945999999</v>
      </c>
      <c r="L38" s="460">
        <f>IF(OR(J38&gt;0,K38&gt;0,M38&gt;0),0,IF(VLOOKUP(A38,Characteristics!A:H,8,FALSE)&lt;=L$6,L$4*C38,IF(VLOOKUP(A38,Characteristics!A:H,8,FALSE)&gt;=L$5,0,(VLOOKUP(A38,Characteristics!A:H,8,FALSE)-L$5)/(L$6-L$5)*L$4*C38)))</f>
        <v>0</v>
      </c>
      <c r="M38" s="541">
        <f>IF(VLOOKUP($A38,Characteristics!$A:$E,3,FALSE)=2,M$4*C38,0)</f>
        <v>0</v>
      </c>
      <c r="N38" s="461">
        <f>IF(VLOOKUP($A38,Characteristics!$A:$K,6,FALSE)&gt;=N$5,N$4*C38,IF(VLOOKUP($A38,Characteristics!$A:$K,6,FALSE)&lt;=N$6,0,(VLOOKUP($A38,Characteristics!$A:$K,6,FALSE)-N$6)/(N$5-N$6)*N$4*C38))</f>
        <v>0</v>
      </c>
      <c r="O38" s="461">
        <f>IF(VLOOKUP($A38,Characteristics!$A:$K,11,FALSE)&lt;=O$6,O$4*C38,IF(VLOOKUP($A38,Characteristics!$A:$K,11,FALSE)&gt;=O$5,0,(VLOOKUP($A38,Characteristics!$A:$K,11,FALSE)-O$5)/(O$6-O$5)*O$4*C38))</f>
        <v>0</v>
      </c>
      <c r="P38" s="205">
        <f t="shared" si="37"/>
        <v>8302.1711675999995</v>
      </c>
      <c r="Q38" s="205"/>
      <c r="R38" s="86">
        <v>7407.99</v>
      </c>
      <c r="S38" s="87">
        <f t="shared" si="0"/>
        <v>7556.15</v>
      </c>
      <c r="T38" s="471"/>
      <c r="U38" s="86">
        <f t="shared" si="38"/>
        <v>3143700.2287406516</v>
      </c>
      <c r="V38" s="89">
        <v>450.91340000000002</v>
      </c>
      <c r="W38" s="90">
        <v>0.92267215496368038</v>
      </c>
      <c r="X38" s="91">
        <f t="shared" si="1"/>
        <v>3454078.7833259222</v>
      </c>
      <c r="Y38" s="196"/>
      <c r="Z38" s="86">
        <f t="shared" si="39"/>
        <v>7556.15</v>
      </c>
      <c r="AA38" s="86">
        <f t="shared" si="40"/>
        <v>6800.5349999999999</v>
      </c>
      <c r="AB38" s="86">
        <f t="shared" si="41"/>
        <v>8311.7649999999994</v>
      </c>
      <c r="AC38" s="469"/>
      <c r="AD38" s="100"/>
      <c r="AE38" s="86">
        <f t="shared" si="42"/>
        <v>6648.7165945843517</v>
      </c>
      <c r="AF38" s="86">
        <f t="shared" si="2"/>
        <v>2766166.8811797802</v>
      </c>
      <c r="AG38" s="92">
        <f t="shared" si="43"/>
        <v>1</v>
      </c>
      <c r="AH38" s="92">
        <f t="shared" si="44"/>
        <v>0</v>
      </c>
      <c r="AI38" s="86">
        <f t="shared" si="45"/>
        <v>6800.5349999999999</v>
      </c>
      <c r="AJ38" s="201"/>
      <c r="AK38" s="86">
        <f t="shared" si="3"/>
        <v>2829330.2058665869</v>
      </c>
      <c r="AL38" s="93">
        <f t="shared" si="4"/>
        <v>0</v>
      </c>
      <c r="AM38" s="93">
        <f t="shared" si="5"/>
        <v>314370.02287406474</v>
      </c>
      <c r="AN38" s="94">
        <f t="shared" si="46"/>
        <v>1</v>
      </c>
      <c r="AO38" s="95"/>
      <c r="AP38" s="86">
        <f t="shared" si="47"/>
        <v>6800.5349999999999</v>
      </c>
      <c r="AQ38" s="86">
        <f t="shared" si="6"/>
        <v>2829330.2058665869</v>
      </c>
      <c r="AR38" s="92">
        <f t="shared" si="48"/>
        <v>1</v>
      </c>
      <c r="AS38" s="92">
        <f t="shared" si="49"/>
        <v>0</v>
      </c>
      <c r="AT38" s="86">
        <f t="shared" si="50"/>
        <v>6800.5349999999999</v>
      </c>
      <c r="AU38" s="86">
        <f t="shared" si="7"/>
        <v>2829330.2058665869</v>
      </c>
      <c r="AV38" s="93">
        <f t="shared" si="8"/>
        <v>0</v>
      </c>
      <c r="AW38" s="93">
        <f t="shared" si="9"/>
        <v>314370.02287406474</v>
      </c>
      <c r="AX38" s="94">
        <f t="shared" si="10"/>
        <v>1</v>
      </c>
      <c r="AY38" s="92">
        <f t="shared" si="11"/>
        <v>0</v>
      </c>
      <c r="AZ38" s="95"/>
      <c r="BA38" s="86">
        <f t="shared" si="51"/>
        <v>6800.5349999999999</v>
      </c>
      <c r="BB38" s="86">
        <f t="shared" si="12"/>
        <v>2829330.2058665869</v>
      </c>
      <c r="BC38" s="92">
        <f t="shared" si="52"/>
        <v>1</v>
      </c>
      <c r="BD38" s="92">
        <f t="shared" si="53"/>
        <v>0</v>
      </c>
      <c r="BE38" s="86">
        <f t="shared" si="54"/>
        <v>6800.5349999999999</v>
      </c>
      <c r="BF38" s="86">
        <f t="shared" si="13"/>
        <v>2829330.2058665869</v>
      </c>
      <c r="BG38" s="96">
        <f t="shared" si="14"/>
        <v>0</v>
      </c>
      <c r="BH38" s="96">
        <f t="shared" si="15"/>
        <v>314370.02287406474</v>
      </c>
      <c r="BI38" s="94">
        <f t="shared" si="16"/>
        <v>1</v>
      </c>
      <c r="BJ38" s="92">
        <f t="shared" si="17"/>
        <v>0</v>
      </c>
      <c r="BK38" s="95"/>
      <c r="BL38" s="86">
        <f t="shared" si="55"/>
        <v>6800.5349999999999</v>
      </c>
      <c r="BM38" s="86">
        <f t="shared" si="18"/>
        <v>2829330.2058665869</v>
      </c>
      <c r="BN38" s="92">
        <f t="shared" si="56"/>
        <v>1</v>
      </c>
      <c r="BO38" s="92">
        <f t="shared" si="57"/>
        <v>0</v>
      </c>
      <c r="BP38" s="86">
        <f t="shared" si="58"/>
        <v>6800.5349999999999</v>
      </c>
      <c r="BQ38" s="86">
        <f t="shared" si="19"/>
        <v>2829330.2058665869</v>
      </c>
      <c r="BR38" s="93">
        <f t="shared" si="20"/>
        <v>0</v>
      </c>
      <c r="BS38" s="93">
        <f t="shared" si="21"/>
        <v>314370.02287406474</v>
      </c>
      <c r="BT38" s="94">
        <f t="shared" si="22"/>
        <v>1</v>
      </c>
      <c r="BU38" s="92">
        <f t="shared" si="23"/>
        <v>0</v>
      </c>
      <c r="BV38" s="95"/>
      <c r="BW38" s="86">
        <f t="shared" si="59"/>
        <v>6800.5349999999999</v>
      </c>
      <c r="BX38" s="86">
        <f t="shared" si="24"/>
        <v>2829330.2058665869</v>
      </c>
      <c r="BY38" s="92">
        <f t="shared" si="60"/>
        <v>1</v>
      </c>
      <c r="BZ38" s="92">
        <f t="shared" si="61"/>
        <v>0</v>
      </c>
      <c r="CA38" s="86">
        <f t="shared" si="62"/>
        <v>6800.5349999999999</v>
      </c>
      <c r="CB38" s="86">
        <f t="shared" si="25"/>
        <v>2829330.2058665869</v>
      </c>
      <c r="CC38" s="96">
        <f t="shared" si="26"/>
        <v>0</v>
      </c>
      <c r="CD38" s="96">
        <f t="shared" si="27"/>
        <v>314370.02287406474</v>
      </c>
      <c r="CE38" s="94">
        <f t="shared" si="28"/>
        <v>1</v>
      </c>
      <c r="CF38" s="92">
        <f t="shared" si="29"/>
        <v>0</v>
      </c>
      <c r="CG38" s="67"/>
      <c r="CH38" s="86">
        <f t="shared" si="30"/>
        <v>6634.336268475894</v>
      </c>
      <c r="CI38" s="86">
        <f t="shared" si="31"/>
        <v>2760184.0149745671</v>
      </c>
      <c r="CJ38" s="92">
        <f t="shared" si="63"/>
        <v>1</v>
      </c>
      <c r="CK38" s="92">
        <f t="shared" si="64"/>
        <v>0</v>
      </c>
      <c r="CL38" s="86">
        <f t="shared" si="65"/>
        <v>6800.5349999999999</v>
      </c>
      <c r="CM38" s="86">
        <f t="shared" si="32"/>
        <v>2829330.2058665869</v>
      </c>
      <c r="CN38" s="97">
        <f t="shared" si="33"/>
        <v>0.9</v>
      </c>
      <c r="CO38" s="554">
        <f t="shared" si="34"/>
        <v>60076</v>
      </c>
      <c r="CP38" s="153"/>
      <c r="CQ38" s="153">
        <f t="shared" si="35"/>
        <v>7004.55</v>
      </c>
      <c r="CR38" s="353"/>
      <c r="CS38" s="391" t="str">
        <f>VLOOKUP(A38,Characteristics!A31:M114,13,FALSE)</f>
        <v>SCH</v>
      </c>
      <c r="CT38" s="206">
        <f>VLOOKUP(A38,Characteristics!A31:C114,3,FALSE)</f>
        <v>1</v>
      </c>
      <c r="CU38" s="557" t="str">
        <f t="shared" si="66"/>
        <v/>
      </c>
      <c r="CV38" s="557">
        <f t="shared" si="67"/>
        <v>7004.55</v>
      </c>
    </row>
    <row r="39" spans="1:100" s="125" customFormat="1" x14ac:dyDescent="0.3">
      <c r="A39" s="199">
        <v>60096</v>
      </c>
      <c r="B39" s="139"/>
      <c r="C39" s="558">
        <f>VLOOKUP($A39,'Fed Bs Rt+IME+GME+VBP+RAA+HAC'!$B$5:$AG$88,19,FALSE)</f>
        <v>6918.4759729999996</v>
      </c>
      <c r="D39" s="458">
        <f>VLOOKUP($A39,'Fed Bs Rt+IME+GME+VBP+RAA+HAC'!$B$5:$AG$88,25,FALSE)</f>
        <v>0</v>
      </c>
      <c r="E39" s="458">
        <f>VLOOKUP($A39,'Fed Bs Rt+IME+GME+VBP+RAA+HAC'!$B$5:$AG$88,29,FALSE)</f>
        <v>0</v>
      </c>
      <c r="F39" s="458">
        <f>VLOOKUP($A39,'Fed Bs Rt+IME+GME+VBP+RAA+HAC'!$B$5:$AG$88,27,FALSE)</f>
        <v>0</v>
      </c>
      <c r="G39" s="458">
        <f>VLOOKUP($A39,'Fed Bs Rt+IME+GME+VBP+RAA+HAC'!$B$5:$AG$88,32,FALSE)</f>
        <v>0</v>
      </c>
      <c r="H39" s="205">
        <f t="shared" si="36"/>
        <v>0</v>
      </c>
      <c r="I39" s="458">
        <f>VLOOKUP(A39,'Fed Bs Rt+IME+GME+VBP+RAA+HAC'!$B$5:$U$88,20,FALSE)</f>
        <v>0</v>
      </c>
      <c r="J39" s="459">
        <f>IF(Characteristics!M32="CAH",+C39*J$4,0)</f>
        <v>0</v>
      </c>
      <c r="K39" s="459">
        <f>IF(OR(Characteristics!M32="SCH",Characteristics!M32="MDH"),+C39*K$4,0)</f>
        <v>1383.6951945999999</v>
      </c>
      <c r="L39" s="460">
        <f>IF(OR(J39&gt;0,K39&gt;0,M39&gt;0),0,IF(VLOOKUP(A39,Characteristics!A:H,8,FALSE)&lt;=L$6,L$4*C39,IF(VLOOKUP(A39,Characteristics!A:H,8,FALSE)&gt;=L$5,0,(VLOOKUP(A39,Characteristics!A:H,8,FALSE)-L$5)/(L$6-L$5)*L$4*C39)))</f>
        <v>0</v>
      </c>
      <c r="M39" s="541">
        <f>IF(VLOOKUP($A39,Characteristics!$A:$E,3,FALSE)=2,M$4*C39,0)</f>
        <v>0</v>
      </c>
      <c r="N39" s="461">
        <f>IF(VLOOKUP($A39,Characteristics!$A:$K,6,FALSE)&gt;=N$5,N$4*C39,IF(VLOOKUP($A39,Characteristics!$A:$K,6,FALSE)&lt;=N$6,0,(VLOOKUP($A39,Characteristics!$A:$K,6,FALSE)-N$6)/(N$5-N$6)*N$4*C39))</f>
        <v>0</v>
      </c>
      <c r="O39" s="461">
        <f>IF(VLOOKUP($A39,Characteristics!$A:$K,11,FALSE)&lt;=O$6,O$4*C39,IF(VLOOKUP($A39,Characteristics!$A:$K,11,FALSE)&gt;=O$5,0,(VLOOKUP($A39,Characteristics!$A:$K,11,FALSE)-O$5)/(O$6-O$5)*O$4*C39))</f>
        <v>0</v>
      </c>
      <c r="P39" s="205">
        <f t="shared" si="37"/>
        <v>8302.1711675999995</v>
      </c>
      <c r="Q39" s="205"/>
      <c r="R39" s="86">
        <v>10616.42</v>
      </c>
      <c r="S39" s="87">
        <f t="shared" si="0"/>
        <v>10828.75</v>
      </c>
      <c r="T39" s="471"/>
      <c r="U39" s="86">
        <f t="shared" si="38"/>
        <v>3141702.8799780752</v>
      </c>
      <c r="V39" s="89">
        <v>422.52660000000003</v>
      </c>
      <c r="W39" s="90">
        <v>0.68664573643410853</v>
      </c>
      <c r="X39" s="91">
        <f t="shared" si="1"/>
        <v>2408676.4462490925</v>
      </c>
      <c r="Y39" s="196"/>
      <c r="Z39" s="86">
        <f t="shared" si="39"/>
        <v>10828.75</v>
      </c>
      <c r="AA39" s="86">
        <f t="shared" si="40"/>
        <v>9745.875</v>
      </c>
      <c r="AB39" s="86">
        <f t="shared" si="41"/>
        <v>11911.625000000002</v>
      </c>
      <c r="AC39" s="469"/>
      <c r="AD39" s="100"/>
      <c r="AE39" s="86">
        <f t="shared" si="42"/>
        <v>6648.7165945843517</v>
      </c>
      <c r="AF39" s="86">
        <f t="shared" si="2"/>
        <v>1928966.1385999012</v>
      </c>
      <c r="AG39" s="92">
        <f t="shared" si="43"/>
        <v>1</v>
      </c>
      <c r="AH39" s="92">
        <f t="shared" si="44"/>
        <v>0</v>
      </c>
      <c r="AI39" s="86">
        <f t="shared" si="45"/>
        <v>9745.875</v>
      </c>
      <c r="AJ39" s="201"/>
      <c r="AK39" s="86">
        <f t="shared" si="3"/>
        <v>2827532.5919802678</v>
      </c>
      <c r="AL39" s="93">
        <f t="shared" si="4"/>
        <v>0</v>
      </c>
      <c r="AM39" s="93">
        <f t="shared" si="5"/>
        <v>314170.28799780738</v>
      </c>
      <c r="AN39" s="94">
        <f t="shared" si="46"/>
        <v>1</v>
      </c>
      <c r="AO39" s="95"/>
      <c r="AP39" s="86">
        <f t="shared" si="47"/>
        <v>9745.875</v>
      </c>
      <c r="AQ39" s="86">
        <f t="shared" si="6"/>
        <v>2827532.5919802678</v>
      </c>
      <c r="AR39" s="92">
        <f t="shared" si="48"/>
        <v>1</v>
      </c>
      <c r="AS39" s="92">
        <f t="shared" si="49"/>
        <v>0</v>
      </c>
      <c r="AT39" s="86">
        <f t="shared" si="50"/>
        <v>9745.875</v>
      </c>
      <c r="AU39" s="86">
        <f t="shared" si="7"/>
        <v>2827532.5919802678</v>
      </c>
      <c r="AV39" s="93">
        <f t="shared" si="8"/>
        <v>0</v>
      </c>
      <c r="AW39" s="93">
        <f t="shared" si="9"/>
        <v>314170.28799780738</v>
      </c>
      <c r="AX39" s="94">
        <f t="shared" si="10"/>
        <v>1</v>
      </c>
      <c r="AY39" s="92">
        <f t="shared" si="11"/>
        <v>0</v>
      </c>
      <c r="AZ39" s="95"/>
      <c r="BA39" s="86">
        <f t="shared" si="51"/>
        <v>9745.875</v>
      </c>
      <c r="BB39" s="86">
        <f t="shared" si="12"/>
        <v>2827532.5919802678</v>
      </c>
      <c r="BC39" s="92">
        <f t="shared" si="52"/>
        <v>1</v>
      </c>
      <c r="BD39" s="92">
        <f t="shared" si="53"/>
        <v>0</v>
      </c>
      <c r="BE39" s="86">
        <f t="shared" si="54"/>
        <v>9745.875</v>
      </c>
      <c r="BF39" s="86">
        <f t="shared" si="13"/>
        <v>2827532.5919802678</v>
      </c>
      <c r="BG39" s="96">
        <f t="shared" si="14"/>
        <v>0</v>
      </c>
      <c r="BH39" s="96">
        <f t="shared" si="15"/>
        <v>314170.28799780738</v>
      </c>
      <c r="BI39" s="94">
        <f t="shared" si="16"/>
        <v>1</v>
      </c>
      <c r="BJ39" s="92">
        <f t="shared" si="17"/>
        <v>0</v>
      </c>
      <c r="BK39" s="95"/>
      <c r="BL39" s="86">
        <f t="shared" si="55"/>
        <v>9745.875</v>
      </c>
      <c r="BM39" s="86">
        <f t="shared" si="18"/>
        <v>2827532.5919802678</v>
      </c>
      <c r="BN39" s="92">
        <f t="shared" si="56"/>
        <v>1</v>
      </c>
      <c r="BO39" s="92">
        <f t="shared" si="57"/>
        <v>0</v>
      </c>
      <c r="BP39" s="86">
        <f t="shared" si="58"/>
        <v>9745.875</v>
      </c>
      <c r="BQ39" s="86">
        <f t="shared" si="19"/>
        <v>2827532.5919802678</v>
      </c>
      <c r="BR39" s="93">
        <f t="shared" si="20"/>
        <v>0</v>
      </c>
      <c r="BS39" s="93">
        <f t="shared" si="21"/>
        <v>314170.28799780738</v>
      </c>
      <c r="BT39" s="94">
        <f t="shared" si="22"/>
        <v>1</v>
      </c>
      <c r="BU39" s="92">
        <f t="shared" si="23"/>
        <v>0</v>
      </c>
      <c r="BV39" s="95"/>
      <c r="BW39" s="86">
        <f t="shared" si="59"/>
        <v>9745.875</v>
      </c>
      <c r="BX39" s="86">
        <f t="shared" si="24"/>
        <v>2827532.5919802678</v>
      </c>
      <c r="BY39" s="92">
        <f t="shared" si="60"/>
        <v>1</v>
      </c>
      <c r="BZ39" s="92">
        <f t="shared" si="61"/>
        <v>0</v>
      </c>
      <c r="CA39" s="86">
        <f t="shared" si="62"/>
        <v>9745.875</v>
      </c>
      <c r="CB39" s="86">
        <f t="shared" si="25"/>
        <v>2827532.5919802678</v>
      </c>
      <c r="CC39" s="96">
        <f t="shared" si="26"/>
        <v>0</v>
      </c>
      <c r="CD39" s="96">
        <f t="shared" si="27"/>
        <v>314170.28799780738</v>
      </c>
      <c r="CE39" s="94">
        <f t="shared" si="28"/>
        <v>1</v>
      </c>
      <c r="CF39" s="92">
        <f t="shared" si="29"/>
        <v>0</v>
      </c>
      <c r="CG39" s="67"/>
      <c r="CH39" s="86">
        <f t="shared" si="30"/>
        <v>6634.336268475894</v>
      </c>
      <c r="CI39" s="86">
        <f t="shared" si="31"/>
        <v>1924794.0308358502</v>
      </c>
      <c r="CJ39" s="92">
        <f t="shared" si="63"/>
        <v>1</v>
      </c>
      <c r="CK39" s="92">
        <f t="shared" si="64"/>
        <v>0</v>
      </c>
      <c r="CL39" s="86">
        <f t="shared" si="65"/>
        <v>9745.875</v>
      </c>
      <c r="CM39" s="86">
        <f t="shared" si="32"/>
        <v>2827532.5919802678</v>
      </c>
      <c r="CN39" s="97">
        <f t="shared" si="33"/>
        <v>0.9</v>
      </c>
      <c r="CO39" s="554">
        <f t="shared" si="34"/>
        <v>60096</v>
      </c>
      <c r="CP39" s="153"/>
      <c r="CQ39" s="153">
        <f t="shared" si="35"/>
        <v>10038.25</v>
      </c>
      <c r="CR39" s="353"/>
      <c r="CS39" s="391" t="str">
        <f>VLOOKUP(A39,Characteristics!A32:M115,13,FALSE)</f>
        <v>SCH</v>
      </c>
      <c r="CT39" s="206">
        <f>VLOOKUP(A39,Characteristics!A32:C115,3,FALSE)</f>
        <v>1</v>
      </c>
      <c r="CU39" s="557" t="str">
        <f t="shared" si="66"/>
        <v/>
      </c>
      <c r="CV39" s="557">
        <f t="shared" si="67"/>
        <v>10038.25</v>
      </c>
    </row>
    <row r="40" spans="1:100" s="125" customFormat="1" x14ac:dyDescent="0.3">
      <c r="A40" s="199">
        <v>60100</v>
      </c>
      <c r="B40" s="139"/>
      <c r="C40" s="558">
        <f>VLOOKUP($A40,'Fed Bs Rt+IME+GME+VBP+RAA+HAC'!$B$5:$AG$88,19,FALSE)</f>
        <v>6918.4759729999996</v>
      </c>
      <c r="D40" s="458">
        <f>VLOOKUP($A40,'Fed Bs Rt+IME+GME+VBP+RAA+HAC'!$B$5:$AG$88,25,FALSE)</f>
        <v>298.28095421963002</v>
      </c>
      <c r="E40" s="458">
        <f>VLOOKUP($A40,'Fed Bs Rt+IME+GME+VBP+RAA+HAC'!$B$5:$AG$88,29,FALSE)</f>
        <v>-10.931810900000224</v>
      </c>
      <c r="F40" s="458">
        <f>VLOOKUP($A40,'Fed Bs Rt+IME+GME+VBP+RAA+HAC'!$B$5:$AG$88,27,FALSE)</f>
        <v>0</v>
      </c>
      <c r="G40" s="458">
        <f>VLOOKUP($A40,'Fed Bs Rt+IME+GME+VBP+RAA+HAC'!$B$5:$AG$88,32,FALSE)</f>
        <v>0</v>
      </c>
      <c r="H40" s="205">
        <f t="shared" si="36"/>
        <v>287.34914331962977</v>
      </c>
      <c r="I40" s="458">
        <f>VLOOKUP(A40,'Fed Bs Rt+IME+GME+VBP+RAA+HAC'!$B$5:$U$88,20,FALSE)</f>
        <v>31.655727907241086</v>
      </c>
      <c r="J40" s="459">
        <f>IF(Characteristics!M33="CAH",+C40*J$4,0)</f>
        <v>0</v>
      </c>
      <c r="K40" s="459">
        <f>IF(OR(Characteristics!M33="SCH",Characteristics!M33="MDH"),+C40*K$4,0)</f>
        <v>0</v>
      </c>
      <c r="L40" s="460">
        <f>IF(OR(J40&gt;0,K40&gt;0,M40&gt;0),0,IF(VLOOKUP(A40,Characteristics!A:H,8,FALSE)&lt;=L$6,L$4*C40,IF(VLOOKUP(A40,Characteristics!A:H,8,FALSE)&gt;=L$5,0,(VLOOKUP(A40,Characteristics!A:H,8,FALSE)-L$5)/(L$6-L$5)*L$4*C40)))</f>
        <v>0</v>
      </c>
      <c r="M40" s="541">
        <f>IF(VLOOKUP($A40,Characteristics!$A:$E,3,FALSE)=2,M$4*C40,0)</f>
        <v>0</v>
      </c>
      <c r="N40" s="461">
        <f>IF(VLOOKUP($A40,Characteristics!$A:$K,6,FALSE)&gt;=N$5,N$4*C40,IF(VLOOKUP($A40,Characteristics!$A:$K,6,FALSE)&lt;=N$6,0,(VLOOKUP($A40,Characteristics!$A:$K,6,FALSE)-N$6)/(N$5-N$6)*N$4*C40))</f>
        <v>0</v>
      </c>
      <c r="O40" s="461">
        <f>IF(VLOOKUP($A40,Characteristics!$A:$K,11,FALSE)&lt;=O$6,O$4*C40,IF(VLOOKUP($A40,Characteristics!$A:$K,11,FALSE)&gt;=O$5,0,(VLOOKUP($A40,Characteristics!$A:$K,11,FALSE)-O$5)/(O$6-O$5)*O$4*C40))</f>
        <v>0</v>
      </c>
      <c r="P40" s="205">
        <f t="shared" si="37"/>
        <v>7237.4808442268704</v>
      </c>
      <c r="Q40" s="205"/>
      <c r="R40" s="86">
        <v>5397.84</v>
      </c>
      <c r="S40" s="87">
        <f t="shared" si="0"/>
        <v>5505.8</v>
      </c>
      <c r="T40" s="471"/>
      <c r="U40" s="86">
        <f t="shared" si="38"/>
        <v>42309195.714838378</v>
      </c>
      <c r="V40" s="89">
        <v>5062.6766000000007</v>
      </c>
      <c r="W40" s="90">
        <v>1.5178685141255122</v>
      </c>
      <c r="X40" s="91">
        <f t="shared" si="1"/>
        <v>55616258.040754899</v>
      </c>
      <c r="Y40" s="196"/>
      <c r="Z40" s="86">
        <f t="shared" si="39"/>
        <v>5505.8</v>
      </c>
      <c r="AA40" s="86">
        <f t="shared" si="40"/>
        <v>4955.22</v>
      </c>
      <c r="AB40" s="86">
        <f t="shared" si="41"/>
        <v>6056.380000000001</v>
      </c>
      <c r="AC40" s="469"/>
      <c r="AD40" s="100"/>
      <c r="AE40" s="86">
        <f t="shared" si="42"/>
        <v>5796.0692474987991</v>
      </c>
      <c r="AF40" s="86">
        <f t="shared" si="2"/>
        <v>44539763.189578749</v>
      </c>
      <c r="AG40" s="92">
        <f t="shared" si="43"/>
        <v>0</v>
      </c>
      <c r="AH40" s="92">
        <f t="shared" si="44"/>
        <v>0</v>
      </c>
      <c r="AI40" s="86">
        <f t="shared" si="45"/>
        <v>5796.0692474987991</v>
      </c>
      <c r="AJ40" s="201"/>
      <c r="AK40" s="86">
        <f t="shared" si="3"/>
        <v>44539763.189578749</v>
      </c>
      <c r="AL40" s="93">
        <f t="shared" si="4"/>
        <v>55616258.040754899</v>
      </c>
      <c r="AM40" s="93">
        <f t="shared" si="5"/>
        <v>42309195.714838378</v>
      </c>
      <c r="AN40" s="94">
        <f t="shared" si="46"/>
        <v>0</v>
      </c>
      <c r="AO40" s="95"/>
      <c r="AP40" s="86">
        <f t="shared" si="47"/>
        <v>5776.4842143125179</v>
      </c>
      <c r="AQ40" s="86">
        <f t="shared" si="6"/>
        <v>44389262.444517188</v>
      </c>
      <c r="AR40" s="92">
        <f t="shared" si="48"/>
        <v>0</v>
      </c>
      <c r="AS40" s="92">
        <f t="shared" si="49"/>
        <v>0</v>
      </c>
      <c r="AT40" s="86">
        <f t="shared" si="50"/>
        <v>5776.4842143125179</v>
      </c>
      <c r="AU40" s="86">
        <f t="shared" si="7"/>
        <v>44389262.444517188</v>
      </c>
      <c r="AV40" s="93">
        <f t="shared" si="8"/>
        <v>55616258.040754899</v>
      </c>
      <c r="AW40" s="93">
        <f t="shared" si="9"/>
        <v>42309195.714838378</v>
      </c>
      <c r="AX40" s="94">
        <f t="shared" si="10"/>
        <v>0</v>
      </c>
      <c r="AY40" s="92">
        <f t="shared" si="11"/>
        <v>0</v>
      </c>
      <c r="AZ40" s="95"/>
      <c r="BA40" s="86">
        <f t="shared" si="51"/>
        <v>5783.5330158838597</v>
      </c>
      <c r="BB40" s="86">
        <f t="shared" si="12"/>
        <v>44443428.800948031</v>
      </c>
      <c r="BC40" s="92">
        <f t="shared" si="52"/>
        <v>0</v>
      </c>
      <c r="BD40" s="92">
        <f t="shared" si="53"/>
        <v>0</v>
      </c>
      <c r="BE40" s="86">
        <f t="shared" si="54"/>
        <v>5783.5330158838597</v>
      </c>
      <c r="BF40" s="86">
        <f t="shared" si="13"/>
        <v>44443428.800948031</v>
      </c>
      <c r="BG40" s="96">
        <f t="shared" si="14"/>
        <v>55616258.040754899</v>
      </c>
      <c r="BH40" s="96">
        <f t="shared" si="15"/>
        <v>42309195.714838378</v>
      </c>
      <c r="BI40" s="94">
        <f t="shared" si="16"/>
        <v>0</v>
      </c>
      <c r="BJ40" s="92">
        <f t="shared" si="17"/>
        <v>0</v>
      </c>
      <c r="BK40" s="95"/>
      <c r="BL40" s="86">
        <f t="shared" si="55"/>
        <v>5783.5330888672033</v>
      </c>
      <c r="BM40" s="86">
        <f t="shared" si="18"/>
        <v>44443429.361786887</v>
      </c>
      <c r="BN40" s="92">
        <f t="shared" si="56"/>
        <v>0</v>
      </c>
      <c r="BO40" s="92">
        <f t="shared" si="57"/>
        <v>0</v>
      </c>
      <c r="BP40" s="86">
        <f t="shared" si="58"/>
        <v>5783.5330888672033</v>
      </c>
      <c r="BQ40" s="86">
        <f t="shared" si="19"/>
        <v>44443429.361786887</v>
      </c>
      <c r="BR40" s="93">
        <f t="shared" si="20"/>
        <v>55616258.040754899</v>
      </c>
      <c r="BS40" s="93">
        <f t="shared" si="21"/>
        <v>42309195.714838378</v>
      </c>
      <c r="BT40" s="94">
        <f t="shared" si="22"/>
        <v>0</v>
      </c>
      <c r="BU40" s="92">
        <f t="shared" si="23"/>
        <v>0</v>
      </c>
      <c r="BV40" s="95"/>
      <c r="BW40" s="86">
        <f t="shared" si="59"/>
        <v>5783.5330888672033</v>
      </c>
      <c r="BX40" s="86">
        <f t="shared" si="24"/>
        <v>44443429.361786887</v>
      </c>
      <c r="BY40" s="92">
        <f t="shared" si="60"/>
        <v>0</v>
      </c>
      <c r="BZ40" s="92">
        <f t="shared" si="61"/>
        <v>0</v>
      </c>
      <c r="CA40" s="86">
        <f t="shared" si="62"/>
        <v>5783.5330888672033</v>
      </c>
      <c r="CB40" s="86">
        <f t="shared" si="25"/>
        <v>44443429.361786887</v>
      </c>
      <c r="CC40" s="96">
        <f t="shared" si="26"/>
        <v>55616258.040754899</v>
      </c>
      <c r="CD40" s="96">
        <f t="shared" si="27"/>
        <v>42309195.714838378</v>
      </c>
      <c r="CE40" s="94">
        <f t="shared" si="28"/>
        <v>0</v>
      </c>
      <c r="CF40" s="92">
        <f t="shared" si="29"/>
        <v>0</v>
      </c>
      <c r="CG40" s="67"/>
      <c r="CH40" s="86">
        <f t="shared" si="30"/>
        <v>5783.5330888672033</v>
      </c>
      <c r="CI40" s="86">
        <f t="shared" si="31"/>
        <v>44443429.361786887</v>
      </c>
      <c r="CJ40" s="92">
        <f t="shared" si="63"/>
        <v>0</v>
      </c>
      <c r="CK40" s="92">
        <f t="shared" si="64"/>
        <v>0</v>
      </c>
      <c r="CL40" s="86">
        <f t="shared" si="65"/>
        <v>5783.5330888672033</v>
      </c>
      <c r="CM40" s="86">
        <f t="shared" si="32"/>
        <v>44443429.361786887</v>
      </c>
      <c r="CN40" s="97">
        <f t="shared" si="33"/>
        <v>1.0504437300423559</v>
      </c>
      <c r="CO40" s="554">
        <f t="shared" si="34"/>
        <v>60100</v>
      </c>
      <c r="CP40" s="153"/>
      <c r="CQ40" s="153">
        <f t="shared" si="35"/>
        <v>5957.04</v>
      </c>
      <c r="CR40" s="353"/>
      <c r="CS40" s="391" t="str">
        <f>VLOOKUP(A40,Characteristics!A33:M116,13,FALSE)</f>
        <v/>
      </c>
      <c r="CT40" s="206">
        <f>VLOOKUP(A40,Characteristics!A33:C116,3,FALSE)</f>
        <v>0</v>
      </c>
      <c r="CU40" s="557">
        <f t="shared" si="66"/>
        <v>5957.04</v>
      </c>
      <c r="CV40" s="557" t="str">
        <f t="shared" si="67"/>
        <v/>
      </c>
    </row>
    <row r="41" spans="1:100" s="125" customFormat="1" x14ac:dyDescent="0.3">
      <c r="A41" s="199">
        <v>60103</v>
      </c>
      <c r="B41" s="139"/>
      <c r="C41" s="558">
        <f>VLOOKUP($A41,'Fed Bs Rt+IME+GME+VBP+RAA+HAC'!$B$5:$AG$88,19,FALSE)</f>
        <v>6918.4759729999996</v>
      </c>
      <c r="D41" s="458">
        <f>VLOOKUP($A41,'Fed Bs Rt+IME+GME+VBP+RAA+HAC'!$B$5:$AG$88,25,FALSE)</f>
        <v>0</v>
      </c>
      <c r="E41" s="458">
        <f>VLOOKUP($A41,'Fed Bs Rt+IME+GME+VBP+RAA+HAC'!$B$5:$AG$88,29,FALSE)</f>
        <v>0</v>
      </c>
      <c r="F41" s="458">
        <f>VLOOKUP($A41,'Fed Bs Rt+IME+GME+VBP+RAA+HAC'!$B$5:$AG$88,27,FALSE)</f>
        <v>0</v>
      </c>
      <c r="G41" s="458">
        <f>VLOOKUP($A41,'Fed Bs Rt+IME+GME+VBP+RAA+HAC'!$B$5:$AG$88,32,FALSE)</f>
        <v>0</v>
      </c>
      <c r="H41" s="205">
        <f t="shared" si="36"/>
        <v>0</v>
      </c>
      <c r="I41" s="458">
        <f>VLOOKUP(A41,'Fed Bs Rt+IME+GME+VBP+RAA+HAC'!$B$5:$U$88,20,FALSE)</f>
        <v>0</v>
      </c>
      <c r="J41" s="459">
        <f>IF(Characteristics!M34="CAH",+C41*J$4,0)</f>
        <v>0</v>
      </c>
      <c r="K41" s="459">
        <f>IF(OR(Characteristics!M34="SCH",Characteristics!M34="MDH"),+C41*K$4,0)</f>
        <v>0</v>
      </c>
      <c r="L41" s="460">
        <f>IF(OR(J41&gt;0,K41&gt;0,M41&gt;0),0,IF(VLOOKUP(A41,Characteristics!A:H,8,FALSE)&lt;=L$6,L$4*C41,IF(VLOOKUP(A41,Characteristics!A:H,8,FALSE)&gt;=L$5,0,(VLOOKUP(A41,Characteristics!A:H,8,FALSE)-L$5)/(L$6-L$5)*L$4*C41)))</f>
        <v>0</v>
      </c>
      <c r="M41" s="541">
        <f>IF(VLOOKUP($A41,Characteristics!$A:$E,3,FALSE)=2,M$4*C41,0)</f>
        <v>0</v>
      </c>
      <c r="N41" s="461">
        <f>IF(VLOOKUP($A41,Characteristics!$A:$K,6,FALSE)&gt;=N$5,N$4*C41,IF(VLOOKUP($A41,Characteristics!$A:$K,6,FALSE)&lt;=N$6,0,(VLOOKUP($A41,Characteristics!$A:$K,6,FALSE)-N$6)/(N$5-N$6)*N$4*C41))</f>
        <v>0</v>
      </c>
      <c r="O41" s="461">
        <f>IF(VLOOKUP($A41,Characteristics!$A:$K,11,FALSE)&lt;=O$6,O$4*C41,IF(VLOOKUP($A41,Characteristics!$A:$K,11,FALSE)&gt;=O$5,0,(VLOOKUP($A41,Characteristics!$A:$K,11,FALSE)-O$5)/(O$6-O$5)*O$4*C41))</f>
        <v>0</v>
      </c>
      <c r="P41" s="205">
        <f t="shared" si="37"/>
        <v>6918.4759729999996</v>
      </c>
      <c r="Q41" s="205"/>
      <c r="R41" s="86">
        <v>5731.47</v>
      </c>
      <c r="S41" s="87">
        <f t="shared" ref="S41:S72" si="68">ROUND((R41*S$7),2)</f>
        <v>5846.1</v>
      </c>
      <c r="T41" s="471"/>
      <c r="U41" s="86">
        <f t="shared" ref="U41:U72" si="69">S41*V41*W41</f>
        <v>7976317.1722287321</v>
      </c>
      <c r="V41" s="89">
        <v>2035.1152000000002</v>
      </c>
      <c r="W41" s="90">
        <v>0.6704203326180258</v>
      </c>
      <c r="X41" s="91">
        <f t="shared" ref="X41:X72" si="70">P41*V41*W41</f>
        <v>9439448.3004210982</v>
      </c>
      <c r="Y41" s="196"/>
      <c r="Z41" s="86">
        <f t="shared" si="39"/>
        <v>5846.1</v>
      </c>
      <c r="AA41" s="86">
        <f t="shared" si="40"/>
        <v>5261.4900000000007</v>
      </c>
      <c r="AB41" s="86">
        <f t="shared" si="41"/>
        <v>6430.7100000000009</v>
      </c>
      <c r="AC41" s="469"/>
      <c r="AD41" s="100"/>
      <c r="AE41" s="86">
        <f t="shared" si="42"/>
        <v>5540.5971621536264</v>
      </c>
      <c r="AF41" s="86">
        <f t="shared" ref="AF41:AF72" si="71">AE41*$V41*$W41</f>
        <v>7559494.4131793417</v>
      </c>
      <c r="AG41" s="92">
        <f t="shared" si="43"/>
        <v>0</v>
      </c>
      <c r="AH41" s="92">
        <f t="shared" si="44"/>
        <v>0</v>
      </c>
      <c r="AI41" s="86">
        <f t="shared" si="45"/>
        <v>5540.5971621536264</v>
      </c>
      <c r="AJ41" s="201"/>
      <c r="AK41" s="86">
        <f t="shared" ref="AK41:AK72" si="72">AI41*$V41*$W41</f>
        <v>7559494.4131793417</v>
      </c>
      <c r="AL41" s="93">
        <f t="shared" ref="AL41:AL72" si="73">IF(OR(AND(AG41=1,AK$93&gt;$U$93),AND(AH41=1,AK$93&lt;$U$93)),0,$X41)</f>
        <v>9439448.3004210982</v>
      </c>
      <c r="AM41" s="93">
        <f t="shared" si="5"/>
        <v>7976317.1722287321</v>
      </c>
      <c r="AN41" s="94">
        <f t="shared" si="46"/>
        <v>0</v>
      </c>
      <c r="AO41" s="95"/>
      <c r="AP41" s="86">
        <f t="shared" si="47"/>
        <v>5521.8753742213275</v>
      </c>
      <c r="AQ41" s="86">
        <f t="shared" ref="AQ41:AQ72" si="74">AP41*$V41*$W41</f>
        <v>7533950.7313095108</v>
      </c>
      <c r="AR41" s="92">
        <f t="shared" si="48"/>
        <v>0</v>
      </c>
      <c r="AS41" s="92">
        <f t="shared" si="49"/>
        <v>0</v>
      </c>
      <c r="AT41" s="86">
        <f t="shared" si="50"/>
        <v>5521.8753742213275</v>
      </c>
      <c r="AU41" s="86">
        <f t="shared" ref="AU41:AU72" si="75">AT41*$V41*$W41</f>
        <v>7533950.7313095108</v>
      </c>
      <c r="AV41" s="93">
        <f t="shared" ref="AV41:AV72" si="76">IF(OR(AND(AR41=1,AU$93&gt;$U$93),AND(AS41=1,AU$93&lt;$U$93),AN41=1),0,$X41)</f>
        <v>9439448.3004210982</v>
      </c>
      <c r="AW41" s="93">
        <f t="shared" si="9"/>
        <v>7976317.1722287321</v>
      </c>
      <c r="AX41" s="94">
        <f t="shared" si="10"/>
        <v>0</v>
      </c>
      <c r="AY41" s="92">
        <f t="shared" si="11"/>
        <v>0</v>
      </c>
      <c r="AZ41" s="95"/>
      <c r="BA41" s="86">
        <f t="shared" si="51"/>
        <v>5528.6134872967732</v>
      </c>
      <c r="BB41" s="86">
        <f t="shared" ref="BB41:BB72" si="77">BA41*$V41*$W41</f>
        <v>7543144.0956091452</v>
      </c>
      <c r="BC41" s="92">
        <f t="shared" si="52"/>
        <v>0</v>
      </c>
      <c r="BD41" s="92">
        <f t="shared" si="53"/>
        <v>0</v>
      </c>
      <c r="BE41" s="86">
        <f t="shared" si="54"/>
        <v>5528.6134872967732</v>
      </c>
      <c r="BF41" s="86">
        <f t="shared" ref="BF41:BF72" si="78">BE41*$V41*$W41</f>
        <v>7543144.0956091452</v>
      </c>
      <c r="BG41" s="96">
        <f t="shared" ref="BG41:BG72" si="79">IF(OR(AND(BC41=1,BF$93&gt;$U$93),AND(BD41=1,BF$93&lt;$U$93),AX41=1),0,$X41)</f>
        <v>9439448.3004210982</v>
      </c>
      <c r="BH41" s="96">
        <f t="shared" si="15"/>
        <v>7976317.1722287321</v>
      </c>
      <c r="BI41" s="94">
        <f t="shared" si="16"/>
        <v>0</v>
      </c>
      <c r="BJ41" s="92">
        <f t="shared" si="17"/>
        <v>0</v>
      </c>
      <c r="BK41" s="95"/>
      <c r="BL41" s="86">
        <f t="shared" si="55"/>
        <v>5528.613557063245</v>
      </c>
      <c r="BM41" s="86">
        <f t="shared" ref="BM41:BM72" si="80">BL41*$V41*$W41</f>
        <v>7543144.1907973057</v>
      </c>
      <c r="BN41" s="92">
        <f t="shared" si="56"/>
        <v>0</v>
      </c>
      <c r="BO41" s="92">
        <f t="shared" si="57"/>
        <v>0</v>
      </c>
      <c r="BP41" s="86">
        <f t="shared" si="58"/>
        <v>5528.613557063245</v>
      </c>
      <c r="BQ41" s="86">
        <f t="shared" ref="BQ41:BQ72" si="81">BP41*$V41*$W41</f>
        <v>7543144.1907973057</v>
      </c>
      <c r="BR41" s="93">
        <f t="shared" ref="BR41:BR72" si="82">IF(OR(AND(BN41=1,BQ$93&gt;$U$93),AND(BO41=1,BQ$93&lt;$U$93),BI41=1),0,$X41)</f>
        <v>9439448.3004210982</v>
      </c>
      <c r="BS41" s="93">
        <f t="shared" si="21"/>
        <v>7976317.1722287321</v>
      </c>
      <c r="BT41" s="94">
        <f t="shared" si="22"/>
        <v>0</v>
      </c>
      <c r="BU41" s="92">
        <f t="shared" si="23"/>
        <v>0</v>
      </c>
      <c r="BV41" s="95"/>
      <c r="BW41" s="86">
        <f t="shared" si="59"/>
        <v>5528.613557063245</v>
      </c>
      <c r="BX41" s="86">
        <f t="shared" ref="BX41:BX72" si="83">BW41*$V41*$W41</f>
        <v>7543144.1907973057</v>
      </c>
      <c r="BY41" s="92">
        <f t="shared" si="60"/>
        <v>0</v>
      </c>
      <c r="BZ41" s="92">
        <f t="shared" si="61"/>
        <v>0</v>
      </c>
      <c r="CA41" s="86">
        <f t="shared" si="62"/>
        <v>5528.613557063245</v>
      </c>
      <c r="CB41" s="86">
        <f t="shared" ref="CB41:CB72" si="84">CA41*$V41*$W41</f>
        <v>7543144.1907973057</v>
      </c>
      <c r="CC41" s="96">
        <f t="shared" ref="CC41:CC72" si="85">IF(OR(AND(BY41=1,CB$93&gt;$U$93),AND(BZ41=1,CB$93&lt;$U$93),BT41=1),0,$X41)</f>
        <v>9439448.3004210982</v>
      </c>
      <c r="CD41" s="96">
        <f t="shared" si="27"/>
        <v>7976317.1722287321</v>
      </c>
      <c r="CE41" s="94">
        <f t="shared" si="28"/>
        <v>0</v>
      </c>
      <c r="CF41" s="92">
        <f t="shared" si="29"/>
        <v>0</v>
      </c>
      <c r="CG41" s="67"/>
      <c r="CH41" s="86">
        <f t="shared" si="30"/>
        <v>5528.613557063245</v>
      </c>
      <c r="CI41" s="86">
        <f t="shared" ref="CI41:CI72" si="86">CH41*$V41*$W41</f>
        <v>7543144.1907973057</v>
      </c>
      <c r="CJ41" s="92">
        <f t="shared" si="63"/>
        <v>0</v>
      </c>
      <c r="CK41" s="92">
        <f t="shared" si="64"/>
        <v>0</v>
      </c>
      <c r="CL41" s="86">
        <f t="shared" si="65"/>
        <v>5528.613557063245</v>
      </c>
      <c r="CM41" s="86">
        <f t="shared" ref="CM41:CM72" si="87">CL41*$V41*$W41</f>
        <v>7543144.1907973057</v>
      </c>
      <c r="CN41" s="97">
        <f t="shared" si="33"/>
        <v>0.94569260824536783</v>
      </c>
      <c r="CO41" s="554">
        <f t="shared" ref="CO41:CO72" si="88">A41</f>
        <v>60103</v>
      </c>
      <c r="CP41" s="153"/>
      <c r="CQ41" s="153">
        <f t="shared" ref="CQ41:CQ72" si="89">ROUND(CL41*CQ$7,2)</f>
        <v>5694.47</v>
      </c>
      <c r="CR41" s="353"/>
      <c r="CS41" s="391" t="str">
        <f>VLOOKUP(A41,Characteristics!A34:M117,13,FALSE)</f>
        <v/>
      </c>
      <c r="CT41" s="206">
        <f>VLOOKUP(A41,Characteristics!A34:C117,3,FALSE)</f>
        <v>0</v>
      </c>
      <c r="CU41" s="557">
        <f t="shared" si="66"/>
        <v>5694.47</v>
      </c>
      <c r="CV41" s="557" t="str">
        <f t="shared" si="67"/>
        <v/>
      </c>
    </row>
    <row r="42" spans="1:100" s="125" customFormat="1" x14ac:dyDescent="0.3">
      <c r="A42" s="199">
        <v>60104</v>
      </c>
      <c r="B42" s="139"/>
      <c r="C42" s="558">
        <f>VLOOKUP($A42,'Fed Bs Rt+IME+GME+VBP+RAA+HAC'!$B$5:$AG$88,19,FALSE)</f>
        <v>6918.4759729999996</v>
      </c>
      <c r="D42" s="458">
        <f>VLOOKUP($A42,'Fed Bs Rt+IME+GME+VBP+RAA+HAC'!$B$5:$AG$88,25,FALSE)</f>
        <v>821.22015442246095</v>
      </c>
      <c r="E42" s="458">
        <f>VLOOKUP($A42,'Fed Bs Rt+IME+GME+VBP+RAA+HAC'!$B$5:$AG$88,29,FALSE)</f>
        <v>-13.504001699999939</v>
      </c>
      <c r="F42" s="458">
        <f>VLOOKUP($A42,'Fed Bs Rt+IME+GME+VBP+RAA+HAC'!$B$5:$AG$88,27,FALSE)</f>
        <v>0</v>
      </c>
      <c r="G42" s="458">
        <f>VLOOKUP($A42,'Fed Bs Rt+IME+GME+VBP+RAA+HAC'!$B$5:$AG$88,32,FALSE)</f>
        <v>0</v>
      </c>
      <c r="H42" s="205">
        <f t="shared" si="36"/>
        <v>807.71615272246106</v>
      </c>
      <c r="I42" s="458">
        <f>VLOOKUP(A42,'Fed Bs Rt+IME+GME+VBP+RAA+HAC'!$B$5:$U$88,20,FALSE)</f>
        <v>13.084188875956711</v>
      </c>
      <c r="J42" s="459">
        <f>IF(Characteristics!M35="CAH",+C42*J$4,0)</f>
        <v>0</v>
      </c>
      <c r="K42" s="459">
        <f>IF(OR(Characteristics!M35="SCH",Characteristics!M35="MDH"),+C42*K$4,0)</f>
        <v>0</v>
      </c>
      <c r="L42" s="460">
        <f>IF(OR(J42&gt;0,K42&gt;0,M42&gt;0),0,IF(VLOOKUP(A42,Characteristics!A:H,8,FALSE)&lt;=L$6,L$4*C42,IF(VLOOKUP(A42,Characteristics!A:H,8,FALSE)&gt;=L$5,0,(VLOOKUP(A42,Characteristics!A:H,8,FALSE)-L$5)/(L$6-L$5)*L$4*C42)))</f>
        <v>0</v>
      </c>
      <c r="M42" s="541">
        <f>IF(VLOOKUP($A42,Characteristics!$A:$E,3,FALSE)=2,M$4*C42,0)</f>
        <v>0</v>
      </c>
      <c r="N42" s="461">
        <f>IF(VLOOKUP($A42,Characteristics!$A:$K,6,FALSE)&gt;=N$5,N$4*C42,IF(VLOOKUP($A42,Characteristics!$A:$K,6,FALSE)&lt;=N$6,0,(VLOOKUP($A42,Characteristics!$A:$K,6,FALSE)-N$6)/(N$5-N$6)*N$4*C42))</f>
        <v>0</v>
      </c>
      <c r="O42" s="461">
        <f>IF(VLOOKUP($A42,Characteristics!$A:$K,11,FALSE)&lt;=O$6,O$4*C42,IF(VLOOKUP($A42,Characteristics!$A:$K,11,FALSE)&gt;=O$5,0,(VLOOKUP($A42,Characteristics!$A:$K,11,FALSE)-O$5)/(O$6-O$5)*O$4*C42))</f>
        <v>0</v>
      </c>
      <c r="P42" s="205">
        <f t="shared" si="37"/>
        <v>7739.2763145984172</v>
      </c>
      <c r="Q42" s="205"/>
      <c r="R42" s="86">
        <v>6356.44</v>
      </c>
      <c r="S42" s="87">
        <f t="shared" si="68"/>
        <v>6483.57</v>
      </c>
      <c r="T42" s="471"/>
      <c r="U42" s="86">
        <f t="shared" si="69"/>
        <v>24290731.221703332</v>
      </c>
      <c r="V42" s="89">
        <v>3148.7512000000002</v>
      </c>
      <c r="W42" s="90">
        <v>1.1898385575589459</v>
      </c>
      <c r="X42" s="91">
        <f t="shared" si="70"/>
        <v>28995241.943621323</v>
      </c>
      <c r="Y42" s="196"/>
      <c r="Z42" s="86">
        <f t="shared" si="39"/>
        <v>6483.57</v>
      </c>
      <c r="AA42" s="86">
        <f t="shared" si="40"/>
        <v>5835.2129999999997</v>
      </c>
      <c r="AB42" s="86">
        <f t="shared" si="41"/>
        <v>7131.9270000000006</v>
      </c>
      <c r="AC42" s="469"/>
      <c r="AD42" s="98"/>
      <c r="AE42" s="86">
        <f t="shared" si="42"/>
        <v>6197.9274847713295</v>
      </c>
      <c r="AF42" s="86">
        <f t="shared" si="71"/>
        <v>23220569.942822885</v>
      </c>
      <c r="AG42" s="92">
        <f t="shared" si="43"/>
        <v>0</v>
      </c>
      <c r="AH42" s="92">
        <f t="shared" si="44"/>
        <v>0</v>
      </c>
      <c r="AI42" s="86">
        <f t="shared" si="45"/>
        <v>6197.9274847713295</v>
      </c>
      <c r="AJ42" s="201"/>
      <c r="AK42" s="86">
        <f t="shared" si="72"/>
        <v>23220569.942822885</v>
      </c>
      <c r="AL42" s="93">
        <f t="shared" si="73"/>
        <v>28995241.943621323</v>
      </c>
      <c r="AM42" s="93">
        <f t="shared" si="5"/>
        <v>24290731.221703332</v>
      </c>
      <c r="AN42" s="94">
        <f t="shared" si="46"/>
        <v>0</v>
      </c>
      <c r="AO42" s="95"/>
      <c r="AP42" s="86">
        <f t="shared" si="47"/>
        <v>6176.9845646142267</v>
      </c>
      <c r="AQ42" s="86">
        <f t="shared" si="74"/>
        <v>23142107.175468821</v>
      </c>
      <c r="AR42" s="92">
        <f t="shared" si="48"/>
        <v>0</v>
      </c>
      <c r="AS42" s="92">
        <f t="shared" si="49"/>
        <v>0</v>
      </c>
      <c r="AT42" s="86">
        <f t="shared" si="50"/>
        <v>6176.9845646142267</v>
      </c>
      <c r="AU42" s="86">
        <f t="shared" si="75"/>
        <v>23142107.175468821</v>
      </c>
      <c r="AV42" s="93">
        <f t="shared" si="76"/>
        <v>28995241.943621323</v>
      </c>
      <c r="AW42" s="93">
        <f t="shared" si="9"/>
        <v>24290731.221703332</v>
      </c>
      <c r="AX42" s="94">
        <f t="shared" si="10"/>
        <v>0</v>
      </c>
      <c r="AY42" s="92">
        <f t="shared" si="11"/>
        <v>0</v>
      </c>
      <c r="AZ42" s="95"/>
      <c r="BA42" s="86">
        <f t="shared" si="51"/>
        <v>6184.522079976482</v>
      </c>
      <c r="BB42" s="86">
        <f t="shared" si="77"/>
        <v>23170346.518877469</v>
      </c>
      <c r="BC42" s="92">
        <f t="shared" si="52"/>
        <v>0</v>
      </c>
      <c r="BD42" s="92">
        <f t="shared" si="53"/>
        <v>0</v>
      </c>
      <c r="BE42" s="86">
        <f t="shared" si="54"/>
        <v>6184.522079976482</v>
      </c>
      <c r="BF42" s="86">
        <f t="shared" si="78"/>
        <v>23170346.518877469</v>
      </c>
      <c r="BG42" s="96">
        <f t="shared" si="79"/>
        <v>28995241.943621323</v>
      </c>
      <c r="BH42" s="96">
        <f t="shared" si="15"/>
        <v>24290731.221703332</v>
      </c>
      <c r="BI42" s="94">
        <f t="shared" si="16"/>
        <v>0</v>
      </c>
      <c r="BJ42" s="92">
        <f t="shared" si="17"/>
        <v>0</v>
      </c>
      <c r="BK42" s="95"/>
      <c r="BL42" s="86">
        <f t="shared" si="55"/>
        <v>6184.5221580199714</v>
      </c>
      <c r="BM42" s="86">
        <f t="shared" si="80"/>
        <v>23170346.811267838</v>
      </c>
      <c r="BN42" s="92">
        <f t="shared" si="56"/>
        <v>0</v>
      </c>
      <c r="BO42" s="92">
        <f t="shared" si="57"/>
        <v>0</v>
      </c>
      <c r="BP42" s="86">
        <f t="shared" si="58"/>
        <v>6184.5221580199714</v>
      </c>
      <c r="BQ42" s="86">
        <f t="shared" si="81"/>
        <v>23170346.811267838</v>
      </c>
      <c r="BR42" s="93">
        <f t="shared" si="82"/>
        <v>28995241.943621323</v>
      </c>
      <c r="BS42" s="93">
        <f t="shared" si="21"/>
        <v>24290731.221703332</v>
      </c>
      <c r="BT42" s="94">
        <f t="shared" si="22"/>
        <v>0</v>
      </c>
      <c r="BU42" s="92">
        <f t="shared" si="23"/>
        <v>0</v>
      </c>
      <c r="BV42" s="95"/>
      <c r="BW42" s="86">
        <f t="shared" si="59"/>
        <v>6184.5221580199714</v>
      </c>
      <c r="BX42" s="86">
        <f t="shared" si="83"/>
        <v>23170346.811267838</v>
      </c>
      <c r="BY42" s="92">
        <f t="shared" si="60"/>
        <v>0</v>
      </c>
      <c r="BZ42" s="92">
        <f t="shared" si="61"/>
        <v>0</v>
      </c>
      <c r="CA42" s="86">
        <f t="shared" si="62"/>
        <v>6184.5221580199714</v>
      </c>
      <c r="CB42" s="86">
        <f t="shared" si="84"/>
        <v>23170346.811267838</v>
      </c>
      <c r="CC42" s="96">
        <f t="shared" si="85"/>
        <v>28995241.943621323</v>
      </c>
      <c r="CD42" s="96">
        <f t="shared" si="27"/>
        <v>24290731.221703332</v>
      </c>
      <c r="CE42" s="94">
        <f t="shared" si="28"/>
        <v>0</v>
      </c>
      <c r="CF42" s="92">
        <f t="shared" si="29"/>
        <v>0</v>
      </c>
      <c r="CG42" s="67"/>
      <c r="CH42" s="86">
        <f t="shared" si="30"/>
        <v>6184.5221580199714</v>
      </c>
      <c r="CI42" s="86">
        <f t="shared" si="86"/>
        <v>23170346.811267838</v>
      </c>
      <c r="CJ42" s="92">
        <f t="shared" si="63"/>
        <v>0</v>
      </c>
      <c r="CK42" s="92">
        <f t="shared" si="64"/>
        <v>0</v>
      </c>
      <c r="CL42" s="86">
        <f t="shared" si="65"/>
        <v>6184.5221580199714</v>
      </c>
      <c r="CM42" s="86">
        <f t="shared" si="87"/>
        <v>23170346.811267838</v>
      </c>
      <c r="CN42" s="97">
        <f t="shared" si="33"/>
        <v>0.95387605254820595</v>
      </c>
      <c r="CO42" s="554">
        <f t="shared" si="88"/>
        <v>60104</v>
      </c>
      <c r="CP42" s="153"/>
      <c r="CQ42" s="153">
        <f t="shared" si="89"/>
        <v>6370.06</v>
      </c>
      <c r="CR42" s="353"/>
      <c r="CS42" s="391" t="str">
        <f>VLOOKUP(A42,Characteristics!A35:M118,13,FALSE)</f>
        <v/>
      </c>
      <c r="CT42" s="206">
        <f>VLOOKUP(A42,Characteristics!A35:C118,3,FALSE)</f>
        <v>0</v>
      </c>
      <c r="CU42" s="557">
        <f t="shared" si="66"/>
        <v>6370.06</v>
      </c>
      <c r="CV42" s="557" t="str">
        <f t="shared" si="67"/>
        <v/>
      </c>
    </row>
    <row r="43" spans="1:100" s="125" customFormat="1" x14ac:dyDescent="0.3">
      <c r="A43" s="199">
        <v>60107</v>
      </c>
      <c r="B43" s="139"/>
      <c r="C43" s="558">
        <f>VLOOKUP($A43,'Fed Bs Rt+IME+GME+VBP+RAA+HAC'!$B$5:$AG$88,19,FALSE)</f>
        <v>6918.4759729999996</v>
      </c>
      <c r="D43" s="458">
        <f>VLOOKUP($A43,'Fed Bs Rt+IME+GME+VBP+RAA+HAC'!$B$5:$AG$88,25,FALSE)</f>
        <v>0</v>
      </c>
      <c r="E43" s="458">
        <f>VLOOKUP($A43,'Fed Bs Rt+IME+GME+VBP+RAA+HAC'!$B$5:$AG$88,29,FALSE)</f>
        <v>0</v>
      </c>
      <c r="F43" s="458">
        <f>VLOOKUP($A43,'Fed Bs Rt+IME+GME+VBP+RAA+HAC'!$B$5:$AG$88,27,FALSE)</f>
        <v>0</v>
      </c>
      <c r="G43" s="458">
        <f>VLOOKUP($A43,'Fed Bs Rt+IME+GME+VBP+RAA+HAC'!$B$5:$AG$88,32,FALSE)</f>
        <v>0</v>
      </c>
      <c r="H43" s="205">
        <f t="shared" si="36"/>
        <v>0</v>
      </c>
      <c r="I43" s="458">
        <f>VLOOKUP(A43,'Fed Bs Rt+IME+GME+VBP+RAA+HAC'!$B$5:$U$88,20,FALSE)</f>
        <v>109.82362709414379</v>
      </c>
      <c r="J43" s="459">
        <f>IF(Characteristics!M36="CAH",+C43*J$4,0)</f>
        <v>0</v>
      </c>
      <c r="K43" s="459">
        <f>IF(OR(Characteristics!M36="SCH",Characteristics!M36="MDH"),+C43*K$4,0)</f>
        <v>0</v>
      </c>
      <c r="L43" s="460">
        <f>IF(OR(J43&gt;0,K43&gt;0,M43&gt;0),0,IF(VLOOKUP(A43,Characteristics!A:H,8,FALSE)&lt;=L$6,L$4*C43,IF(VLOOKUP(A43,Characteristics!A:H,8,FALSE)&gt;=L$5,0,(VLOOKUP(A43,Characteristics!A:H,8,FALSE)-L$5)/(L$6-L$5)*L$4*C43)))</f>
        <v>691.84759729999996</v>
      </c>
      <c r="M43" s="541">
        <f>IF(VLOOKUP($A43,Characteristics!$A:$E,3,FALSE)=2,M$4*C43,0)</f>
        <v>0</v>
      </c>
      <c r="N43" s="461">
        <f>IF(VLOOKUP($A43,Characteristics!$A:$K,6,FALSE)&gt;=N$5,N$4*C43,IF(VLOOKUP($A43,Characteristics!$A:$K,6,FALSE)&lt;=N$6,0,(VLOOKUP($A43,Characteristics!$A:$K,6,FALSE)-N$6)/(N$5-N$6)*N$4*C43))</f>
        <v>0</v>
      </c>
      <c r="O43" s="461">
        <f>IF(VLOOKUP($A43,Characteristics!$A:$K,11,FALSE)&lt;=O$6,O$4*C43,IF(VLOOKUP($A43,Characteristics!$A:$K,11,FALSE)&gt;=O$5,0,(VLOOKUP($A43,Characteristics!$A:$K,11,FALSE)-O$5)/(O$6-O$5)*O$4*C43))</f>
        <v>1108.1515137564429</v>
      </c>
      <c r="P43" s="205">
        <f t="shared" si="37"/>
        <v>8828.2987111505863</v>
      </c>
      <c r="Q43" s="205"/>
      <c r="R43" s="86">
        <v>6081.33</v>
      </c>
      <c r="S43" s="87">
        <f t="shared" si="68"/>
        <v>6202.96</v>
      </c>
      <c r="T43" s="471"/>
      <c r="U43" s="86">
        <f t="shared" si="69"/>
        <v>143682.39880695651</v>
      </c>
      <c r="V43" s="89">
        <v>30</v>
      </c>
      <c r="W43" s="90">
        <v>0.77211739130434787</v>
      </c>
      <c r="X43" s="91">
        <f t="shared" si="70"/>
        <v>204494.48911527381</v>
      </c>
      <c r="Y43" s="196"/>
      <c r="Z43" s="86">
        <f t="shared" si="39"/>
        <v>6202.96</v>
      </c>
      <c r="AA43" s="86">
        <f t="shared" si="40"/>
        <v>5582.6639999999998</v>
      </c>
      <c r="AB43" s="86">
        <f t="shared" si="41"/>
        <v>6823.2560000000003</v>
      </c>
      <c r="AC43" s="469"/>
      <c r="AD43" s="100"/>
      <c r="AE43" s="86">
        <f t="shared" si="42"/>
        <v>7070.060946447903</v>
      </c>
      <c r="AF43" s="86">
        <f t="shared" si="71"/>
        <v>163767.5104300231</v>
      </c>
      <c r="AG43" s="92">
        <f t="shared" si="43"/>
        <v>0</v>
      </c>
      <c r="AH43" s="92">
        <f t="shared" si="44"/>
        <v>1</v>
      </c>
      <c r="AI43" s="86">
        <f t="shared" si="45"/>
        <v>6823.2560000000003</v>
      </c>
      <c r="AJ43" s="201"/>
      <c r="AK43" s="86">
        <f t="shared" si="72"/>
        <v>158050.63868765219</v>
      </c>
      <c r="AL43" s="93">
        <f t="shared" si="73"/>
        <v>204494.48911527381</v>
      </c>
      <c r="AM43" s="93">
        <f t="shared" si="5"/>
        <v>143682.39880695651</v>
      </c>
      <c r="AN43" s="94">
        <f t="shared" si="46"/>
        <v>0</v>
      </c>
      <c r="AO43" s="95"/>
      <c r="AP43" s="86">
        <f t="shared" si="47"/>
        <v>7046.1710699898258</v>
      </c>
      <c r="AQ43" s="86">
        <f t="shared" si="74"/>
        <v>163214.1367573413</v>
      </c>
      <c r="AR43" s="92">
        <f t="shared" si="48"/>
        <v>0</v>
      </c>
      <c r="AS43" s="92">
        <f t="shared" si="49"/>
        <v>1</v>
      </c>
      <c r="AT43" s="86">
        <f t="shared" si="50"/>
        <v>6823.2560000000003</v>
      </c>
      <c r="AU43" s="86">
        <f t="shared" si="75"/>
        <v>158050.63868765219</v>
      </c>
      <c r="AV43" s="93">
        <f t="shared" si="76"/>
        <v>0</v>
      </c>
      <c r="AW43" s="93">
        <f t="shared" si="9"/>
        <v>-14368.239880695677</v>
      </c>
      <c r="AX43" s="94">
        <f t="shared" si="10"/>
        <v>1</v>
      </c>
      <c r="AY43" s="92">
        <f t="shared" si="11"/>
        <v>1</v>
      </c>
      <c r="AZ43" s="95"/>
      <c r="BA43" s="86">
        <f t="shared" si="51"/>
        <v>6823.2560000000003</v>
      </c>
      <c r="BB43" s="86">
        <f t="shared" si="77"/>
        <v>158050.63868765219</v>
      </c>
      <c r="BC43" s="92">
        <f t="shared" si="52"/>
        <v>0</v>
      </c>
      <c r="BD43" s="92">
        <f t="shared" si="53"/>
        <v>1</v>
      </c>
      <c r="BE43" s="86">
        <f t="shared" si="54"/>
        <v>6823.2560000000003</v>
      </c>
      <c r="BF43" s="86">
        <f t="shared" si="78"/>
        <v>158050.63868765219</v>
      </c>
      <c r="BG43" s="96">
        <f t="shared" si="79"/>
        <v>0</v>
      </c>
      <c r="BH43" s="96">
        <f t="shared" si="15"/>
        <v>-14368.239880695677</v>
      </c>
      <c r="BI43" s="94">
        <f t="shared" si="16"/>
        <v>1</v>
      </c>
      <c r="BJ43" s="92">
        <f t="shared" si="17"/>
        <v>0</v>
      </c>
      <c r="BK43" s="95"/>
      <c r="BL43" s="86">
        <f t="shared" si="55"/>
        <v>6823.2560000000003</v>
      </c>
      <c r="BM43" s="86">
        <f t="shared" si="80"/>
        <v>158050.63868765219</v>
      </c>
      <c r="BN43" s="92">
        <f t="shared" si="56"/>
        <v>0</v>
      </c>
      <c r="BO43" s="92">
        <f t="shared" si="57"/>
        <v>1</v>
      </c>
      <c r="BP43" s="86">
        <f t="shared" si="58"/>
        <v>6823.2560000000003</v>
      </c>
      <c r="BQ43" s="86">
        <f t="shared" si="81"/>
        <v>158050.63868765219</v>
      </c>
      <c r="BR43" s="93">
        <f t="shared" si="82"/>
        <v>0</v>
      </c>
      <c r="BS43" s="93">
        <f t="shared" si="21"/>
        <v>-14368.239880695677</v>
      </c>
      <c r="BT43" s="94">
        <f t="shared" si="22"/>
        <v>1</v>
      </c>
      <c r="BU43" s="92">
        <f t="shared" si="23"/>
        <v>0</v>
      </c>
      <c r="BV43" s="95"/>
      <c r="BW43" s="86">
        <f t="shared" si="59"/>
        <v>6823.2560000000003</v>
      </c>
      <c r="BX43" s="86">
        <f t="shared" si="83"/>
        <v>158050.63868765219</v>
      </c>
      <c r="BY43" s="92">
        <f t="shared" si="60"/>
        <v>0</v>
      </c>
      <c r="BZ43" s="92">
        <f t="shared" si="61"/>
        <v>1</v>
      </c>
      <c r="CA43" s="86">
        <f t="shared" si="62"/>
        <v>6823.2560000000003</v>
      </c>
      <c r="CB43" s="86">
        <f t="shared" si="84"/>
        <v>158050.63868765219</v>
      </c>
      <c r="CC43" s="96">
        <f t="shared" si="85"/>
        <v>0</v>
      </c>
      <c r="CD43" s="96">
        <f t="shared" si="27"/>
        <v>-14368.239880695677</v>
      </c>
      <c r="CE43" s="94">
        <f t="shared" si="28"/>
        <v>1</v>
      </c>
      <c r="CF43" s="92">
        <f t="shared" si="29"/>
        <v>0</v>
      </c>
      <c r="CG43" s="67"/>
      <c r="CH43" s="86">
        <f t="shared" si="30"/>
        <v>7054.7693062388134</v>
      </c>
      <c r="CI43" s="86">
        <f t="shared" si="86"/>
        <v>163413.30218961291</v>
      </c>
      <c r="CJ43" s="92">
        <f t="shared" si="63"/>
        <v>0</v>
      </c>
      <c r="CK43" s="92">
        <f t="shared" si="64"/>
        <v>1</v>
      </c>
      <c r="CL43" s="86">
        <f t="shared" si="65"/>
        <v>6823.2560000000003</v>
      </c>
      <c r="CM43" s="86">
        <f t="shared" si="87"/>
        <v>158050.63868765219</v>
      </c>
      <c r="CN43" s="97">
        <f t="shared" si="33"/>
        <v>1.1000000000000001</v>
      </c>
      <c r="CO43" s="554">
        <f t="shared" si="88"/>
        <v>60107</v>
      </c>
      <c r="CP43" s="153"/>
      <c r="CQ43" s="153">
        <f t="shared" si="89"/>
        <v>7027.95</v>
      </c>
      <c r="CR43" s="353"/>
      <c r="CS43" s="391" t="str">
        <f>VLOOKUP(A43,Characteristics!A36:M119,13,FALSE)</f>
        <v/>
      </c>
      <c r="CT43" s="206">
        <f>VLOOKUP(A43,Characteristics!A36:C119,3,FALSE)</f>
        <v>0</v>
      </c>
      <c r="CU43" s="557">
        <f t="shared" si="66"/>
        <v>7027.95</v>
      </c>
      <c r="CV43" s="557" t="str">
        <f t="shared" si="67"/>
        <v/>
      </c>
    </row>
    <row r="44" spans="1:100" s="125" customFormat="1" x14ac:dyDescent="0.3">
      <c r="A44" s="199">
        <v>60112</v>
      </c>
      <c r="B44" s="139"/>
      <c r="C44" s="558">
        <f>VLOOKUP($A44,'Fed Bs Rt+IME+GME+VBP+RAA+HAC'!$B$5:$AG$88,19,FALSE)</f>
        <v>6918.4759729999996</v>
      </c>
      <c r="D44" s="458">
        <f>VLOOKUP($A44,'Fed Bs Rt+IME+GME+VBP+RAA+HAC'!$B$5:$AG$88,25,FALSE)</f>
        <v>1076.421661008304</v>
      </c>
      <c r="E44" s="458">
        <f>VLOOKUP($A44,'Fed Bs Rt+IME+GME+VBP+RAA+HAC'!$B$5:$AG$88,29,FALSE)</f>
        <v>0</v>
      </c>
      <c r="F44" s="458">
        <f>VLOOKUP($A44,'Fed Bs Rt+IME+GME+VBP+RAA+HAC'!$B$5:$AG$88,27,FALSE)</f>
        <v>0</v>
      </c>
      <c r="G44" s="458">
        <f>VLOOKUP($A44,'Fed Bs Rt+IME+GME+VBP+RAA+HAC'!$B$5:$AG$88,32,FALSE)</f>
        <v>0</v>
      </c>
      <c r="H44" s="205">
        <f t="shared" si="36"/>
        <v>1076.421661008304</v>
      </c>
      <c r="I44" s="458">
        <f>VLOOKUP(A44,'Fed Bs Rt+IME+GME+VBP+RAA+HAC'!$B$5:$U$88,20,FALSE)</f>
        <v>78.702365526003916</v>
      </c>
      <c r="J44" s="459">
        <f>IF(Characteristics!M37="CAH",+C44*J$4,0)</f>
        <v>0</v>
      </c>
      <c r="K44" s="459">
        <f>IF(OR(Characteristics!M37="SCH",Characteristics!M37="MDH"),+C44*K$4,0)</f>
        <v>0</v>
      </c>
      <c r="L44" s="460">
        <f>IF(OR(J44&gt;0,K44&gt;0,M44&gt;0),0,IF(VLOOKUP(A44,Characteristics!A:H,8,FALSE)&lt;=L$6,L$4*C44,IF(VLOOKUP(A44,Characteristics!A:H,8,FALSE)&gt;=L$5,0,(VLOOKUP(A44,Characteristics!A:H,8,FALSE)-L$5)/(L$6-L$5)*L$4*C44)))</f>
        <v>0</v>
      </c>
      <c r="M44" s="541">
        <f>IF(VLOOKUP($A44,Characteristics!$A:$E,3,FALSE)=2,M$4*C44,0)</f>
        <v>0</v>
      </c>
      <c r="N44" s="461">
        <f>IF(VLOOKUP($A44,Characteristics!$A:$K,6,FALSE)&gt;=N$5,N$4*C44,IF(VLOOKUP($A44,Characteristics!$A:$K,6,FALSE)&lt;=N$6,0,(VLOOKUP($A44,Characteristics!$A:$K,6,FALSE)-N$6)/(N$5-N$6)*N$4*C44))</f>
        <v>0</v>
      </c>
      <c r="O44" s="461">
        <f>IF(VLOOKUP($A44,Characteristics!$A:$K,11,FALSE)&lt;=O$6,O$4*C44,IF(VLOOKUP($A44,Characteristics!$A:$K,11,FALSE)&gt;=O$5,0,(VLOOKUP($A44,Characteristics!$A:$K,11,FALSE)-O$5)/(O$6-O$5)*O$4*C44))</f>
        <v>0</v>
      </c>
      <c r="P44" s="205">
        <f t="shared" si="37"/>
        <v>8073.5999995343072</v>
      </c>
      <c r="Q44" s="205"/>
      <c r="R44" s="86">
        <v>6110.45</v>
      </c>
      <c r="S44" s="87">
        <f t="shared" si="68"/>
        <v>6232.66</v>
      </c>
      <c r="T44" s="471"/>
      <c r="U44" s="86">
        <f t="shared" si="69"/>
        <v>20585162.954991445</v>
      </c>
      <c r="V44" s="89">
        <v>2516.5990000000002</v>
      </c>
      <c r="W44" s="90">
        <v>1.3124019088937093</v>
      </c>
      <c r="X44" s="91">
        <f t="shared" si="70"/>
        <v>26665399.945421789</v>
      </c>
      <c r="Y44" s="196"/>
      <c r="Z44" s="86">
        <f t="shared" si="39"/>
        <v>6232.66</v>
      </c>
      <c r="AA44" s="86">
        <f t="shared" si="40"/>
        <v>5609.3940000000002</v>
      </c>
      <c r="AB44" s="86">
        <f t="shared" si="41"/>
        <v>6855.9260000000004</v>
      </c>
      <c r="AC44" s="469"/>
      <c r="AD44" s="99"/>
      <c r="AE44" s="86">
        <f t="shared" si="42"/>
        <v>6465.6674996569081</v>
      </c>
      <c r="AF44" s="86">
        <f t="shared" si="71"/>
        <v>21354737.639022432</v>
      </c>
      <c r="AG44" s="92">
        <f t="shared" si="43"/>
        <v>0</v>
      </c>
      <c r="AH44" s="92">
        <f t="shared" si="44"/>
        <v>0</v>
      </c>
      <c r="AI44" s="86">
        <f t="shared" si="45"/>
        <v>6465.6674996569081</v>
      </c>
      <c r="AJ44" s="201"/>
      <c r="AK44" s="86">
        <f t="shared" si="72"/>
        <v>21354737.639022432</v>
      </c>
      <c r="AL44" s="93">
        <f t="shared" si="73"/>
        <v>26665399.945421789</v>
      </c>
      <c r="AM44" s="93">
        <f t="shared" si="5"/>
        <v>20585162.954991445</v>
      </c>
      <c r="AN44" s="94">
        <f t="shared" si="46"/>
        <v>0</v>
      </c>
      <c r="AO44" s="95"/>
      <c r="AP44" s="86">
        <f t="shared" si="47"/>
        <v>6443.8198806680766</v>
      </c>
      <c r="AQ44" s="86">
        <f t="shared" si="74"/>
        <v>21282579.556107003</v>
      </c>
      <c r="AR44" s="92">
        <f t="shared" si="48"/>
        <v>0</v>
      </c>
      <c r="AS44" s="92">
        <f t="shared" si="49"/>
        <v>0</v>
      </c>
      <c r="AT44" s="86">
        <f t="shared" si="50"/>
        <v>6443.8198806680766</v>
      </c>
      <c r="AU44" s="86">
        <f t="shared" si="75"/>
        <v>21282579.556107003</v>
      </c>
      <c r="AV44" s="93">
        <f t="shared" si="76"/>
        <v>26665399.945421789</v>
      </c>
      <c r="AW44" s="93">
        <f t="shared" si="9"/>
        <v>20585162.954991445</v>
      </c>
      <c r="AX44" s="94">
        <f t="shared" si="10"/>
        <v>0</v>
      </c>
      <c r="AY44" s="92">
        <f t="shared" si="11"/>
        <v>0</v>
      </c>
      <c r="AZ44" s="95"/>
      <c r="BA44" s="86">
        <f t="shared" si="51"/>
        <v>6451.6830039823844</v>
      </c>
      <c r="BB44" s="86">
        <f t="shared" si="77"/>
        <v>21308549.795901928</v>
      </c>
      <c r="BC44" s="92">
        <f t="shared" si="52"/>
        <v>0</v>
      </c>
      <c r="BD44" s="92">
        <f t="shared" si="53"/>
        <v>0</v>
      </c>
      <c r="BE44" s="86">
        <f t="shared" si="54"/>
        <v>6451.6830039823844</v>
      </c>
      <c r="BF44" s="86">
        <f t="shared" si="78"/>
        <v>21308549.795901928</v>
      </c>
      <c r="BG44" s="96">
        <f t="shared" si="79"/>
        <v>26665399.945421789</v>
      </c>
      <c r="BH44" s="96">
        <f t="shared" si="15"/>
        <v>20585162.954991445</v>
      </c>
      <c r="BI44" s="94">
        <f t="shared" si="16"/>
        <v>0</v>
      </c>
      <c r="BJ44" s="92">
        <f t="shared" si="17"/>
        <v>0</v>
      </c>
      <c r="BK44" s="95"/>
      <c r="BL44" s="86">
        <f t="shared" si="55"/>
        <v>6451.6830853972215</v>
      </c>
      <c r="BM44" s="86">
        <f t="shared" si="80"/>
        <v>21308550.064797983</v>
      </c>
      <c r="BN44" s="92">
        <f t="shared" si="56"/>
        <v>0</v>
      </c>
      <c r="BO44" s="92">
        <f t="shared" si="57"/>
        <v>0</v>
      </c>
      <c r="BP44" s="86">
        <f t="shared" si="58"/>
        <v>6451.6830853972215</v>
      </c>
      <c r="BQ44" s="86">
        <f t="shared" si="81"/>
        <v>21308550.064797983</v>
      </c>
      <c r="BR44" s="93">
        <f t="shared" si="82"/>
        <v>26665399.945421789</v>
      </c>
      <c r="BS44" s="93">
        <f t="shared" si="21"/>
        <v>20585162.954991445</v>
      </c>
      <c r="BT44" s="94">
        <f t="shared" si="22"/>
        <v>0</v>
      </c>
      <c r="BU44" s="92">
        <f t="shared" si="23"/>
        <v>0</v>
      </c>
      <c r="BV44" s="95"/>
      <c r="BW44" s="86">
        <f t="shared" si="59"/>
        <v>6451.6830853972215</v>
      </c>
      <c r="BX44" s="86">
        <f t="shared" si="83"/>
        <v>21308550.064797983</v>
      </c>
      <c r="BY44" s="92">
        <f t="shared" si="60"/>
        <v>0</v>
      </c>
      <c r="BZ44" s="92">
        <f t="shared" si="61"/>
        <v>0</v>
      </c>
      <c r="CA44" s="86">
        <f t="shared" si="62"/>
        <v>6451.6830853972215</v>
      </c>
      <c r="CB44" s="86">
        <f t="shared" si="84"/>
        <v>21308550.064797983</v>
      </c>
      <c r="CC44" s="96">
        <f t="shared" si="85"/>
        <v>26665399.945421789</v>
      </c>
      <c r="CD44" s="96">
        <f t="shared" si="27"/>
        <v>20585162.954991445</v>
      </c>
      <c r="CE44" s="94">
        <f t="shared" si="28"/>
        <v>0</v>
      </c>
      <c r="CF44" s="92">
        <f t="shared" si="29"/>
        <v>0</v>
      </c>
      <c r="CG44" s="67"/>
      <c r="CH44" s="86">
        <f t="shared" si="30"/>
        <v>6451.6830853972215</v>
      </c>
      <c r="CI44" s="86">
        <f t="shared" si="86"/>
        <v>21308550.064797983</v>
      </c>
      <c r="CJ44" s="92">
        <f t="shared" si="63"/>
        <v>0</v>
      </c>
      <c r="CK44" s="92">
        <f t="shared" si="64"/>
        <v>0</v>
      </c>
      <c r="CL44" s="86">
        <f t="shared" si="65"/>
        <v>6451.6830853972215</v>
      </c>
      <c r="CM44" s="86">
        <f t="shared" si="87"/>
        <v>21308550.064797983</v>
      </c>
      <c r="CN44" s="97">
        <f t="shared" si="33"/>
        <v>1.0351411893793696</v>
      </c>
      <c r="CO44" s="554">
        <f t="shared" si="88"/>
        <v>60112</v>
      </c>
      <c r="CP44" s="153"/>
      <c r="CQ44" s="153">
        <f t="shared" si="89"/>
        <v>6645.23</v>
      </c>
      <c r="CR44" s="353"/>
      <c r="CS44" s="391" t="str">
        <f>VLOOKUP(A44,Characteristics!A37:M120,13,FALSE)</f>
        <v/>
      </c>
      <c r="CT44" s="206">
        <f>VLOOKUP(A44,Characteristics!A37:C120,3,FALSE)</f>
        <v>0</v>
      </c>
      <c r="CU44" s="557">
        <f t="shared" si="66"/>
        <v>6645.23</v>
      </c>
      <c r="CV44" s="557" t="str">
        <f t="shared" si="67"/>
        <v/>
      </c>
    </row>
    <row r="45" spans="1:100" s="125" customFormat="1" x14ac:dyDescent="0.3">
      <c r="A45" s="199">
        <v>60113</v>
      </c>
      <c r="B45" s="139"/>
      <c r="C45" s="558">
        <f>VLOOKUP($A45,'Fed Bs Rt+IME+GME+VBP+RAA+HAC'!$B$5:$AG$88,19,FALSE)</f>
        <v>6918.4759729999996</v>
      </c>
      <c r="D45" s="458">
        <f>VLOOKUP($A45,'Fed Bs Rt+IME+GME+VBP+RAA+HAC'!$B$5:$AG$88,25,FALSE)</f>
        <v>0</v>
      </c>
      <c r="E45" s="458">
        <f>VLOOKUP($A45,'Fed Bs Rt+IME+GME+VBP+RAA+HAC'!$B$5:$AG$88,29,FALSE)</f>
        <v>-3.2152384999996459</v>
      </c>
      <c r="F45" s="458">
        <f>VLOOKUP($A45,'Fed Bs Rt+IME+GME+VBP+RAA+HAC'!$B$5:$AG$88,27,FALSE)</f>
        <v>0</v>
      </c>
      <c r="G45" s="458">
        <f>VLOOKUP($A45,'Fed Bs Rt+IME+GME+VBP+RAA+HAC'!$B$5:$AG$88,32,FALSE)</f>
        <v>0</v>
      </c>
      <c r="H45" s="205">
        <f t="shared" si="36"/>
        <v>-3.2152384999996459</v>
      </c>
      <c r="I45" s="458">
        <f>VLOOKUP(A45,'Fed Bs Rt+IME+GME+VBP+RAA+HAC'!$B$5:$U$88,20,FALSE)</f>
        <v>0</v>
      </c>
      <c r="J45" s="459">
        <f>IF(Characteristics!M38="CAH",+C45*J$4,0)</f>
        <v>0</v>
      </c>
      <c r="K45" s="459">
        <f>IF(OR(Characteristics!M38="SCH",Characteristics!M38="MDH"),+C45*K$4,0)</f>
        <v>0</v>
      </c>
      <c r="L45" s="460">
        <f>IF(OR(J45&gt;0,K45&gt;0,M45&gt;0),0,IF(VLOOKUP(A45,Characteristics!A:H,8,FALSE)&lt;=L$6,L$4*C45,IF(VLOOKUP(A45,Characteristics!A:H,8,FALSE)&gt;=L$5,0,(VLOOKUP(A45,Characteristics!A:H,8,FALSE)-L$5)/(L$6-L$5)*L$4*C45)))</f>
        <v>0</v>
      </c>
      <c r="M45" s="541">
        <f>IF(VLOOKUP($A45,Characteristics!$A:$E,3,FALSE)=2,M$4*C45,0)</f>
        <v>0</v>
      </c>
      <c r="N45" s="461">
        <f>IF(VLOOKUP($A45,Characteristics!$A:$K,6,FALSE)&gt;=N$5,N$4*C45,IF(VLOOKUP($A45,Characteristics!$A:$K,6,FALSE)&lt;=N$6,0,(VLOOKUP($A45,Characteristics!$A:$K,6,FALSE)-N$6)/(N$5-N$6)*N$4*C45))</f>
        <v>0</v>
      </c>
      <c r="O45" s="461">
        <f>IF(VLOOKUP($A45,Characteristics!$A:$K,11,FALSE)&lt;=O$6,O$4*C45,IF(VLOOKUP($A45,Characteristics!$A:$K,11,FALSE)&gt;=O$5,0,(VLOOKUP($A45,Characteristics!$A:$K,11,FALSE)-O$5)/(O$6-O$5)*O$4*C45))</f>
        <v>0</v>
      </c>
      <c r="P45" s="205">
        <f t="shared" si="37"/>
        <v>6915.2607344999997</v>
      </c>
      <c r="Q45" s="205"/>
      <c r="R45" s="86">
        <v>5510.72</v>
      </c>
      <c r="S45" s="87">
        <f t="shared" si="68"/>
        <v>5620.93</v>
      </c>
      <c r="T45" s="471"/>
      <c r="U45" s="86">
        <f t="shared" si="69"/>
        <v>15586092.87241352</v>
      </c>
      <c r="V45" s="89">
        <v>1937.9450000000002</v>
      </c>
      <c r="W45" s="90">
        <v>1.430828676056338</v>
      </c>
      <c r="X45" s="91">
        <f t="shared" si="70"/>
        <v>19175100.213820755</v>
      </c>
      <c r="Y45" s="196"/>
      <c r="Z45" s="86">
        <f t="shared" si="39"/>
        <v>5620.93</v>
      </c>
      <c r="AA45" s="86">
        <f t="shared" si="40"/>
        <v>5058.8370000000004</v>
      </c>
      <c r="AB45" s="86">
        <f t="shared" si="41"/>
        <v>6183.023000000001</v>
      </c>
      <c r="AC45" s="469"/>
      <c r="AD45" s="100"/>
      <c r="AE45" s="86">
        <f t="shared" si="42"/>
        <v>5538.0222682928588</v>
      </c>
      <c r="AF45" s="86">
        <f t="shared" si="71"/>
        <v>15356200.736018181</v>
      </c>
      <c r="AG45" s="92">
        <f t="shared" si="43"/>
        <v>0</v>
      </c>
      <c r="AH45" s="92">
        <f t="shared" si="44"/>
        <v>0</v>
      </c>
      <c r="AI45" s="86">
        <f t="shared" si="45"/>
        <v>5538.0222682928588</v>
      </c>
      <c r="AJ45" s="201"/>
      <c r="AK45" s="86">
        <f t="shared" si="72"/>
        <v>15356200.736018181</v>
      </c>
      <c r="AL45" s="93">
        <f t="shared" si="73"/>
        <v>19175100.213820755</v>
      </c>
      <c r="AM45" s="93">
        <f t="shared" si="5"/>
        <v>15586092.87241352</v>
      </c>
      <c r="AN45" s="94">
        <f t="shared" si="46"/>
        <v>0</v>
      </c>
      <c r="AO45" s="95"/>
      <c r="AP45" s="86">
        <f t="shared" si="47"/>
        <v>5519.3091809780917</v>
      </c>
      <c r="AQ45" s="86">
        <f t="shared" si="74"/>
        <v>15304311.828521103</v>
      </c>
      <c r="AR45" s="92">
        <f t="shared" si="48"/>
        <v>0</v>
      </c>
      <c r="AS45" s="92">
        <f t="shared" si="49"/>
        <v>0</v>
      </c>
      <c r="AT45" s="86">
        <f t="shared" si="50"/>
        <v>5519.3091809780917</v>
      </c>
      <c r="AU45" s="86">
        <f t="shared" si="75"/>
        <v>15304311.828521103</v>
      </c>
      <c r="AV45" s="93">
        <f t="shared" si="76"/>
        <v>19175100.213820755</v>
      </c>
      <c r="AW45" s="93">
        <f t="shared" si="9"/>
        <v>15586092.87241352</v>
      </c>
      <c r="AX45" s="94">
        <f t="shared" si="10"/>
        <v>0</v>
      </c>
      <c r="AY45" s="92">
        <f t="shared" si="11"/>
        <v>0</v>
      </c>
      <c r="AZ45" s="95"/>
      <c r="BA45" s="86">
        <f t="shared" si="51"/>
        <v>5526.0441626354823</v>
      </c>
      <c r="BB45" s="86">
        <f t="shared" si="77"/>
        <v>15322987.038780987</v>
      </c>
      <c r="BC45" s="92">
        <f t="shared" si="52"/>
        <v>0</v>
      </c>
      <c r="BD45" s="92">
        <f t="shared" si="53"/>
        <v>0</v>
      </c>
      <c r="BE45" s="86">
        <f t="shared" si="54"/>
        <v>5526.0441626354823</v>
      </c>
      <c r="BF45" s="86">
        <f t="shared" si="78"/>
        <v>15322987.038780987</v>
      </c>
      <c r="BG45" s="96">
        <f t="shared" si="79"/>
        <v>19175100.213820755</v>
      </c>
      <c r="BH45" s="96">
        <f t="shared" si="15"/>
        <v>15586092.87241352</v>
      </c>
      <c r="BI45" s="94">
        <f t="shared" si="16"/>
        <v>0</v>
      </c>
      <c r="BJ45" s="92">
        <f t="shared" si="17"/>
        <v>0</v>
      </c>
      <c r="BK45" s="95"/>
      <c r="BL45" s="86">
        <f t="shared" si="55"/>
        <v>5526.0442323695315</v>
      </c>
      <c r="BM45" s="86">
        <f t="shared" si="80"/>
        <v>15322987.232144251</v>
      </c>
      <c r="BN45" s="92">
        <f t="shared" si="56"/>
        <v>0</v>
      </c>
      <c r="BO45" s="92">
        <f t="shared" si="57"/>
        <v>0</v>
      </c>
      <c r="BP45" s="86">
        <f t="shared" si="58"/>
        <v>5526.0442323695315</v>
      </c>
      <c r="BQ45" s="86">
        <f t="shared" si="81"/>
        <v>15322987.232144251</v>
      </c>
      <c r="BR45" s="93">
        <f t="shared" si="82"/>
        <v>19175100.213820755</v>
      </c>
      <c r="BS45" s="93">
        <f t="shared" si="21"/>
        <v>15586092.87241352</v>
      </c>
      <c r="BT45" s="94">
        <f t="shared" si="22"/>
        <v>0</v>
      </c>
      <c r="BU45" s="92">
        <f t="shared" si="23"/>
        <v>0</v>
      </c>
      <c r="BV45" s="95"/>
      <c r="BW45" s="86">
        <f t="shared" si="59"/>
        <v>5526.0442323695315</v>
      </c>
      <c r="BX45" s="86">
        <f t="shared" si="83"/>
        <v>15322987.232144251</v>
      </c>
      <c r="BY45" s="92">
        <f t="shared" si="60"/>
        <v>0</v>
      </c>
      <c r="BZ45" s="92">
        <f t="shared" si="61"/>
        <v>0</v>
      </c>
      <c r="CA45" s="86">
        <f t="shared" si="62"/>
        <v>5526.0442323695315</v>
      </c>
      <c r="CB45" s="86">
        <f t="shared" si="84"/>
        <v>15322987.232144251</v>
      </c>
      <c r="CC45" s="96">
        <f t="shared" si="85"/>
        <v>19175100.213820755</v>
      </c>
      <c r="CD45" s="96">
        <f t="shared" si="27"/>
        <v>15586092.87241352</v>
      </c>
      <c r="CE45" s="94">
        <f t="shared" si="28"/>
        <v>0</v>
      </c>
      <c r="CF45" s="92">
        <f t="shared" si="29"/>
        <v>0</v>
      </c>
      <c r="CG45" s="67"/>
      <c r="CH45" s="86">
        <f t="shared" si="30"/>
        <v>5526.0442323695315</v>
      </c>
      <c r="CI45" s="86">
        <f t="shared" si="86"/>
        <v>15322987.232144251</v>
      </c>
      <c r="CJ45" s="92">
        <f t="shared" si="63"/>
        <v>0</v>
      </c>
      <c r="CK45" s="92">
        <f t="shared" si="64"/>
        <v>0</v>
      </c>
      <c r="CL45" s="86">
        <f t="shared" si="65"/>
        <v>5526.0442323695315</v>
      </c>
      <c r="CM45" s="86">
        <f t="shared" si="87"/>
        <v>15322987.232144251</v>
      </c>
      <c r="CN45" s="97">
        <f t="shared" si="33"/>
        <v>0.98311920489483617</v>
      </c>
      <c r="CO45" s="554">
        <f t="shared" si="88"/>
        <v>60113</v>
      </c>
      <c r="CP45" s="153"/>
      <c r="CQ45" s="153">
        <f t="shared" si="89"/>
        <v>5691.83</v>
      </c>
      <c r="CR45" s="353"/>
      <c r="CS45" s="391" t="str">
        <f>VLOOKUP(A45,Characteristics!A38:M121,13,FALSE)</f>
        <v/>
      </c>
      <c r="CT45" s="206">
        <f>VLOOKUP(A45,Characteristics!A38:C121,3,FALSE)</f>
        <v>0</v>
      </c>
      <c r="CU45" s="557">
        <f t="shared" si="66"/>
        <v>5691.83</v>
      </c>
      <c r="CV45" s="557" t="str">
        <f t="shared" si="67"/>
        <v/>
      </c>
    </row>
    <row r="46" spans="1:100" s="125" customFormat="1" x14ac:dyDescent="0.3">
      <c r="A46" s="199">
        <v>60114</v>
      </c>
      <c r="B46" s="139"/>
      <c r="C46" s="558">
        <f>VLOOKUP($A46,'Fed Bs Rt+IME+GME+VBP+RAA+HAC'!$B$5:$AG$88,19,FALSE)</f>
        <v>6918.4759729999996</v>
      </c>
      <c r="D46" s="458">
        <f>VLOOKUP($A46,'Fed Bs Rt+IME+GME+VBP+RAA+HAC'!$B$5:$AG$88,25,FALSE)</f>
        <v>0</v>
      </c>
      <c r="E46" s="458">
        <f>VLOOKUP($A46,'Fed Bs Rt+IME+GME+VBP+RAA+HAC'!$B$5:$AG$88,29,FALSE)</f>
        <v>0</v>
      </c>
      <c r="F46" s="458">
        <f>VLOOKUP($A46,'Fed Bs Rt+IME+GME+VBP+RAA+HAC'!$B$5:$AG$88,27,FALSE)</f>
        <v>0</v>
      </c>
      <c r="G46" s="458">
        <f>VLOOKUP($A46,'Fed Bs Rt+IME+GME+VBP+RAA+HAC'!$B$5:$AG$88,32,FALSE)</f>
        <v>0</v>
      </c>
      <c r="H46" s="205">
        <f t="shared" si="36"/>
        <v>0</v>
      </c>
      <c r="I46" s="458">
        <f>VLOOKUP(A46,'Fed Bs Rt+IME+GME+VBP+RAA+HAC'!$B$5:$U$88,20,FALSE)</f>
        <v>0</v>
      </c>
      <c r="J46" s="459">
        <f>IF(Characteristics!M39="CAH",+C46*J$4,0)</f>
        <v>0</v>
      </c>
      <c r="K46" s="459">
        <f>IF(OR(Characteristics!M39="SCH",Characteristics!M39="MDH"),+C46*K$4,0)</f>
        <v>0</v>
      </c>
      <c r="L46" s="460">
        <f>IF(OR(J46&gt;0,K46&gt;0,M46&gt;0),0,IF(VLOOKUP(A46,Characteristics!A:H,8,FALSE)&lt;=L$6,L$4*C46,IF(VLOOKUP(A46,Characteristics!A:H,8,FALSE)&gt;=L$5,0,(VLOOKUP(A46,Characteristics!A:H,8,FALSE)-L$5)/(L$6-L$5)*L$4*C46)))</f>
        <v>0</v>
      </c>
      <c r="M46" s="541">
        <f>IF(VLOOKUP($A46,Characteristics!$A:$E,3,FALSE)=2,M$4*C46,0)</f>
        <v>0</v>
      </c>
      <c r="N46" s="461">
        <f>IF(VLOOKUP($A46,Characteristics!$A:$K,6,FALSE)&gt;=N$5,N$4*C46,IF(VLOOKUP($A46,Characteristics!$A:$K,6,FALSE)&lt;=N$6,0,(VLOOKUP($A46,Characteristics!$A:$K,6,FALSE)-N$6)/(N$5-N$6)*N$4*C46))</f>
        <v>0</v>
      </c>
      <c r="O46" s="461">
        <f>IF(VLOOKUP($A46,Characteristics!$A:$K,11,FALSE)&lt;=O$6,O$4*C46,IF(VLOOKUP($A46,Characteristics!$A:$K,11,FALSE)&gt;=O$5,0,(VLOOKUP($A46,Characteristics!$A:$K,11,FALSE)-O$5)/(O$6-O$5)*O$4*C46))</f>
        <v>0</v>
      </c>
      <c r="P46" s="205">
        <f t="shared" si="37"/>
        <v>6918.4759729999996</v>
      </c>
      <c r="Q46" s="205"/>
      <c r="R46" s="86">
        <v>5433.21</v>
      </c>
      <c r="S46" s="87">
        <f t="shared" si="68"/>
        <v>5541.87</v>
      </c>
      <c r="T46" s="471"/>
      <c r="U46" s="86">
        <f t="shared" si="69"/>
        <v>15196726.729077898</v>
      </c>
      <c r="V46" s="89">
        <v>2012.1874000000003</v>
      </c>
      <c r="W46" s="90">
        <v>1.3627785675529027</v>
      </c>
      <c r="X46" s="91">
        <f t="shared" si="70"/>
        <v>18971608.63451729</v>
      </c>
      <c r="Y46" s="196"/>
      <c r="Z46" s="86">
        <f t="shared" si="39"/>
        <v>5541.87</v>
      </c>
      <c r="AA46" s="86">
        <f t="shared" si="40"/>
        <v>4987.683</v>
      </c>
      <c r="AB46" s="86">
        <f t="shared" si="41"/>
        <v>6096.0570000000007</v>
      </c>
      <c r="AC46" s="469"/>
      <c r="AD46" s="98"/>
      <c r="AE46" s="86">
        <f t="shared" si="42"/>
        <v>5540.5971621536264</v>
      </c>
      <c r="AF46" s="86">
        <f t="shared" si="71"/>
        <v>15193236.396586923</v>
      </c>
      <c r="AG46" s="92">
        <f t="shared" si="43"/>
        <v>0</v>
      </c>
      <c r="AH46" s="92">
        <f t="shared" si="44"/>
        <v>0</v>
      </c>
      <c r="AI46" s="86">
        <f t="shared" si="45"/>
        <v>5540.5971621536264</v>
      </c>
      <c r="AJ46" s="201"/>
      <c r="AK46" s="86">
        <f t="shared" si="72"/>
        <v>15193236.396586923</v>
      </c>
      <c r="AL46" s="93">
        <f t="shared" si="73"/>
        <v>18971608.63451729</v>
      </c>
      <c r="AM46" s="93">
        <f t="shared" si="5"/>
        <v>15196726.729077898</v>
      </c>
      <c r="AN46" s="94">
        <f t="shared" si="46"/>
        <v>0</v>
      </c>
      <c r="AO46" s="95"/>
      <c r="AP46" s="86">
        <f t="shared" si="47"/>
        <v>5521.8753742213275</v>
      </c>
      <c r="AQ46" s="86">
        <f t="shared" si="74"/>
        <v>15141898.148831762</v>
      </c>
      <c r="AR46" s="92">
        <f t="shared" si="48"/>
        <v>0</v>
      </c>
      <c r="AS46" s="92">
        <f t="shared" si="49"/>
        <v>0</v>
      </c>
      <c r="AT46" s="86">
        <f t="shared" si="50"/>
        <v>5521.8753742213275</v>
      </c>
      <c r="AU46" s="86">
        <f t="shared" si="75"/>
        <v>15141898.148831762</v>
      </c>
      <c r="AV46" s="93">
        <f t="shared" si="76"/>
        <v>18971608.63451729</v>
      </c>
      <c r="AW46" s="93">
        <f t="shared" si="9"/>
        <v>15196726.729077898</v>
      </c>
      <c r="AX46" s="94">
        <f t="shared" si="10"/>
        <v>0</v>
      </c>
      <c r="AY46" s="92">
        <f t="shared" si="11"/>
        <v>0</v>
      </c>
      <c r="AZ46" s="95"/>
      <c r="BA46" s="86">
        <f t="shared" si="51"/>
        <v>5528.6134872967732</v>
      </c>
      <c r="BB46" s="86">
        <f t="shared" si="77"/>
        <v>15160375.172485722</v>
      </c>
      <c r="BC46" s="92">
        <f t="shared" si="52"/>
        <v>0</v>
      </c>
      <c r="BD46" s="92">
        <f t="shared" si="53"/>
        <v>0</v>
      </c>
      <c r="BE46" s="86">
        <f t="shared" si="54"/>
        <v>5528.6134872967732</v>
      </c>
      <c r="BF46" s="86">
        <f t="shared" si="78"/>
        <v>15160375.172485722</v>
      </c>
      <c r="BG46" s="96">
        <f t="shared" si="79"/>
        <v>18971608.63451729</v>
      </c>
      <c r="BH46" s="96">
        <f t="shared" si="15"/>
        <v>15196726.729077898</v>
      </c>
      <c r="BI46" s="94">
        <f t="shared" si="16"/>
        <v>0</v>
      </c>
      <c r="BJ46" s="92">
        <f t="shared" si="17"/>
        <v>0</v>
      </c>
      <c r="BK46" s="95"/>
      <c r="BL46" s="86">
        <f t="shared" si="55"/>
        <v>5528.613557063245</v>
      </c>
      <c r="BM46" s="86">
        <f t="shared" si="80"/>
        <v>15160375.363796961</v>
      </c>
      <c r="BN46" s="92">
        <f t="shared" si="56"/>
        <v>0</v>
      </c>
      <c r="BO46" s="92">
        <f t="shared" si="57"/>
        <v>0</v>
      </c>
      <c r="BP46" s="86">
        <f t="shared" si="58"/>
        <v>5528.613557063245</v>
      </c>
      <c r="BQ46" s="86">
        <f t="shared" si="81"/>
        <v>15160375.363796961</v>
      </c>
      <c r="BR46" s="93">
        <f t="shared" si="82"/>
        <v>18971608.63451729</v>
      </c>
      <c r="BS46" s="93">
        <f t="shared" si="21"/>
        <v>15196726.729077898</v>
      </c>
      <c r="BT46" s="94">
        <f t="shared" si="22"/>
        <v>0</v>
      </c>
      <c r="BU46" s="92">
        <f t="shared" si="23"/>
        <v>0</v>
      </c>
      <c r="BV46" s="95"/>
      <c r="BW46" s="86">
        <f t="shared" si="59"/>
        <v>5528.613557063245</v>
      </c>
      <c r="BX46" s="86">
        <f t="shared" si="83"/>
        <v>15160375.363796961</v>
      </c>
      <c r="BY46" s="92">
        <f t="shared" si="60"/>
        <v>0</v>
      </c>
      <c r="BZ46" s="92">
        <f t="shared" si="61"/>
        <v>0</v>
      </c>
      <c r="CA46" s="86">
        <f t="shared" si="62"/>
        <v>5528.613557063245</v>
      </c>
      <c r="CB46" s="86">
        <f t="shared" si="84"/>
        <v>15160375.363796961</v>
      </c>
      <c r="CC46" s="96">
        <f t="shared" si="85"/>
        <v>18971608.63451729</v>
      </c>
      <c r="CD46" s="96">
        <f t="shared" si="27"/>
        <v>15196726.729077898</v>
      </c>
      <c r="CE46" s="94">
        <f t="shared" si="28"/>
        <v>0</v>
      </c>
      <c r="CF46" s="92">
        <f t="shared" si="29"/>
        <v>0</v>
      </c>
      <c r="CG46" s="67"/>
      <c r="CH46" s="86">
        <f t="shared" si="30"/>
        <v>5528.613557063245</v>
      </c>
      <c r="CI46" s="86">
        <f t="shared" si="86"/>
        <v>15160375.363796961</v>
      </c>
      <c r="CJ46" s="92">
        <f t="shared" si="63"/>
        <v>0</v>
      </c>
      <c r="CK46" s="92">
        <f t="shared" si="64"/>
        <v>0</v>
      </c>
      <c r="CL46" s="86">
        <f t="shared" si="65"/>
        <v>5528.613557063245</v>
      </c>
      <c r="CM46" s="86">
        <f t="shared" si="87"/>
        <v>15160375.363796961</v>
      </c>
      <c r="CN46" s="97">
        <f t="shared" si="33"/>
        <v>0.99760794768972294</v>
      </c>
      <c r="CO46" s="554">
        <f t="shared" si="88"/>
        <v>60114</v>
      </c>
      <c r="CP46" s="153"/>
      <c r="CQ46" s="153">
        <f t="shared" si="89"/>
        <v>5694.47</v>
      </c>
      <c r="CR46" s="353"/>
      <c r="CS46" s="391" t="str">
        <f>VLOOKUP(A46,Characteristics!A39:M122,13,FALSE)</f>
        <v/>
      </c>
      <c r="CT46" s="206">
        <f>VLOOKUP(A46,Characteristics!A39:C122,3,FALSE)</f>
        <v>0</v>
      </c>
      <c r="CU46" s="557">
        <f t="shared" si="66"/>
        <v>5694.47</v>
      </c>
      <c r="CV46" s="557" t="str">
        <f t="shared" si="67"/>
        <v/>
      </c>
    </row>
    <row r="47" spans="1:100" s="125" customFormat="1" x14ac:dyDescent="0.3">
      <c r="A47" s="199">
        <v>60116</v>
      </c>
      <c r="B47" s="139"/>
      <c r="C47" s="558">
        <f>VLOOKUP($A47,'Fed Bs Rt+IME+GME+VBP+RAA+HAC'!$B$5:$AG$88,19,FALSE)</f>
        <v>6918.4759729999996</v>
      </c>
      <c r="D47" s="458">
        <f>VLOOKUP($A47,'Fed Bs Rt+IME+GME+VBP+RAA+HAC'!$B$5:$AG$88,25,FALSE)</f>
        <v>0</v>
      </c>
      <c r="E47" s="458">
        <f>VLOOKUP($A47,'Fed Bs Rt+IME+GME+VBP+RAA+HAC'!$B$5:$AG$88,29,FALSE)</f>
        <v>-4.5013339000002182</v>
      </c>
      <c r="F47" s="458">
        <f>VLOOKUP($A47,'Fed Bs Rt+IME+GME+VBP+RAA+HAC'!$B$5:$AG$88,27,FALSE)</f>
        <v>0</v>
      </c>
      <c r="G47" s="458">
        <f>VLOOKUP($A47,'Fed Bs Rt+IME+GME+VBP+RAA+HAC'!$B$5:$AG$88,32,FALSE)</f>
        <v>0</v>
      </c>
      <c r="H47" s="205">
        <f t="shared" si="36"/>
        <v>-4.5013339000002182</v>
      </c>
      <c r="I47" s="458">
        <f>VLOOKUP(A47,'Fed Bs Rt+IME+GME+VBP+RAA+HAC'!$B$5:$U$88,20,FALSE)</f>
        <v>0</v>
      </c>
      <c r="J47" s="459">
        <f>IF(Characteristics!M40="CAH",+C47*J$4,0)</f>
        <v>0</v>
      </c>
      <c r="K47" s="459">
        <f>IF(OR(Characteristics!M40="SCH",Characteristics!M40="MDH"),+C47*K$4,0)</f>
        <v>0</v>
      </c>
      <c r="L47" s="460">
        <f>IF(OR(J47&gt;0,K47&gt;0,M47&gt;0),0,IF(VLOOKUP(A47,Characteristics!A:H,8,FALSE)&lt;=L$6,L$4*C47,IF(VLOOKUP(A47,Characteristics!A:H,8,FALSE)&gt;=L$5,0,(VLOOKUP(A47,Characteristics!A:H,8,FALSE)-L$5)/(L$6-L$5)*L$4*C47)))</f>
        <v>0</v>
      </c>
      <c r="M47" s="541">
        <f>IF(VLOOKUP($A47,Characteristics!$A:$E,3,FALSE)=2,M$4*C47,0)</f>
        <v>0</v>
      </c>
      <c r="N47" s="461">
        <f>IF(VLOOKUP($A47,Characteristics!$A:$K,6,FALSE)&gt;=N$5,N$4*C47,IF(VLOOKUP($A47,Characteristics!$A:$K,6,FALSE)&lt;=N$6,0,(VLOOKUP($A47,Characteristics!$A:$K,6,FALSE)-N$6)/(N$5-N$6)*N$4*C47))</f>
        <v>0</v>
      </c>
      <c r="O47" s="461">
        <f>IF(VLOOKUP($A47,Characteristics!$A:$K,11,FALSE)&lt;=O$6,O$4*C47,IF(VLOOKUP($A47,Characteristics!$A:$K,11,FALSE)&gt;=O$5,0,(VLOOKUP($A47,Characteristics!$A:$K,11,FALSE)-O$5)/(O$6-O$5)*O$4*C47))</f>
        <v>0</v>
      </c>
      <c r="P47" s="205">
        <f t="shared" si="37"/>
        <v>6913.974639099999</v>
      </c>
      <c r="Q47" s="205"/>
      <c r="R47" s="86">
        <v>5498.78</v>
      </c>
      <c r="S47" s="87">
        <f t="shared" si="68"/>
        <v>5608.76</v>
      </c>
      <c r="T47" s="471"/>
      <c r="U47" s="86">
        <f t="shared" si="69"/>
        <v>16796541.138949536</v>
      </c>
      <c r="V47" s="89">
        <v>2282.9538000000002</v>
      </c>
      <c r="W47" s="90">
        <v>1.3117645145863224</v>
      </c>
      <c r="X47" s="91">
        <f t="shared" si="70"/>
        <v>20705264.52536691</v>
      </c>
      <c r="Y47" s="196"/>
      <c r="Z47" s="86">
        <f t="shared" si="39"/>
        <v>5608.76</v>
      </c>
      <c r="AA47" s="86">
        <f t="shared" si="40"/>
        <v>5047.884</v>
      </c>
      <c r="AB47" s="86">
        <f t="shared" si="41"/>
        <v>6169.6360000000004</v>
      </c>
      <c r="AC47" s="469"/>
      <c r="AD47" s="100"/>
      <c r="AE47" s="86">
        <f t="shared" si="42"/>
        <v>5536.9923107485511</v>
      </c>
      <c r="AF47" s="86">
        <f t="shared" si="71"/>
        <v>16581618.599037092</v>
      </c>
      <c r="AG47" s="92">
        <f t="shared" si="43"/>
        <v>0</v>
      </c>
      <c r="AH47" s="92">
        <f t="shared" si="44"/>
        <v>0</v>
      </c>
      <c r="AI47" s="86">
        <f t="shared" si="45"/>
        <v>5536.9923107485511</v>
      </c>
      <c r="AJ47" s="201"/>
      <c r="AK47" s="86">
        <f t="shared" si="72"/>
        <v>16581618.599037092</v>
      </c>
      <c r="AL47" s="93">
        <f t="shared" si="73"/>
        <v>20705264.52536691</v>
      </c>
      <c r="AM47" s="93">
        <f t="shared" si="5"/>
        <v>16796541.138949536</v>
      </c>
      <c r="AN47" s="94">
        <f t="shared" si="46"/>
        <v>0</v>
      </c>
      <c r="AO47" s="95"/>
      <c r="AP47" s="86">
        <f t="shared" si="47"/>
        <v>5518.2827036807976</v>
      </c>
      <c r="AQ47" s="86">
        <f t="shared" si="74"/>
        <v>16525588.980225252</v>
      </c>
      <c r="AR47" s="92">
        <f t="shared" si="48"/>
        <v>0</v>
      </c>
      <c r="AS47" s="92">
        <f t="shared" si="49"/>
        <v>0</v>
      </c>
      <c r="AT47" s="86">
        <f t="shared" si="50"/>
        <v>5518.2827036807976</v>
      </c>
      <c r="AU47" s="86">
        <f t="shared" si="75"/>
        <v>16525588.980225252</v>
      </c>
      <c r="AV47" s="93">
        <f t="shared" si="76"/>
        <v>20705264.52536691</v>
      </c>
      <c r="AW47" s="93">
        <f t="shared" si="9"/>
        <v>16796541.138949536</v>
      </c>
      <c r="AX47" s="94">
        <f t="shared" si="10"/>
        <v>0</v>
      </c>
      <c r="AY47" s="92">
        <f t="shared" si="11"/>
        <v>0</v>
      </c>
      <c r="AZ47" s="95"/>
      <c r="BA47" s="86">
        <f t="shared" si="51"/>
        <v>5525.0164327709654</v>
      </c>
      <c r="BB47" s="86">
        <f t="shared" si="77"/>
        <v>16545754.463804787</v>
      </c>
      <c r="BC47" s="92">
        <f t="shared" si="52"/>
        <v>0</v>
      </c>
      <c r="BD47" s="92">
        <f t="shared" si="53"/>
        <v>0</v>
      </c>
      <c r="BE47" s="86">
        <f t="shared" si="54"/>
        <v>5525.0164327709654</v>
      </c>
      <c r="BF47" s="86">
        <f t="shared" si="78"/>
        <v>16545754.463804787</v>
      </c>
      <c r="BG47" s="96">
        <f t="shared" si="79"/>
        <v>20705264.52536691</v>
      </c>
      <c r="BH47" s="96">
        <f t="shared" si="15"/>
        <v>16796541.138949536</v>
      </c>
      <c r="BI47" s="94">
        <f t="shared" si="16"/>
        <v>0</v>
      </c>
      <c r="BJ47" s="92">
        <f t="shared" si="17"/>
        <v>0</v>
      </c>
      <c r="BK47" s="95"/>
      <c r="BL47" s="86">
        <f t="shared" si="55"/>
        <v>5525.0165024920461</v>
      </c>
      <c r="BM47" s="86">
        <f t="shared" si="80"/>
        <v>16545754.672598351</v>
      </c>
      <c r="BN47" s="92">
        <f t="shared" si="56"/>
        <v>0</v>
      </c>
      <c r="BO47" s="92">
        <f t="shared" si="57"/>
        <v>0</v>
      </c>
      <c r="BP47" s="86">
        <f t="shared" si="58"/>
        <v>5525.0165024920461</v>
      </c>
      <c r="BQ47" s="86">
        <f t="shared" si="81"/>
        <v>16545754.672598351</v>
      </c>
      <c r="BR47" s="93">
        <f t="shared" si="82"/>
        <v>20705264.52536691</v>
      </c>
      <c r="BS47" s="93">
        <f t="shared" si="21"/>
        <v>16796541.138949536</v>
      </c>
      <c r="BT47" s="94">
        <f t="shared" si="22"/>
        <v>0</v>
      </c>
      <c r="BU47" s="92">
        <f t="shared" si="23"/>
        <v>0</v>
      </c>
      <c r="BV47" s="95"/>
      <c r="BW47" s="86">
        <f t="shared" si="59"/>
        <v>5525.0165024920461</v>
      </c>
      <c r="BX47" s="86">
        <f t="shared" si="83"/>
        <v>16545754.672598351</v>
      </c>
      <c r="BY47" s="92">
        <f t="shared" si="60"/>
        <v>0</v>
      </c>
      <c r="BZ47" s="92">
        <f t="shared" si="61"/>
        <v>0</v>
      </c>
      <c r="CA47" s="86">
        <f t="shared" si="62"/>
        <v>5525.0165024920461</v>
      </c>
      <c r="CB47" s="86">
        <f t="shared" si="84"/>
        <v>16545754.672598351</v>
      </c>
      <c r="CC47" s="96">
        <f t="shared" si="85"/>
        <v>20705264.52536691</v>
      </c>
      <c r="CD47" s="96">
        <f t="shared" si="27"/>
        <v>16796541.138949536</v>
      </c>
      <c r="CE47" s="94">
        <f t="shared" si="28"/>
        <v>0</v>
      </c>
      <c r="CF47" s="92">
        <f t="shared" si="29"/>
        <v>0</v>
      </c>
      <c r="CG47" s="67"/>
      <c r="CH47" s="86">
        <f t="shared" si="30"/>
        <v>5525.0165024920461</v>
      </c>
      <c r="CI47" s="86">
        <f t="shared" si="86"/>
        <v>16545754.672598351</v>
      </c>
      <c r="CJ47" s="92">
        <f t="shared" si="63"/>
        <v>0</v>
      </c>
      <c r="CK47" s="92">
        <f t="shared" si="64"/>
        <v>0</v>
      </c>
      <c r="CL47" s="86">
        <f t="shared" si="65"/>
        <v>5525.0165024920461</v>
      </c>
      <c r="CM47" s="86">
        <f t="shared" si="87"/>
        <v>16545754.672598351</v>
      </c>
      <c r="CN47" s="97">
        <f t="shared" si="33"/>
        <v>0.98506916011596968</v>
      </c>
      <c r="CO47" s="554">
        <f t="shared" si="88"/>
        <v>60116</v>
      </c>
      <c r="CP47" s="153"/>
      <c r="CQ47" s="153">
        <f t="shared" si="89"/>
        <v>5690.77</v>
      </c>
      <c r="CR47" s="353"/>
      <c r="CS47" s="391" t="str">
        <f>VLOOKUP(A47,Characteristics!A40:M123,13,FALSE)</f>
        <v/>
      </c>
      <c r="CT47" s="206">
        <f>VLOOKUP(A47,Characteristics!A40:C123,3,FALSE)</f>
        <v>0</v>
      </c>
      <c r="CU47" s="557">
        <f t="shared" si="66"/>
        <v>5690.77</v>
      </c>
      <c r="CV47" s="557" t="str">
        <f t="shared" si="67"/>
        <v/>
      </c>
    </row>
    <row r="48" spans="1:100" s="125" customFormat="1" x14ac:dyDescent="0.3">
      <c r="A48" s="199">
        <v>60117</v>
      </c>
      <c r="B48" s="139"/>
      <c r="C48" s="558">
        <f>VLOOKUP($A48,'Fed Bs Rt+IME+GME+VBP+RAA+HAC'!$B$5:$AG$88,19,FALSE)</f>
        <v>6918.4759729999996</v>
      </c>
      <c r="D48" s="458">
        <f>VLOOKUP($A48,'Fed Bs Rt+IME+GME+VBP+RAA+HAC'!$B$5:$AG$88,25,FALSE)</f>
        <v>0</v>
      </c>
      <c r="E48" s="458">
        <f>VLOOKUP($A48,'Fed Bs Rt+IME+GME+VBP+RAA+HAC'!$B$5:$AG$88,29,FALSE)</f>
        <v>0</v>
      </c>
      <c r="F48" s="458">
        <f>VLOOKUP($A48,'Fed Bs Rt+IME+GME+VBP+RAA+HAC'!$B$5:$AG$88,27,FALSE)</f>
        <v>0</v>
      </c>
      <c r="G48" s="458">
        <f>VLOOKUP($A48,'Fed Bs Rt+IME+GME+VBP+RAA+HAC'!$B$5:$AG$88,32,FALSE)</f>
        <v>0</v>
      </c>
      <c r="H48" s="205">
        <f t="shared" si="36"/>
        <v>0</v>
      </c>
      <c r="I48" s="458">
        <f>VLOOKUP(A48,'Fed Bs Rt+IME+GME+VBP+RAA+HAC'!$B$5:$U$88,20,FALSE)</f>
        <v>0</v>
      </c>
      <c r="J48" s="459">
        <f>IF(Characteristics!M41="CAH",+C48*J$4,0)</f>
        <v>0</v>
      </c>
      <c r="K48" s="459">
        <f>IF(OR(Characteristics!M41="SCH",Characteristics!M41="MDH"),+C48*K$4,0)</f>
        <v>0</v>
      </c>
      <c r="L48" s="460">
        <f>IF(OR(J48&gt;0,K48&gt;0,M48&gt;0),0,IF(VLOOKUP(A48,Characteristics!A:H,8,FALSE)&lt;=L$6,L$4*C48,IF(VLOOKUP(A48,Characteristics!A:H,8,FALSE)&gt;=L$5,0,(VLOOKUP(A48,Characteristics!A:H,8,FALSE)-L$5)/(L$6-L$5)*L$4*C48)))</f>
        <v>658.17768089806668</v>
      </c>
      <c r="M48" s="541">
        <f>IF(VLOOKUP($A48,Characteristics!$A:$E,3,FALSE)=2,M$4*C48,0)</f>
        <v>0</v>
      </c>
      <c r="N48" s="461">
        <f>IF(VLOOKUP($A48,Characteristics!$A:$K,6,FALSE)&gt;=N$5,N$4*C48,IF(VLOOKUP($A48,Characteristics!$A:$K,6,FALSE)&lt;=N$6,0,(VLOOKUP($A48,Characteristics!$A:$K,6,FALSE)-N$6)/(N$5-N$6)*N$4*C48))</f>
        <v>0</v>
      </c>
      <c r="O48" s="461">
        <f>IF(VLOOKUP($A48,Characteristics!$A:$K,11,FALSE)&lt;=O$6,O$4*C48,IF(VLOOKUP($A48,Characteristics!$A:$K,11,FALSE)&gt;=O$5,0,(VLOOKUP($A48,Characteristics!$A:$K,11,FALSE)-O$5)/(O$6-O$5)*O$4*C48))</f>
        <v>0</v>
      </c>
      <c r="P48" s="205">
        <f t="shared" si="37"/>
        <v>7576.6536538980663</v>
      </c>
      <c r="Q48" s="205"/>
      <c r="R48" s="86">
        <v>5395.9</v>
      </c>
      <c r="S48" s="87">
        <f t="shared" si="68"/>
        <v>5503.82</v>
      </c>
      <c r="T48" s="471"/>
      <c r="U48" s="86">
        <f t="shared" si="69"/>
        <v>243017.73221249995</v>
      </c>
      <c r="V48" s="89">
        <v>30</v>
      </c>
      <c r="W48" s="90">
        <v>1.4718125</v>
      </c>
      <c r="X48" s="91">
        <f t="shared" si="70"/>
        <v>334542.4066793354</v>
      </c>
      <c r="Y48" s="196"/>
      <c r="Z48" s="86">
        <f t="shared" si="39"/>
        <v>5503.82</v>
      </c>
      <c r="AA48" s="86">
        <f t="shared" si="40"/>
        <v>4953.4380000000001</v>
      </c>
      <c r="AB48" s="86">
        <f t="shared" si="41"/>
        <v>6054.2020000000002</v>
      </c>
      <c r="AC48" s="469"/>
      <c r="AD48" s="99"/>
      <c r="AE48" s="86">
        <f t="shared" si="42"/>
        <v>6067.6926388465081</v>
      </c>
      <c r="AF48" s="86">
        <f t="shared" si="71"/>
        <v>267915.17616036825</v>
      </c>
      <c r="AG48" s="92">
        <f t="shared" si="43"/>
        <v>0</v>
      </c>
      <c r="AH48" s="92">
        <f t="shared" si="44"/>
        <v>1</v>
      </c>
      <c r="AI48" s="86">
        <f t="shared" si="45"/>
        <v>6054.2020000000002</v>
      </c>
      <c r="AJ48" s="201"/>
      <c r="AK48" s="86">
        <f t="shared" si="72"/>
        <v>267319.50543374999</v>
      </c>
      <c r="AL48" s="93">
        <f t="shared" si="73"/>
        <v>334542.4066793354</v>
      </c>
      <c r="AM48" s="93">
        <f t="shared" si="5"/>
        <v>243017.73221249995</v>
      </c>
      <c r="AN48" s="94">
        <f t="shared" si="46"/>
        <v>0</v>
      </c>
      <c r="AO48" s="95"/>
      <c r="AP48" s="86">
        <f t="shared" si="47"/>
        <v>6047.1897848222497</v>
      </c>
      <c r="AQ48" s="86">
        <f t="shared" si="74"/>
        <v>267009.88545521093</v>
      </c>
      <c r="AR48" s="92">
        <f t="shared" si="48"/>
        <v>0</v>
      </c>
      <c r="AS48" s="92">
        <f t="shared" si="49"/>
        <v>0</v>
      </c>
      <c r="AT48" s="86">
        <f t="shared" si="50"/>
        <v>6047.1897848222497</v>
      </c>
      <c r="AU48" s="86">
        <f t="shared" si="75"/>
        <v>267009.88545521093</v>
      </c>
      <c r="AV48" s="93">
        <f t="shared" si="76"/>
        <v>334542.4066793354</v>
      </c>
      <c r="AW48" s="93">
        <f t="shared" si="9"/>
        <v>243017.73221249995</v>
      </c>
      <c r="AX48" s="94">
        <f t="shared" si="10"/>
        <v>0</v>
      </c>
      <c r="AY48" s="92">
        <f t="shared" si="11"/>
        <v>0</v>
      </c>
      <c r="AZ48" s="95"/>
      <c r="BA48" s="86">
        <f t="shared" si="51"/>
        <v>6054.5689170549394</v>
      </c>
      <c r="BB48" s="86">
        <f t="shared" si="77"/>
        <v>267335.70642698766</v>
      </c>
      <c r="BC48" s="92">
        <f t="shared" si="52"/>
        <v>0</v>
      </c>
      <c r="BD48" s="92">
        <f t="shared" si="53"/>
        <v>1</v>
      </c>
      <c r="BE48" s="86">
        <f t="shared" si="54"/>
        <v>6054.2020000000002</v>
      </c>
      <c r="BF48" s="86">
        <f t="shared" si="78"/>
        <v>267319.50543374999</v>
      </c>
      <c r="BG48" s="96">
        <f t="shared" si="79"/>
        <v>0</v>
      </c>
      <c r="BH48" s="96">
        <f t="shared" si="15"/>
        <v>-24301.773221250041</v>
      </c>
      <c r="BI48" s="94">
        <f t="shared" si="16"/>
        <v>1</v>
      </c>
      <c r="BJ48" s="92">
        <f t="shared" si="17"/>
        <v>1</v>
      </c>
      <c r="BK48" s="95"/>
      <c r="BL48" s="86">
        <f t="shared" si="55"/>
        <v>6054.2020000000002</v>
      </c>
      <c r="BM48" s="86">
        <f t="shared" si="80"/>
        <v>267319.50543374999</v>
      </c>
      <c r="BN48" s="92">
        <f t="shared" si="56"/>
        <v>0</v>
      </c>
      <c r="BO48" s="92">
        <f t="shared" si="57"/>
        <v>1</v>
      </c>
      <c r="BP48" s="86">
        <f t="shared" si="58"/>
        <v>6054.2020000000002</v>
      </c>
      <c r="BQ48" s="86">
        <f t="shared" si="81"/>
        <v>267319.50543374999</v>
      </c>
      <c r="BR48" s="93">
        <f t="shared" si="82"/>
        <v>0</v>
      </c>
      <c r="BS48" s="93">
        <f t="shared" si="21"/>
        <v>-24301.773221250041</v>
      </c>
      <c r="BT48" s="94">
        <f t="shared" si="22"/>
        <v>1</v>
      </c>
      <c r="BU48" s="92">
        <f t="shared" si="23"/>
        <v>0</v>
      </c>
      <c r="BV48" s="95"/>
      <c r="BW48" s="86">
        <f t="shared" si="59"/>
        <v>6054.2020000000002</v>
      </c>
      <c r="BX48" s="86">
        <f t="shared" si="83"/>
        <v>267319.50543374999</v>
      </c>
      <c r="BY48" s="92">
        <f t="shared" si="60"/>
        <v>0</v>
      </c>
      <c r="BZ48" s="92">
        <f t="shared" si="61"/>
        <v>1</v>
      </c>
      <c r="CA48" s="86">
        <f t="shared" si="62"/>
        <v>6054.2020000000002</v>
      </c>
      <c r="CB48" s="86">
        <f t="shared" si="84"/>
        <v>267319.50543374999</v>
      </c>
      <c r="CC48" s="96">
        <f t="shared" si="85"/>
        <v>0</v>
      </c>
      <c r="CD48" s="96">
        <f t="shared" si="27"/>
        <v>-24301.773221250041</v>
      </c>
      <c r="CE48" s="94">
        <f t="shared" si="28"/>
        <v>1</v>
      </c>
      <c r="CF48" s="92">
        <f t="shared" si="29"/>
        <v>0</v>
      </c>
      <c r="CG48" s="67"/>
      <c r="CH48" s="86">
        <f t="shared" si="30"/>
        <v>6054.568993458528</v>
      </c>
      <c r="CI48" s="86">
        <f t="shared" si="86"/>
        <v>267335.70980054041</v>
      </c>
      <c r="CJ48" s="92">
        <f t="shared" si="63"/>
        <v>0</v>
      </c>
      <c r="CK48" s="92">
        <f t="shared" si="64"/>
        <v>1</v>
      </c>
      <c r="CL48" s="86">
        <f t="shared" si="65"/>
        <v>6054.2020000000002</v>
      </c>
      <c r="CM48" s="86">
        <f t="shared" si="87"/>
        <v>267319.50543374999</v>
      </c>
      <c r="CN48" s="97">
        <f t="shared" si="33"/>
        <v>1.1000000000000001</v>
      </c>
      <c r="CO48" s="554">
        <f t="shared" si="88"/>
        <v>60117</v>
      </c>
      <c r="CP48" s="153"/>
      <c r="CQ48" s="153">
        <f t="shared" si="89"/>
        <v>6235.83</v>
      </c>
      <c r="CR48" s="353"/>
      <c r="CS48" s="391" t="str">
        <f>VLOOKUP(A48,Characteristics!A41:M124,13,FALSE)</f>
        <v/>
      </c>
      <c r="CT48" s="206">
        <f>VLOOKUP(A48,Characteristics!A41:C124,3,FALSE)</f>
        <v>1</v>
      </c>
      <c r="CU48" s="557" t="str">
        <f t="shared" si="66"/>
        <v/>
      </c>
      <c r="CV48" s="557">
        <f t="shared" si="67"/>
        <v>6235.83</v>
      </c>
    </row>
    <row r="49" spans="1:100" s="125" customFormat="1" x14ac:dyDescent="0.3">
      <c r="A49" s="199">
        <v>60118</v>
      </c>
      <c r="B49" s="139"/>
      <c r="C49" s="558">
        <f>VLOOKUP($A49,'Fed Bs Rt+IME+GME+VBP+RAA+HAC'!$B$5:$AG$88,19,FALSE)</f>
        <v>6918.4759729999996</v>
      </c>
      <c r="D49" s="458">
        <f>VLOOKUP($A49,'Fed Bs Rt+IME+GME+VBP+RAA+HAC'!$B$5:$AG$88,25,FALSE)</f>
        <v>0</v>
      </c>
      <c r="E49" s="458">
        <f>VLOOKUP($A49,'Fed Bs Rt+IME+GME+VBP+RAA+HAC'!$B$5:$AG$88,29,FALSE)</f>
        <v>0</v>
      </c>
      <c r="F49" s="458">
        <f>VLOOKUP($A49,'Fed Bs Rt+IME+GME+VBP+RAA+HAC'!$B$5:$AG$88,27,FALSE)</f>
        <v>0</v>
      </c>
      <c r="G49" s="458">
        <f>VLOOKUP($A49,'Fed Bs Rt+IME+GME+VBP+RAA+HAC'!$B$5:$AG$88,32,FALSE)</f>
        <v>0</v>
      </c>
      <c r="H49" s="205">
        <f t="shared" si="36"/>
        <v>0</v>
      </c>
      <c r="I49" s="458">
        <f>VLOOKUP(A49,'Fed Bs Rt+IME+GME+VBP+RAA+HAC'!$B$5:$U$88,20,FALSE)</f>
        <v>0</v>
      </c>
      <c r="J49" s="459">
        <f>IF(Characteristics!M42="CAH",+C49*J$4,0)</f>
        <v>0</v>
      </c>
      <c r="K49" s="459">
        <f>IF(OR(Characteristics!M42="SCH",Characteristics!M42="MDH"),+C49*K$4,0)</f>
        <v>0</v>
      </c>
      <c r="L49" s="460">
        <f>IF(OR(J49&gt;0,K49&gt;0,M49&gt;0),0,IF(VLOOKUP(A49,Characteristics!A:H,8,FALSE)&lt;=L$6,L$4*C49,IF(VLOOKUP(A49,Characteristics!A:H,8,FALSE)&gt;=L$5,0,(VLOOKUP(A49,Characteristics!A:H,8,FALSE)-L$5)/(L$6-L$5)*L$4*C49)))</f>
        <v>415.56979011153334</v>
      </c>
      <c r="M49" s="541">
        <f>IF(VLOOKUP($A49,Characteristics!$A:$E,3,FALSE)=2,M$4*C49,0)</f>
        <v>0</v>
      </c>
      <c r="N49" s="461">
        <f>IF(VLOOKUP($A49,Characteristics!$A:$K,6,FALSE)&gt;=N$5,N$4*C49,IF(VLOOKUP($A49,Characteristics!$A:$K,6,FALSE)&lt;=N$6,0,(VLOOKUP($A49,Characteristics!$A:$K,6,FALSE)-N$6)/(N$5-N$6)*N$4*C49))</f>
        <v>0</v>
      </c>
      <c r="O49" s="461">
        <f>IF(VLOOKUP($A49,Characteristics!$A:$K,11,FALSE)&lt;=O$6,O$4*C49,IF(VLOOKUP($A49,Characteristics!$A:$K,11,FALSE)&gt;=O$5,0,(VLOOKUP($A49,Characteristics!$A:$K,11,FALSE)-O$5)/(O$6-O$5)*O$4*C49))</f>
        <v>0</v>
      </c>
      <c r="P49" s="205">
        <f t="shared" si="37"/>
        <v>7334.0457631115332</v>
      </c>
      <c r="Q49" s="205"/>
      <c r="R49" s="86">
        <v>6578.69</v>
      </c>
      <c r="S49" s="87">
        <f t="shared" si="68"/>
        <v>6710.26</v>
      </c>
      <c r="T49" s="471"/>
      <c r="U49" s="86">
        <f t="shared" si="69"/>
        <v>2042322.2400353162</v>
      </c>
      <c r="V49" s="89">
        <v>518.60500000000002</v>
      </c>
      <c r="W49" s="90">
        <v>0.58687852631578941</v>
      </c>
      <c r="X49" s="91">
        <f t="shared" si="70"/>
        <v>2232176.5134941814</v>
      </c>
      <c r="Y49" s="196"/>
      <c r="Z49" s="86">
        <f t="shared" si="39"/>
        <v>6710.26</v>
      </c>
      <c r="AA49" s="86">
        <f t="shared" si="40"/>
        <v>6039.2340000000004</v>
      </c>
      <c r="AB49" s="86">
        <f t="shared" si="41"/>
        <v>7381.286000000001</v>
      </c>
      <c r="AC49" s="469"/>
      <c r="AD49" s="100"/>
      <c r="AE49" s="86">
        <f t="shared" si="42"/>
        <v>5873.4023650269874</v>
      </c>
      <c r="AF49" s="86">
        <f t="shared" si="71"/>
        <v>1787617.8083666863</v>
      </c>
      <c r="AG49" s="92">
        <f t="shared" si="43"/>
        <v>1</v>
      </c>
      <c r="AH49" s="92">
        <f t="shared" si="44"/>
        <v>0</v>
      </c>
      <c r="AI49" s="86">
        <f t="shared" si="45"/>
        <v>6039.2340000000004</v>
      </c>
      <c r="AJ49" s="201"/>
      <c r="AK49" s="86">
        <f t="shared" si="72"/>
        <v>1838090.0160317849</v>
      </c>
      <c r="AL49" s="93">
        <f t="shared" si="73"/>
        <v>0</v>
      </c>
      <c r="AM49" s="93">
        <f t="shared" si="5"/>
        <v>204232.22400353127</v>
      </c>
      <c r="AN49" s="94">
        <f t="shared" si="46"/>
        <v>1</v>
      </c>
      <c r="AO49" s="95"/>
      <c r="AP49" s="86">
        <f t="shared" si="47"/>
        <v>6039.2340000000004</v>
      </c>
      <c r="AQ49" s="86">
        <f t="shared" si="74"/>
        <v>1838090.0160317849</v>
      </c>
      <c r="AR49" s="92">
        <f t="shared" si="48"/>
        <v>1</v>
      </c>
      <c r="AS49" s="92">
        <f t="shared" si="49"/>
        <v>0</v>
      </c>
      <c r="AT49" s="86">
        <f t="shared" si="50"/>
        <v>6039.2340000000004</v>
      </c>
      <c r="AU49" s="86">
        <f t="shared" si="75"/>
        <v>1838090.0160317849</v>
      </c>
      <c r="AV49" s="93">
        <f t="shared" si="76"/>
        <v>0</v>
      </c>
      <c r="AW49" s="93">
        <f t="shared" si="9"/>
        <v>204232.22400353127</v>
      </c>
      <c r="AX49" s="94">
        <f t="shared" si="10"/>
        <v>1</v>
      </c>
      <c r="AY49" s="92">
        <f t="shared" si="11"/>
        <v>0</v>
      </c>
      <c r="AZ49" s="95"/>
      <c r="BA49" s="86">
        <f t="shared" si="51"/>
        <v>6039.2340000000004</v>
      </c>
      <c r="BB49" s="86">
        <f t="shared" si="77"/>
        <v>1838090.0160317849</v>
      </c>
      <c r="BC49" s="92">
        <f t="shared" si="52"/>
        <v>1</v>
      </c>
      <c r="BD49" s="92">
        <f t="shared" si="53"/>
        <v>0</v>
      </c>
      <c r="BE49" s="86">
        <f t="shared" si="54"/>
        <v>6039.2340000000004</v>
      </c>
      <c r="BF49" s="86">
        <f t="shared" si="78"/>
        <v>1838090.0160317849</v>
      </c>
      <c r="BG49" s="96">
        <f t="shared" si="79"/>
        <v>0</v>
      </c>
      <c r="BH49" s="96">
        <f t="shared" si="15"/>
        <v>204232.22400353127</v>
      </c>
      <c r="BI49" s="94">
        <f t="shared" si="16"/>
        <v>1</v>
      </c>
      <c r="BJ49" s="92">
        <f t="shared" si="17"/>
        <v>0</v>
      </c>
      <c r="BK49" s="95"/>
      <c r="BL49" s="86">
        <f t="shared" si="55"/>
        <v>6039.2340000000004</v>
      </c>
      <c r="BM49" s="86">
        <f t="shared" si="80"/>
        <v>1838090.0160317849</v>
      </c>
      <c r="BN49" s="92">
        <f t="shared" si="56"/>
        <v>1</v>
      </c>
      <c r="BO49" s="92">
        <f t="shared" si="57"/>
        <v>0</v>
      </c>
      <c r="BP49" s="86">
        <f t="shared" si="58"/>
        <v>6039.2340000000004</v>
      </c>
      <c r="BQ49" s="86">
        <f t="shared" si="81"/>
        <v>1838090.0160317849</v>
      </c>
      <c r="BR49" s="93">
        <f t="shared" si="82"/>
        <v>0</v>
      </c>
      <c r="BS49" s="93">
        <f t="shared" si="21"/>
        <v>204232.22400353127</v>
      </c>
      <c r="BT49" s="94">
        <f t="shared" si="22"/>
        <v>1</v>
      </c>
      <c r="BU49" s="92">
        <f t="shared" si="23"/>
        <v>0</v>
      </c>
      <c r="BV49" s="95"/>
      <c r="BW49" s="86">
        <f t="shared" si="59"/>
        <v>6039.2340000000004</v>
      </c>
      <c r="BX49" s="86">
        <f t="shared" si="83"/>
        <v>1838090.0160317849</v>
      </c>
      <c r="BY49" s="92">
        <f t="shared" si="60"/>
        <v>1</v>
      </c>
      <c r="BZ49" s="92">
        <f t="shared" si="61"/>
        <v>0</v>
      </c>
      <c r="CA49" s="86">
        <f t="shared" si="62"/>
        <v>6039.2340000000004</v>
      </c>
      <c r="CB49" s="86">
        <f t="shared" si="84"/>
        <v>1838090.0160317849</v>
      </c>
      <c r="CC49" s="96">
        <f t="shared" si="85"/>
        <v>0</v>
      </c>
      <c r="CD49" s="96">
        <f t="shared" si="27"/>
        <v>204232.22400353127</v>
      </c>
      <c r="CE49" s="94">
        <f t="shared" si="28"/>
        <v>1</v>
      </c>
      <c r="CF49" s="92">
        <f t="shared" si="29"/>
        <v>0</v>
      </c>
      <c r="CG49" s="67"/>
      <c r="CH49" s="86">
        <f t="shared" si="30"/>
        <v>5860.6989447241776</v>
      </c>
      <c r="CI49" s="86">
        <f t="shared" si="86"/>
        <v>1783751.4190153133</v>
      </c>
      <c r="CJ49" s="92">
        <f t="shared" si="63"/>
        <v>1</v>
      </c>
      <c r="CK49" s="92">
        <f t="shared" si="64"/>
        <v>0</v>
      </c>
      <c r="CL49" s="86">
        <f t="shared" si="65"/>
        <v>6039.2340000000004</v>
      </c>
      <c r="CM49" s="86">
        <f t="shared" si="87"/>
        <v>1838090.0160317849</v>
      </c>
      <c r="CN49" s="97">
        <f t="shared" si="33"/>
        <v>0.9</v>
      </c>
      <c r="CO49" s="554">
        <f t="shared" si="88"/>
        <v>60118</v>
      </c>
      <c r="CP49" s="153"/>
      <c r="CQ49" s="153">
        <f t="shared" si="89"/>
        <v>6220.41</v>
      </c>
      <c r="CR49" s="353"/>
      <c r="CS49" s="391" t="str">
        <f>VLOOKUP(A49,Characteristics!A42:M125,13,FALSE)</f>
        <v/>
      </c>
      <c r="CT49" s="206">
        <f>VLOOKUP(A49,Characteristics!A42:C125,3,FALSE)</f>
        <v>1</v>
      </c>
      <c r="CU49" s="557" t="str">
        <f t="shared" si="66"/>
        <v/>
      </c>
      <c r="CV49" s="557">
        <f t="shared" si="67"/>
        <v>6220.41</v>
      </c>
    </row>
    <row r="50" spans="1:100" s="194" customFormat="1" x14ac:dyDescent="0.3">
      <c r="A50" s="206">
        <v>60119</v>
      </c>
      <c r="B50" s="165"/>
      <c r="C50" s="558">
        <f>VLOOKUP($A50,'Fed Bs Rt+IME+GME+VBP+RAA+HAC'!$B$5:$AG$88,19,FALSE)</f>
        <v>6918.4759729999996</v>
      </c>
      <c r="D50" s="458">
        <f>VLOOKUP($A50,'Fed Bs Rt+IME+GME+VBP+RAA+HAC'!$B$5:$AG$88,25,FALSE)</f>
        <v>0</v>
      </c>
      <c r="E50" s="458">
        <f>VLOOKUP($A50,'Fed Bs Rt+IME+GME+VBP+RAA+HAC'!$B$5:$AG$88,29,FALSE)</f>
        <v>-3.8582862000002889</v>
      </c>
      <c r="F50" s="458">
        <f>VLOOKUP($A50,'Fed Bs Rt+IME+GME+VBP+RAA+HAC'!$B$5:$AG$88,27,FALSE)</f>
        <v>0</v>
      </c>
      <c r="G50" s="458">
        <f>VLOOKUP($A50,'Fed Bs Rt+IME+GME+VBP+RAA+HAC'!$B$5:$AG$88,32,FALSE)</f>
        <v>0</v>
      </c>
      <c r="H50" s="205">
        <f t="shared" si="36"/>
        <v>-3.8582862000002889</v>
      </c>
      <c r="I50" s="458">
        <f>VLOOKUP(A50,'Fed Bs Rt+IME+GME+VBP+RAA+HAC'!$B$5:$U$88,20,FALSE)</f>
        <v>0.64674522325860906</v>
      </c>
      <c r="J50" s="459">
        <f>IF(Characteristics!M43="CAH",+C50*J$4,0)</f>
        <v>0</v>
      </c>
      <c r="K50" s="459">
        <f>IF(OR(Characteristics!M43="SCH",Characteristics!M43="MDH"),+C50*K$4,0)</f>
        <v>0</v>
      </c>
      <c r="L50" s="460">
        <f>IF(OR(J50&gt;0,K50&gt;0,M50&gt;0),0,IF(VLOOKUP(A50,Characteristics!A:H,8,FALSE)&lt;=L$6,L$4*C50,IF(VLOOKUP(A50,Characteristics!A:H,8,FALSE)&gt;=L$5,0,(VLOOKUP(A50,Characteristics!A:H,8,FALSE)-L$5)/(L$6-L$5)*L$4*C50)))</f>
        <v>0</v>
      </c>
      <c r="M50" s="541">
        <f>IF(VLOOKUP($A50,Characteristics!$A:$E,3,FALSE)=2,M$4*C50,0)</f>
        <v>0</v>
      </c>
      <c r="N50" s="461">
        <f>IF(VLOOKUP($A50,Characteristics!$A:$K,6,FALSE)&gt;=N$5,N$4*C50,IF(VLOOKUP($A50,Characteristics!$A:$K,6,FALSE)&lt;=N$6,0,(VLOOKUP($A50,Characteristics!$A:$K,6,FALSE)-N$6)/(N$5-N$6)*N$4*C50))</f>
        <v>0</v>
      </c>
      <c r="O50" s="461">
        <f>IF(VLOOKUP($A50,Characteristics!$A:$K,11,FALSE)&lt;=O$6,O$4*C50,IF(VLOOKUP($A50,Characteristics!$A:$K,11,FALSE)&gt;=O$5,0,(VLOOKUP($A50,Characteristics!$A:$K,11,FALSE)-O$5)/(O$6-O$5)*O$4*C50))</f>
        <v>0</v>
      </c>
      <c r="P50" s="205">
        <f t="shared" si="37"/>
        <v>6915.2644320232575</v>
      </c>
      <c r="Q50" s="205"/>
      <c r="R50" s="86">
        <v>5455.15</v>
      </c>
      <c r="S50" s="87">
        <f t="shared" si="68"/>
        <v>5564.25</v>
      </c>
      <c r="T50" s="471"/>
      <c r="U50" s="86">
        <f t="shared" si="69"/>
        <v>22305801.070225757</v>
      </c>
      <c r="V50" s="89">
        <v>2089.7052000000003</v>
      </c>
      <c r="W50" s="90">
        <v>1.9183425809822361</v>
      </c>
      <c r="X50" s="91">
        <f t="shared" si="70"/>
        <v>27721707.825622227</v>
      </c>
      <c r="Y50" s="196"/>
      <c r="Z50" s="86">
        <f t="shared" si="39"/>
        <v>5564.25</v>
      </c>
      <c r="AA50" s="86">
        <f t="shared" si="40"/>
        <v>5007.8249999999998</v>
      </c>
      <c r="AB50" s="86">
        <f t="shared" si="41"/>
        <v>6120.6750000000002</v>
      </c>
      <c r="AC50" s="469"/>
      <c r="AD50" s="100"/>
      <c r="AE50" s="86">
        <f t="shared" si="42"/>
        <v>5538.0252294199836</v>
      </c>
      <c r="AF50" s="86">
        <f t="shared" si="71"/>
        <v>22200671.984424409</v>
      </c>
      <c r="AG50" s="92">
        <f t="shared" si="43"/>
        <v>0</v>
      </c>
      <c r="AH50" s="92">
        <f t="shared" si="44"/>
        <v>0</v>
      </c>
      <c r="AI50" s="86">
        <f t="shared" si="45"/>
        <v>5538.0252294199836</v>
      </c>
      <c r="AJ50" s="201"/>
      <c r="AK50" s="86">
        <f t="shared" si="72"/>
        <v>22200671.984424409</v>
      </c>
      <c r="AL50" s="93">
        <f t="shared" si="73"/>
        <v>27721707.825622227</v>
      </c>
      <c r="AM50" s="93">
        <f t="shared" si="5"/>
        <v>22305801.070225757</v>
      </c>
      <c r="AN50" s="94">
        <f t="shared" si="46"/>
        <v>0</v>
      </c>
      <c r="AO50" s="95"/>
      <c r="AP50" s="86">
        <f t="shared" si="47"/>
        <v>5519.3121320995097</v>
      </c>
      <c r="AQ50" s="86">
        <f t="shared" si="74"/>
        <v>22125655.472542617</v>
      </c>
      <c r="AR50" s="92">
        <f t="shared" si="48"/>
        <v>0</v>
      </c>
      <c r="AS50" s="92">
        <f t="shared" si="49"/>
        <v>0</v>
      </c>
      <c r="AT50" s="86">
        <f t="shared" si="50"/>
        <v>5519.3121320995097</v>
      </c>
      <c r="AU50" s="86">
        <f t="shared" si="75"/>
        <v>22125655.472542617</v>
      </c>
      <c r="AV50" s="93">
        <f t="shared" si="76"/>
        <v>27721707.825622227</v>
      </c>
      <c r="AW50" s="93">
        <f t="shared" si="9"/>
        <v>22305801.070225757</v>
      </c>
      <c r="AX50" s="94">
        <f t="shared" si="10"/>
        <v>0</v>
      </c>
      <c r="AY50" s="92">
        <f t="shared" si="11"/>
        <v>0</v>
      </c>
      <c r="AZ50" s="95"/>
      <c r="BA50" s="86">
        <f t="shared" si="51"/>
        <v>5526.0471173580299</v>
      </c>
      <c r="BB50" s="86">
        <f t="shared" si="77"/>
        <v>22152654.48254171</v>
      </c>
      <c r="BC50" s="92">
        <f t="shared" si="52"/>
        <v>0</v>
      </c>
      <c r="BD50" s="92">
        <f t="shared" si="53"/>
        <v>0</v>
      </c>
      <c r="BE50" s="86">
        <f t="shared" si="54"/>
        <v>5526.0471173580299</v>
      </c>
      <c r="BF50" s="86">
        <f t="shared" si="78"/>
        <v>22152654.48254171</v>
      </c>
      <c r="BG50" s="96">
        <f t="shared" si="79"/>
        <v>27721707.825622227</v>
      </c>
      <c r="BH50" s="96">
        <f t="shared" si="15"/>
        <v>22305801.070225757</v>
      </c>
      <c r="BI50" s="94">
        <f t="shared" si="16"/>
        <v>0</v>
      </c>
      <c r="BJ50" s="92">
        <f t="shared" si="17"/>
        <v>0</v>
      </c>
      <c r="BK50" s="95"/>
      <c r="BL50" s="86">
        <f t="shared" si="55"/>
        <v>5526.0471870921165</v>
      </c>
      <c r="BM50" s="86">
        <f t="shared" si="80"/>
        <v>22152654.762089659</v>
      </c>
      <c r="BN50" s="92">
        <f t="shared" si="56"/>
        <v>0</v>
      </c>
      <c r="BO50" s="92">
        <f t="shared" si="57"/>
        <v>0</v>
      </c>
      <c r="BP50" s="86">
        <f t="shared" si="58"/>
        <v>5526.0471870921165</v>
      </c>
      <c r="BQ50" s="86">
        <f t="shared" si="81"/>
        <v>22152654.762089659</v>
      </c>
      <c r="BR50" s="93">
        <f t="shared" si="82"/>
        <v>27721707.825622227</v>
      </c>
      <c r="BS50" s="93">
        <f t="shared" si="21"/>
        <v>22305801.070225757</v>
      </c>
      <c r="BT50" s="94">
        <f t="shared" si="22"/>
        <v>0</v>
      </c>
      <c r="BU50" s="92">
        <f t="shared" si="23"/>
        <v>0</v>
      </c>
      <c r="BV50" s="95"/>
      <c r="BW50" s="86">
        <f t="shared" si="59"/>
        <v>5526.0471870921165</v>
      </c>
      <c r="BX50" s="86">
        <f t="shared" si="83"/>
        <v>22152654.762089659</v>
      </c>
      <c r="BY50" s="92">
        <f t="shared" si="60"/>
        <v>0</v>
      </c>
      <c r="BZ50" s="92">
        <f t="shared" si="61"/>
        <v>0</v>
      </c>
      <c r="CA50" s="86">
        <f t="shared" si="62"/>
        <v>5526.0471870921165</v>
      </c>
      <c r="CB50" s="86">
        <f t="shared" si="84"/>
        <v>22152654.762089659</v>
      </c>
      <c r="CC50" s="96">
        <f t="shared" si="85"/>
        <v>27721707.825622227</v>
      </c>
      <c r="CD50" s="96">
        <f t="shared" si="27"/>
        <v>22305801.070225757</v>
      </c>
      <c r="CE50" s="94">
        <f t="shared" si="28"/>
        <v>0</v>
      </c>
      <c r="CF50" s="92">
        <f t="shared" si="29"/>
        <v>0</v>
      </c>
      <c r="CG50" s="67"/>
      <c r="CH50" s="86">
        <f t="shared" si="30"/>
        <v>5526.0471870921165</v>
      </c>
      <c r="CI50" s="86">
        <f t="shared" si="86"/>
        <v>22152654.762089659</v>
      </c>
      <c r="CJ50" s="92">
        <f t="shared" si="63"/>
        <v>0</v>
      </c>
      <c r="CK50" s="92">
        <f t="shared" si="64"/>
        <v>0</v>
      </c>
      <c r="CL50" s="86">
        <f t="shared" si="65"/>
        <v>5526.0471870921165</v>
      </c>
      <c r="CM50" s="86">
        <f t="shared" si="87"/>
        <v>22152654.762089659</v>
      </c>
      <c r="CN50" s="97">
        <f t="shared" si="33"/>
        <v>0.99313423859318262</v>
      </c>
      <c r="CO50" s="554">
        <f t="shared" si="88"/>
        <v>60119</v>
      </c>
      <c r="CP50" s="153"/>
      <c r="CQ50" s="153">
        <f t="shared" si="89"/>
        <v>5691.83</v>
      </c>
      <c r="CR50" s="353"/>
      <c r="CS50" s="391" t="str">
        <f>VLOOKUP(A50,Characteristics!A43:M126,13,FALSE)</f>
        <v/>
      </c>
      <c r="CT50" s="206">
        <f>VLOOKUP(A50,Characteristics!A43:C126,3,FALSE)</f>
        <v>0</v>
      </c>
      <c r="CU50" s="557">
        <f t="shared" si="66"/>
        <v>5691.83</v>
      </c>
      <c r="CV50" s="557" t="str">
        <f t="shared" si="67"/>
        <v/>
      </c>
    </row>
    <row r="51" spans="1:100" s="69" customFormat="1" x14ac:dyDescent="0.3">
      <c r="A51" s="206">
        <v>60124</v>
      </c>
      <c r="B51" s="165"/>
      <c r="C51" s="558">
        <f>VLOOKUP($A51,'Fed Bs Rt+IME+GME+VBP+RAA+HAC'!$B$5:$AG$88,19,FALSE)</f>
        <v>6918.4759729999996</v>
      </c>
      <c r="D51" s="458">
        <f>VLOOKUP($A51,'Fed Bs Rt+IME+GME+VBP+RAA+HAC'!$B$5:$AG$88,25,FALSE)</f>
        <v>0</v>
      </c>
      <c r="E51" s="458">
        <f>VLOOKUP($A51,'Fed Bs Rt+IME+GME+VBP+RAA+HAC'!$B$5:$AG$88,29,FALSE)</f>
        <v>0</v>
      </c>
      <c r="F51" s="458">
        <f>VLOOKUP($A51,'Fed Bs Rt+IME+GME+VBP+RAA+HAC'!$B$5:$AG$88,27,FALSE)</f>
        <v>0</v>
      </c>
      <c r="G51" s="458">
        <f>VLOOKUP($A51,'Fed Bs Rt+IME+GME+VBP+RAA+HAC'!$B$5:$AG$88,32,FALSE)</f>
        <v>0</v>
      </c>
      <c r="H51" s="205">
        <f t="shared" si="36"/>
        <v>0</v>
      </c>
      <c r="I51" s="458">
        <f>VLOOKUP(A51,'Fed Bs Rt+IME+GME+VBP+RAA+HAC'!$B$5:$U$88,20,FALSE)</f>
        <v>0</v>
      </c>
      <c r="J51" s="459">
        <f>IF(Characteristics!M44="CAH",+C51*J$4,0)</f>
        <v>0</v>
      </c>
      <c r="K51" s="459">
        <f>IF(OR(Characteristics!M44="SCH",Characteristics!M44="MDH"),+C51*K$4,0)</f>
        <v>0</v>
      </c>
      <c r="L51" s="460">
        <f>IF(OR(J51&gt;0,K51&gt;0,M51&gt;0),0,IF(VLOOKUP(A51,Characteristics!A:H,8,FALSE)&lt;=L$6,L$4*C51,IF(VLOOKUP(A51,Characteristics!A:H,8,FALSE)&gt;=L$5,0,(VLOOKUP(A51,Characteristics!A:H,8,FALSE)-L$5)/(L$6-L$5)*L$4*C51)))</f>
        <v>314.32942503996668</v>
      </c>
      <c r="M51" s="541">
        <f>IF(VLOOKUP($A51,Characteristics!$A:$E,3,FALSE)=2,M$4*C51,0)</f>
        <v>0</v>
      </c>
      <c r="N51" s="461">
        <f>IF(VLOOKUP($A51,Characteristics!$A:$K,6,FALSE)&gt;=N$5,N$4*C51,IF(VLOOKUP($A51,Characteristics!$A:$K,6,FALSE)&lt;=N$6,0,(VLOOKUP($A51,Characteristics!$A:$K,6,FALSE)-N$6)/(N$5-N$6)*N$4*C51))</f>
        <v>0</v>
      </c>
      <c r="O51" s="461">
        <f>IF(VLOOKUP($A51,Characteristics!$A:$K,11,FALSE)&lt;=O$6,O$4*C51,IF(VLOOKUP($A51,Characteristics!$A:$K,11,FALSE)&gt;=O$5,0,(VLOOKUP($A51,Characteristics!$A:$K,11,FALSE)-O$5)/(O$6-O$5)*O$4*C51))</f>
        <v>0</v>
      </c>
      <c r="P51" s="205">
        <f t="shared" si="37"/>
        <v>7232.8053980399663</v>
      </c>
      <c r="Q51" s="205"/>
      <c r="R51" s="86">
        <v>5617.62</v>
      </c>
      <c r="S51" s="87">
        <f t="shared" si="68"/>
        <v>5729.97</v>
      </c>
      <c r="T51" s="471"/>
      <c r="U51" s="86">
        <f t="shared" si="69"/>
        <v>1067981.7056352703</v>
      </c>
      <c r="V51" s="89">
        <v>73.150600000000011</v>
      </c>
      <c r="W51" s="90">
        <v>2.5479656716417907</v>
      </c>
      <c r="X51" s="91">
        <f t="shared" si="70"/>
        <v>1348088.008406102</v>
      </c>
      <c r="Y51" s="196"/>
      <c r="Z51" s="86">
        <f t="shared" si="39"/>
        <v>5729.97</v>
      </c>
      <c r="AA51" s="86">
        <f t="shared" si="40"/>
        <v>5156.973</v>
      </c>
      <c r="AB51" s="86">
        <f t="shared" si="41"/>
        <v>6302.9670000000006</v>
      </c>
      <c r="AC51" s="469"/>
      <c r="AD51" s="101"/>
      <c r="AE51" s="86">
        <f t="shared" si="42"/>
        <v>5792.3249598874727</v>
      </c>
      <c r="AF51" s="86">
        <f t="shared" si="71"/>
        <v>1079603.7484060775</v>
      </c>
      <c r="AG51" s="92">
        <f t="shared" si="43"/>
        <v>0</v>
      </c>
      <c r="AH51" s="92">
        <f t="shared" si="44"/>
        <v>0</v>
      </c>
      <c r="AI51" s="86">
        <f t="shared" si="45"/>
        <v>5792.3249598874727</v>
      </c>
      <c r="AJ51" s="201"/>
      <c r="AK51" s="86">
        <f t="shared" si="72"/>
        <v>1079603.7484060775</v>
      </c>
      <c r="AL51" s="93">
        <f t="shared" si="73"/>
        <v>1348088.008406102</v>
      </c>
      <c r="AM51" s="93">
        <f t="shared" si="5"/>
        <v>1067981.7056352703</v>
      </c>
      <c r="AN51" s="94">
        <f t="shared" si="46"/>
        <v>0</v>
      </c>
      <c r="AO51" s="95"/>
      <c r="AP51" s="86">
        <f t="shared" si="47"/>
        <v>5772.7525787234499</v>
      </c>
      <c r="AQ51" s="86">
        <f t="shared" si="74"/>
        <v>1075955.7458826965</v>
      </c>
      <c r="AR51" s="92">
        <f t="shared" si="48"/>
        <v>0</v>
      </c>
      <c r="AS51" s="92">
        <f t="shared" si="49"/>
        <v>0</v>
      </c>
      <c r="AT51" s="86">
        <f t="shared" si="50"/>
        <v>5772.7525787234499</v>
      </c>
      <c r="AU51" s="86">
        <f t="shared" si="75"/>
        <v>1075955.7458826965</v>
      </c>
      <c r="AV51" s="93">
        <f t="shared" si="76"/>
        <v>1348088.008406102</v>
      </c>
      <c r="AW51" s="93">
        <f t="shared" si="9"/>
        <v>1067981.7056352703</v>
      </c>
      <c r="AX51" s="94">
        <f t="shared" si="10"/>
        <v>0</v>
      </c>
      <c r="AY51" s="92">
        <f t="shared" si="11"/>
        <v>0</v>
      </c>
      <c r="AZ51" s="95"/>
      <c r="BA51" s="86">
        <f t="shared" si="51"/>
        <v>5779.7968267362894</v>
      </c>
      <c r="BB51" s="86">
        <f t="shared" si="77"/>
        <v>1077268.6895818205</v>
      </c>
      <c r="BC51" s="92">
        <f t="shared" si="52"/>
        <v>0</v>
      </c>
      <c r="BD51" s="92">
        <f t="shared" si="53"/>
        <v>0</v>
      </c>
      <c r="BE51" s="86">
        <f t="shared" si="54"/>
        <v>5779.7968267362894</v>
      </c>
      <c r="BF51" s="86">
        <f t="shared" si="78"/>
        <v>1077268.6895818205</v>
      </c>
      <c r="BG51" s="96">
        <f t="shared" si="79"/>
        <v>1348088.008406102</v>
      </c>
      <c r="BH51" s="96">
        <f t="shared" si="15"/>
        <v>1067981.7056352703</v>
      </c>
      <c r="BI51" s="94">
        <f t="shared" si="16"/>
        <v>0</v>
      </c>
      <c r="BJ51" s="92">
        <f t="shared" si="17"/>
        <v>0</v>
      </c>
      <c r="BK51" s="95"/>
      <c r="BL51" s="86">
        <f t="shared" si="55"/>
        <v>5779.7968996724849</v>
      </c>
      <c r="BM51" s="86">
        <f t="shared" si="80"/>
        <v>1077268.7031760493</v>
      </c>
      <c r="BN51" s="92">
        <f t="shared" si="56"/>
        <v>0</v>
      </c>
      <c r="BO51" s="92">
        <f t="shared" si="57"/>
        <v>0</v>
      </c>
      <c r="BP51" s="86">
        <f t="shared" si="58"/>
        <v>5779.7968996724849</v>
      </c>
      <c r="BQ51" s="86">
        <f t="shared" si="81"/>
        <v>1077268.7031760493</v>
      </c>
      <c r="BR51" s="93">
        <f t="shared" si="82"/>
        <v>1348088.008406102</v>
      </c>
      <c r="BS51" s="93">
        <f t="shared" si="21"/>
        <v>1067981.7056352703</v>
      </c>
      <c r="BT51" s="94">
        <f t="shared" si="22"/>
        <v>0</v>
      </c>
      <c r="BU51" s="92">
        <f t="shared" si="23"/>
        <v>0</v>
      </c>
      <c r="BV51" s="95"/>
      <c r="BW51" s="86">
        <f t="shared" si="59"/>
        <v>5779.7968996724849</v>
      </c>
      <c r="BX51" s="86">
        <f t="shared" si="83"/>
        <v>1077268.7031760493</v>
      </c>
      <c r="BY51" s="92">
        <f t="shared" si="60"/>
        <v>0</v>
      </c>
      <c r="BZ51" s="92">
        <f t="shared" si="61"/>
        <v>0</v>
      </c>
      <c r="CA51" s="86">
        <f t="shared" si="62"/>
        <v>5779.7968996724849</v>
      </c>
      <c r="CB51" s="86">
        <f t="shared" si="84"/>
        <v>1077268.7031760493</v>
      </c>
      <c r="CC51" s="96">
        <f t="shared" si="85"/>
        <v>1348088.008406102</v>
      </c>
      <c r="CD51" s="96">
        <f t="shared" si="27"/>
        <v>1067981.7056352703</v>
      </c>
      <c r="CE51" s="94">
        <f t="shared" si="28"/>
        <v>0</v>
      </c>
      <c r="CF51" s="92">
        <f t="shared" si="29"/>
        <v>0</v>
      </c>
      <c r="CG51" s="95"/>
      <c r="CH51" s="86">
        <f t="shared" si="30"/>
        <v>5779.7968996724849</v>
      </c>
      <c r="CI51" s="86">
        <f t="shared" si="86"/>
        <v>1077268.7031760493</v>
      </c>
      <c r="CJ51" s="92">
        <f t="shared" si="63"/>
        <v>0</v>
      </c>
      <c r="CK51" s="92">
        <f t="shared" si="64"/>
        <v>0</v>
      </c>
      <c r="CL51" s="86">
        <f t="shared" si="65"/>
        <v>5779.7968996724849</v>
      </c>
      <c r="CM51" s="86">
        <f t="shared" si="87"/>
        <v>1077268.7031760493</v>
      </c>
      <c r="CN51" s="97">
        <f t="shared" si="33"/>
        <v>1.0086958395371153</v>
      </c>
      <c r="CO51" s="554">
        <f t="shared" si="88"/>
        <v>60124</v>
      </c>
      <c r="CP51" s="153"/>
      <c r="CQ51" s="166">
        <f t="shared" si="89"/>
        <v>5953.19</v>
      </c>
      <c r="CR51" s="353"/>
      <c r="CS51" s="391" t="str">
        <f>VLOOKUP(A51,Characteristics!A44:M127,13,FALSE)</f>
        <v/>
      </c>
      <c r="CT51" s="206">
        <f>VLOOKUP(A51,Characteristics!A44:C127,3,FALSE)</f>
        <v>0</v>
      </c>
      <c r="CU51" s="557">
        <f t="shared" si="66"/>
        <v>5953.19</v>
      </c>
      <c r="CV51" s="557" t="str">
        <f t="shared" si="67"/>
        <v/>
      </c>
    </row>
    <row r="52" spans="1:100" s="125" customFormat="1" x14ac:dyDescent="0.3">
      <c r="A52" s="199">
        <v>60125</v>
      </c>
      <c r="B52" s="139"/>
      <c r="C52" s="558">
        <f>VLOOKUP($A52,'Fed Bs Rt+IME+GME+VBP+RAA+HAC'!$B$5:$AG$88,19,FALSE)</f>
        <v>6918.4759729999996</v>
      </c>
      <c r="D52" s="458">
        <f>VLOOKUP($A52,'Fed Bs Rt+IME+GME+VBP+RAA+HAC'!$B$5:$AG$88,25,FALSE)</f>
        <v>0</v>
      </c>
      <c r="E52" s="458">
        <f>VLOOKUP($A52,'Fed Bs Rt+IME+GME+VBP+RAA+HAC'!$B$5:$AG$88,29,FALSE)</f>
        <v>-21.220574099999805</v>
      </c>
      <c r="F52" s="458">
        <f>VLOOKUP($A52,'Fed Bs Rt+IME+GME+VBP+RAA+HAC'!$B$5:$AG$88,27,FALSE)</f>
        <v>0</v>
      </c>
      <c r="G52" s="458">
        <f>VLOOKUP($A52,'Fed Bs Rt+IME+GME+VBP+RAA+HAC'!$B$5:$AG$88,32,FALSE)</f>
        <v>0</v>
      </c>
      <c r="H52" s="205">
        <f t="shared" si="36"/>
        <v>-21.220574099999805</v>
      </c>
      <c r="I52" s="458">
        <f>VLOOKUP(A52,'Fed Bs Rt+IME+GME+VBP+RAA+HAC'!$B$5:$U$88,20,FALSE)</f>
        <v>0</v>
      </c>
      <c r="J52" s="459">
        <f>IF(Characteristics!M45="CAH",+C52*J$4,0)</f>
        <v>0</v>
      </c>
      <c r="K52" s="459">
        <f>IF(OR(Characteristics!M45="SCH",Characteristics!M45="MDH"),+C52*K$4,0)</f>
        <v>0</v>
      </c>
      <c r="L52" s="460">
        <f>IF(OR(J52&gt;0,K52&gt;0,M52&gt;0),0,IF(VLOOKUP(A52,Characteristics!A:H,8,FALSE)&lt;=L$6,L$4*C52,IF(VLOOKUP(A52,Characteristics!A:H,8,FALSE)&gt;=L$5,0,(VLOOKUP(A52,Characteristics!A:H,8,FALSE)-L$5)/(L$6-L$5)*L$4*C52)))</f>
        <v>0</v>
      </c>
      <c r="M52" s="541">
        <f>IF(VLOOKUP($A52,Characteristics!$A:$E,3,FALSE)=2,M$4*C52,0)</f>
        <v>0</v>
      </c>
      <c r="N52" s="461">
        <f>IF(VLOOKUP($A52,Characteristics!$A:$K,6,FALSE)&gt;=N$5,N$4*C52,IF(VLOOKUP($A52,Characteristics!$A:$K,6,FALSE)&lt;=N$6,0,(VLOOKUP($A52,Characteristics!$A:$K,6,FALSE)-N$6)/(N$5-N$6)*N$4*C52))</f>
        <v>0</v>
      </c>
      <c r="O52" s="461">
        <f>IF(VLOOKUP($A52,Characteristics!$A:$K,11,FALSE)&lt;=O$6,O$4*C52,IF(VLOOKUP($A52,Characteristics!$A:$K,11,FALSE)&gt;=O$5,0,(VLOOKUP($A52,Characteristics!$A:$K,11,FALSE)-O$5)/(O$6-O$5)*O$4*C52))</f>
        <v>0</v>
      </c>
      <c r="P52" s="205">
        <f t="shared" si="37"/>
        <v>6897.2553988999998</v>
      </c>
      <c r="Q52" s="205"/>
      <c r="R52" s="86">
        <v>5554.24</v>
      </c>
      <c r="S52" s="87">
        <f t="shared" si="68"/>
        <v>5665.32</v>
      </c>
      <c r="T52" s="471"/>
      <c r="U52" s="86">
        <f t="shared" si="69"/>
        <v>6098369.0860689562</v>
      </c>
      <c r="V52" s="89">
        <v>1015.3740000000001</v>
      </c>
      <c r="W52" s="90">
        <v>1.0601400000000001</v>
      </c>
      <c r="X52" s="91">
        <f t="shared" si="70"/>
        <v>7424471.8927393276</v>
      </c>
      <c r="Y52" s="196"/>
      <c r="Z52" s="86">
        <f t="shared" si="39"/>
        <v>5665.32</v>
      </c>
      <c r="AA52" s="86">
        <f t="shared" si="40"/>
        <v>5098.7879999999996</v>
      </c>
      <c r="AB52" s="86">
        <f t="shared" si="41"/>
        <v>6231.8519999999999</v>
      </c>
      <c r="AC52" s="469"/>
      <c r="AD52" s="101"/>
      <c r="AE52" s="86">
        <f t="shared" si="42"/>
        <v>5523.6028626725592</v>
      </c>
      <c r="AF52" s="86">
        <f t="shared" si="71"/>
        <v>5945819.2902509179</v>
      </c>
      <c r="AG52" s="92">
        <f t="shared" si="43"/>
        <v>0</v>
      </c>
      <c r="AH52" s="92">
        <f t="shared" si="44"/>
        <v>0</v>
      </c>
      <c r="AI52" s="86">
        <f t="shared" si="45"/>
        <v>5523.6028626725592</v>
      </c>
      <c r="AJ52" s="201"/>
      <c r="AK52" s="86">
        <f t="shared" si="72"/>
        <v>5945819.2902509179</v>
      </c>
      <c r="AL52" s="93">
        <f t="shared" si="73"/>
        <v>7424471.8927393276</v>
      </c>
      <c r="AM52" s="93">
        <f t="shared" si="5"/>
        <v>6098369.0860689562</v>
      </c>
      <c r="AN52" s="94">
        <f t="shared" si="46"/>
        <v>0</v>
      </c>
      <c r="AO52" s="95"/>
      <c r="AP52" s="86">
        <f t="shared" si="47"/>
        <v>5504.9384988159745</v>
      </c>
      <c r="AQ52" s="86">
        <f t="shared" si="74"/>
        <v>5925728.2486938406</v>
      </c>
      <c r="AR52" s="92">
        <f t="shared" si="48"/>
        <v>0</v>
      </c>
      <c r="AS52" s="92">
        <f t="shared" si="49"/>
        <v>0</v>
      </c>
      <c r="AT52" s="86">
        <f t="shared" si="50"/>
        <v>5504.9384988159745</v>
      </c>
      <c r="AU52" s="86">
        <f t="shared" si="75"/>
        <v>5925728.2486938406</v>
      </c>
      <c r="AV52" s="93">
        <f t="shared" si="76"/>
        <v>7424471.8927393276</v>
      </c>
      <c r="AW52" s="93">
        <f t="shared" si="9"/>
        <v>6098369.0860689562</v>
      </c>
      <c r="AX52" s="94">
        <f t="shared" si="10"/>
        <v>0</v>
      </c>
      <c r="AY52" s="92">
        <f t="shared" si="11"/>
        <v>0</v>
      </c>
      <c r="AZ52" s="95"/>
      <c r="BA52" s="86">
        <f t="shared" si="51"/>
        <v>5511.6559445322546</v>
      </c>
      <c r="BB52" s="86">
        <f t="shared" si="77"/>
        <v>5932959.1665049279</v>
      </c>
      <c r="BC52" s="92">
        <f t="shared" si="52"/>
        <v>0</v>
      </c>
      <c r="BD52" s="92">
        <f t="shared" si="53"/>
        <v>0</v>
      </c>
      <c r="BE52" s="86">
        <f t="shared" si="54"/>
        <v>5511.6559445322546</v>
      </c>
      <c r="BF52" s="86">
        <f t="shared" si="78"/>
        <v>5932959.1665049279</v>
      </c>
      <c r="BG52" s="96">
        <f t="shared" si="79"/>
        <v>7424471.8927393276</v>
      </c>
      <c r="BH52" s="96">
        <f t="shared" si="15"/>
        <v>6098369.0860689562</v>
      </c>
      <c r="BI52" s="94">
        <f t="shared" si="16"/>
        <v>0</v>
      </c>
      <c r="BJ52" s="92">
        <f t="shared" si="17"/>
        <v>0</v>
      </c>
      <c r="BK52" s="95"/>
      <c r="BL52" s="86">
        <f t="shared" si="55"/>
        <v>5511.6560140847369</v>
      </c>
      <c r="BM52" s="86">
        <f t="shared" si="80"/>
        <v>5932959.241373904</v>
      </c>
      <c r="BN52" s="92">
        <f t="shared" si="56"/>
        <v>0</v>
      </c>
      <c r="BO52" s="92">
        <f t="shared" si="57"/>
        <v>0</v>
      </c>
      <c r="BP52" s="86">
        <f t="shared" si="58"/>
        <v>5511.6560140847369</v>
      </c>
      <c r="BQ52" s="86">
        <f t="shared" si="81"/>
        <v>5932959.241373904</v>
      </c>
      <c r="BR52" s="93">
        <f t="shared" si="82"/>
        <v>7424471.8927393276</v>
      </c>
      <c r="BS52" s="93">
        <f t="shared" si="21"/>
        <v>6098369.0860689562</v>
      </c>
      <c r="BT52" s="94">
        <f t="shared" si="22"/>
        <v>0</v>
      </c>
      <c r="BU52" s="92">
        <f t="shared" si="23"/>
        <v>0</v>
      </c>
      <c r="BV52" s="95"/>
      <c r="BW52" s="86">
        <f t="shared" si="59"/>
        <v>5511.6560140847369</v>
      </c>
      <c r="BX52" s="86">
        <f t="shared" si="83"/>
        <v>5932959.241373904</v>
      </c>
      <c r="BY52" s="92">
        <f t="shared" si="60"/>
        <v>0</v>
      </c>
      <c r="BZ52" s="92">
        <f t="shared" si="61"/>
        <v>0</v>
      </c>
      <c r="CA52" s="86">
        <f t="shared" si="62"/>
        <v>5511.6560140847369</v>
      </c>
      <c r="CB52" s="86">
        <f t="shared" si="84"/>
        <v>5932959.241373904</v>
      </c>
      <c r="CC52" s="96">
        <f t="shared" si="85"/>
        <v>7424471.8927393276</v>
      </c>
      <c r="CD52" s="96">
        <f t="shared" si="27"/>
        <v>6098369.0860689562</v>
      </c>
      <c r="CE52" s="94">
        <f t="shared" si="28"/>
        <v>0</v>
      </c>
      <c r="CF52" s="92">
        <f t="shared" si="29"/>
        <v>0</v>
      </c>
      <c r="CG52" s="67"/>
      <c r="CH52" s="86">
        <f t="shared" si="30"/>
        <v>5511.6560140847369</v>
      </c>
      <c r="CI52" s="86">
        <f t="shared" si="86"/>
        <v>5932959.241373904</v>
      </c>
      <c r="CJ52" s="92">
        <f t="shared" si="63"/>
        <v>0</v>
      </c>
      <c r="CK52" s="92">
        <f t="shared" si="64"/>
        <v>0</v>
      </c>
      <c r="CL52" s="86">
        <f t="shared" si="65"/>
        <v>5511.6560140847369</v>
      </c>
      <c r="CM52" s="86">
        <f t="shared" si="87"/>
        <v>5932959.241373904</v>
      </c>
      <c r="CN52" s="97">
        <f t="shared" si="33"/>
        <v>0.97287638016647549</v>
      </c>
      <c r="CO52" s="554">
        <f t="shared" si="88"/>
        <v>60125</v>
      </c>
      <c r="CP52" s="153"/>
      <c r="CQ52" s="153">
        <f t="shared" si="89"/>
        <v>5677.01</v>
      </c>
      <c r="CR52" s="353"/>
      <c r="CS52" s="391" t="str">
        <f>VLOOKUP(A52,Characteristics!A45:M128,13,FALSE)</f>
        <v/>
      </c>
      <c r="CT52" s="206">
        <f>VLOOKUP(A52,Characteristics!A45:C128,3,FALSE)</f>
        <v>0</v>
      </c>
      <c r="CU52" s="557">
        <f t="shared" si="66"/>
        <v>5677.01</v>
      </c>
      <c r="CV52" s="557" t="str">
        <f t="shared" si="67"/>
        <v/>
      </c>
    </row>
    <row r="53" spans="1:100" s="125" customFormat="1" x14ac:dyDescent="0.3">
      <c r="A53" s="199">
        <v>60126</v>
      </c>
      <c r="B53" s="139"/>
      <c r="C53" s="558">
        <f>VLOOKUP($A53,'Fed Bs Rt+IME+GME+VBP+RAA+HAC'!$B$5:$AG$88,19,FALSE)</f>
        <v>6918.4759729999996</v>
      </c>
      <c r="D53" s="458">
        <f>VLOOKUP($A53,'Fed Bs Rt+IME+GME+VBP+RAA+HAC'!$B$5:$AG$88,25,FALSE)</f>
        <v>0</v>
      </c>
      <c r="E53" s="458">
        <f>VLOOKUP($A53,'Fed Bs Rt+IME+GME+VBP+RAA+HAC'!$B$5:$AG$88,29,FALSE)</f>
        <v>-26.36495569999995</v>
      </c>
      <c r="F53" s="458">
        <f>VLOOKUP($A53,'Fed Bs Rt+IME+GME+VBP+RAA+HAC'!$B$5:$AG$88,27,FALSE)</f>
        <v>0</v>
      </c>
      <c r="G53" s="458">
        <f>VLOOKUP($A53,'Fed Bs Rt+IME+GME+VBP+RAA+HAC'!$B$5:$AG$88,32,FALSE)</f>
        <v>0</v>
      </c>
      <c r="H53" s="205">
        <f t="shared" si="36"/>
        <v>-26.36495569999995</v>
      </c>
      <c r="I53" s="458">
        <f>VLOOKUP(A53,'Fed Bs Rt+IME+GME+VBP+RAA+HAC'!$B$5:$U$88,20,FALSE)</f>
        <v>0</v>
      </c>
      <c r="J53" s="459">
        <f>IF(Characteristics!M46="CAH",+C53*J$4,0)</f>
        <v>0</v>
      </c>
      <c r="K53" s="459">
        <f>IF(OR(Characteristics!M46="SCH",Characteristics!M46="MDH"),+C53*K$4,0)</f>
        <v>0</v>
      </c>
      <c r="L53" s="460">
        <f>IF(OR(J53&gt;0,K53&gt;0,M53&gt;0),0,IF(VLOOKUP(A53,Characteristics!A:H,8,FALSE)&lt;=L$6,L$4*C53,IF(VLOOKUP(A53,Characteristics!A:H,8,FALSE)&gt;=L$5,0,(VLOOKUP(A53,Characteristics!A:H,8,FALSE)-L$5)/(L$6-L$5)*L$4*C53)))</f>
        <v>443.12838607064992</v>
      </c>
      <c r="M53" s="541">
        <f>IF(VLOOKUP($A53,Characteristics!$A:$E,3,FALSE)=2,M$4*C53,0)</f>
        <v>0</v>
      </c>
      <c r="N53" s="461">
        <f>IF(VLOOKUP($A53,Characteristics!$A:$K,6,FALSE)&gt;=N$5,N$4*C53,IF(VLOOKUP($A53,Characteristics!$A:$K,6,FALSE)&lt;=N$6,0,(VLOOKUP($A53,Characteristics!$A:$K,6,FALSE)-N$6)/(N$5-N$6)*N$4*C53))</f>
        <v>0</v>
      </c>
      <c r="O53" s="461">
        <f>IF(VLOOKUP($A53,Characteristics!$A:$K,11,FALSE)&lt;=O$6,O$4*C53,IF(VLOOKUP($A53,Characteristics!$A:$K,11,FALSE)&gt;=O$5,0,(VLOOKUP($A53,Characteristics!$A:$K,11,FALSE)-O$5)/(O$6-O$5)*O$4*C53))</f>
        <v>0</v>
      </c>
      <c r="P53" s="205">
        <f t="shared" si="37"/>
        <v>7335.2394033706496</v>
      </c>
      <c r="Q53" s="205"/>
      <c r="R53" s="86">
        <v>5512.07</v>
      </c>
      <c r="S53" s="87">
        <f t="shared" si="68"/>
        <v>5622.31</v>
      </c>
      <c r="T53" s="471"/>
      <c r="U53" s="86">
        <f t="shared" si="69"/>
        <v>2753408.6677920166</v>
      </c>
      <c r="V53" s="89">
        <v>786.09600000000012</v>
      </c>
      <c r="W53" s="90">
        <v>0.62298888888888893</v>
      </c>
      <c r="X53" s="91">
        <f t="shared" si="70"/>
        <v>3592279.997646926</v>
      </c>
      <c r="Y53" s="196"/>
      <c r="Z53" s="86">
        <f t="shared" si="39"/>
        <v>5622.31</v>
      </c>
      <c r="AA53" s="86">
        <f t="shared" si="40"/>
        <v>5060.0790000000006</v>
      </c>
      <c r="AB53" s="86">
        <f t="shared" si="41"/>
        <v>6184.5410000000011</v>
      </c>
      <c r="AC53" s="469"/>
      <c r="AD53" s="100"/>
      <c r="AE53" s="86">
        <f t="shared" si="42"/>
        <v>5874.3582807312705</v>
      </c>
      <c r="AF53" s="86">
        <f t="shared" si="71"/>
        <v>2876844.0388170141</v>
      </c>
      <c r="AG53" s="92">
        <f t="shared" si="43"/>
        <v>0</v>
      </c>
      <c r="AH53" s="92">
        <f t="shared" si="44"/>
        <v>0</v>
      </c>
      <c r="AI53" s="86">
        <f t="shared" si="45"/>
        <v>5874.3582807312705</v>
      </c>
      <c r="AJ53" s="201"/>
      <c r="AK53" s="86">
        <f t="shared" si="72"/>
        <v>2876844.0388170141</v>
      </c>
      <c r="AL53" s="93">
        <f t="shared" si="73"/>
        <v>3592279.997646926</v>
      </c>
      <c r="AM53" s="93">
        <f t="shared" si="5"/>
        <v>2753408.6677920166</v>
      </c>
      <c r="AN53" s="94">
        <f t="shared" si="46"/>
        <v>0</v>
      </c>
      <c r="AO53" s="95"/>
      <c r="AP53" s="86">
        <f t="shared" si="47"/>
        <v>5854.5087073456743</v>
      </c>
      <c r="AQ53" s="86">
        <f t="shared" si="74"/>
        <v>2867123.1256315317</v>
      </c>
      <c r="AR53" s="92">
        <f t="shared" si="48"/>
        <v>0</v>
      </c>
      <c r="AS53" s="92">
        <f t="shared" si="49"/>
        <v>0</v>
      </c>
      <c r="AT53" s="86">
        <f t="shared" si="50"/>
        <v>5854.5087073456743</v>
      </c>
      <c r="AU53" s="86">
        <f t="shared" si="75"/>
        <v>2867123.1256315317</v>
      </c>
      <c r="AV53" s="93">
        <f t="shared" si="76"/>
        <v>3592279.997646926</v>
      </c>
      <c r="AW53" s="93">
        <f t="shared" si="9"/>
        <v>2753408.6677920166</v>
      </c>
      <c r="AX53" s="94">
        <f t="shared" si="10"/>
        <v>0</v>
      </c>
      <c r="AY53" s="92">
        <f t="shared" si="11"/>
        <v>0</v>
      </c>
      <c r="AZ53" s="95"/>
      <c r="BA53" s="86">
        <f t="shared" si="51"/>
        <v>5861.6527189355475</v>
      </c>
      <c r="BB53" s="86">
        <f t="shared" si="77"/>
        <v>2870621.7558092275</v>
      </c>
      <c r="BC53" s="92">
        <f t="shared" si="52"/>
        <v>0</v>
      </c>
      <c r="BD53" s="92">
        <f t="shared" si="53"/>
        <v>0</v>
      </c>
      <c r="BE53" s="86">
        <f t="shared" si="54"/>
        <v>5861.6527189355475</v>
      </c>
      <c r="BF53" s="86">
        <f t="shared" si="78"/>
        <v>2870621.7558092275</v>
      </c>
      <c r="BG53" s="96">
        <f t="shared" si="79"/>
        <v>3592279.997646926</v>
      </c>
      <c r="BH53" s="96">
        <f t="shared" si="15"/>
        <v>2753408.6677920166</v>
      </c>
      <c r="BI53" s="94">
        <f t="shared" si="16"/>
        <v>0</v>
      </c>
      <c r="BJ53" s="92">
        <f t="shared" si="17"/>
        <v>0</v>
      </c>
      <c r="BK53" s="95"/>
      <c r="BL53" s="86">
        <f t="shared" si="55"/>
        <v>5861.6527929046961</v>
      </c>
      <c r="BM53" s="86">
        <f t="shared" si="80"/>
        <v>2870621.79203407</v>
      </c>
      <c r="BN53" s="92">
        <f t="shared" si="56"/>
        <v>0</v>
      </c>
      <c r="BO53" s="92">
        <f t="shared" si="57"/>
        <v>0</v>
      </c>
      <c r="BP53" s="86">
        <f t="shared" si="58"/>
        <v>5861.6527929046961</v>
      </c>
      <c r="BQ53" s="86">
        <f t="shared" si="81"/>
        <v>2870621.79203407</v>
      </c>
      <c r="BR53" s="93">
        <f t="shared" si="82"/>
        <v>3592279.997646926</v>
      </c>
      <c r="BS53" s="93">
        <f t="shared" si="21"/>
        <v>2753408.6677920166</v>
      </c>
      <c r="BT53" s="94">
        <f t="shared" si="22"/>
        <v>0</v>
      </c>
      <c r="BU53" s="92">
        <f t="shared" si="23"/>
        <v>0</v>
      </c>
      <c r="BV53" s="95"/>
      <c r="BW53" s="86">
        <f t="shared" si="59"/>
        <v>5861.6527929046961</v>
      </c>
      <c r="BX53" s="86">
        <f t="shared" si="83"/>
        <v>2870621.79203407</v>
      </c>
      <c r="BY53" s="92">
        <f t="shared" si="60"/>
        <v>0</v>
      </c>
      <c r="BZ53" s="92">
        <f t="shared" si="61"/>
        <v>0</v>
      </c>
      <c r="CA53" s="86">
        <f t="shared" si="62"/>
        <v>5861.6527929046961</v>
      </c>
      <c r="CB53" s="86">
        <f t="shared" si="84"/>
        <v>2870621.79203407</v>
      </c>
      <c r="CC53" s="96">
        <f t="shared" si="85"/>
        <v>3592279.997646926</v>
      </c>
      <c r="CD53" s="96">
        <f t="shared" si="27"/>
        <v>2753408.6677920166</v>
      </c>
      <c r="CE53" s="94">
        <f t="shared" si="28"/>
        <v>0</v>
      </c>
      <c r="CF53" s="92">
        <f t="shared" si="29"/>
        <v>0</v>
      </c>
      <c r="CG53" s="67"/>
      <c r="CH53" s="86">
        <f t="shared" si="30"/>
        <v>5861.6527929046961</v>
      </c>
      <c r="CI53" s="86">
        <f t="shared" si="86"/>
        <v>2870621.79203407</v>
      </c>
      <c r="CJ53" s="92">
        <f t="shared" si="63"/>
        <v>0</v>
      </c>
      <c r="CK53" s="92">
        <f t="shared" si="64"/>
        <v>0</v>
      </c>
      <c r="CL53" s="86">
        <f t="shared" si="65"/>
        <v>5861.6527929046961</v>
      </c>
      <c r="CM53" s="86">
        <f t="shared" si="87"/>
        <v>2870621.79203407</v>
      </c>
      <c r="CN53" s="97">
        <f t="shared" si="33"/>
        <v>1.0425701878595623</v>
      </c>
      <c r="CO53" s="554">
        <f t="shared" si="88"/>
        <v>60126</v>
      </c>
      <c r="CP53" s="153"/>
      <c r="CQ53" s="153">
        <f t="shared" si="89"/>
        <v>6037.5</v>
      </c>
      <c r="CR53" s="353"/>
      <c r="CS53" s="391" t="str">
        <f>VLOOKUP(A53,Characteristics!A46:M129,13,FALSE)</f>
        <v/>
      </c>
      <c r="CT53" s="206">
        <f>VLOOKUP(A53,Characteristics!A46:C129,3,FALSE)</f>
        <v>0</v>
      </c>
      <c r="CU53" s="557">
        <f t="shared" si="66"/>
        <v>6037.5</v>
      </c>
      <c r="CV53" s="557" t="str">
        <f t="shared" si="67"/>
        <v/>
      </c>
    </row>
    <row r="54" spans="1:100" s="125" customFormat="1" x14ac:dyDescent="0.3">
      <c r="A54" s="199">
        <v>60128</v>
      </c>
      <c r="B54" s="139"/>
      <c r="C54" s="558">
        <f>VLOOKUP($A54,'Fed Bs Rt+IME+GME+VBP+RAA+HAC'!$B$5:$AG$88,19,FALSE)</f>
        <v>6918.4759729999996</v>
      </c>
      <c r="D54" s="458">
        <f>VLOOKUP($A54,'Fed Bs Rt+IME+GME+VBP+RAA+HAC'!$B$5:$AG$88,25,FALSE)</f>
        <v>0</v>
      </c>
      <c r="E54" s="458">
        <f>VLOOKUP($A54,'Fed Bs Rt+IME+GME+VBP+RAA+HAC'!$B$5:$AG$88,29,FALSE)</f>
        <v>0</v>
      </c>
      <c r="F54" s="458">
        <f>VLOOKUP($A54,'Fed Bs Rt+IME+GME+VBP+RAA+HAC'!$B$5:$AG$88,27,FALSE)</f>
        <v>0</v>
      </c>
      <c r="G54" s="458">
        <f>VLOOKUP($A54,'Fed Bs Rt+IME+GME+VBP+RAA+HAC'!$B$5:$AG$88,32,FALSE)</f>
        <v>0</v>
      </c>
      <c r="H54" s="205">
        <f t="shared" si="36"/>
        <v>0</v>
      </c>
      <c r="I54" s="458">
        <f>VLOOKUP(A54,'Fed Bs Rt+IME+GME+VBP+RAA+HAC'!$B$5:$U$88,20,FALSE)</f>
        <v>0</v>
      </c>
      <c r="J54" s="459">
        <f>IF(Characteristics!M47="CAH",+C54*J$4,0)</f>
        <v>0</v>
      </c>
      <c r="K54" s="459">
        <f>IF(OR(Characteristics!M47="SCH",Characteristics!M47="MDH"),+C54*K$4,0)</f>
        <v>0</v>
      </c>
      <c r="L54" s="460">
        <f>IF(OR(J54&gt;0,K54&gt;0,M54&gt;0),0,IF(VLOOKUP(A54,Characteristics!A:H,8,FALSE)&lt;=L$6,L$4*C54,IF(VLOOKUP(A54,Characteristics!A:H,8,FALSE)&gt;=L$5,0,(VLOOKUP(A54,Characteristics!A:H,8,FALSE)-L$5)/(L$6-L$5)*L$4*C54)))</f>
        <v>0</v>
      </c>
      <c r="M54" s="541">
        <f>IF(VLOOKUP($A54,Characteristics!$A:$E,3,FALSE)=2,M$4*C54,0)</f>
        <v>0</v>
      </c>
      <c r="N54" s="461">
        <f>IF(VLOOKUP($A54,Characteristics!$A:$K,6,FALSE)&gt;=N$5,N$4*C54,IF(VLOOKUP($A54,Characteristics!$A:$K,6,FALSE)&lt;=N$6,0,(VLOOKUP($A54,Characteristics!$A:$K,6,FALSE)-N$6)/(N$5-N$6)*N$4*C54))</f>
        <v>0</v>
      </c>
      <c r="O54" s="461">
        <f>IF(VLOOKUP($A54,Characteristics!$A:$K,11,FALSE)&lt;=O$6,O$4*C54,IF(VLOOKUP($A54,Characteristics!$A:$K,11,FALSE)&gt;=O$5,0,(VLOOKUP($A54,Characteristics!$A:$K,11,FALSE)-O$5)/(O$6-O$5)*O$4*C54))</f>
        <v>0</v>
      </c>
      <c r="P54" s="205">
        <f t="shared" si="37"/>
        <v>6918.4759729999996</v>
      </c>
      <c r="Q54" s="205"/>
      <c r="R54" s="86">
        <v>5617.62</v>
      </c>
      <c r="S54" s="87">
        <f t="shared" si="68"/>
        <v>5729.97</v>
      </c>
      <c r="T54" s="471"/>
      <c r="U54" s="86">
        <f t="shared" si="69"/>
        <v>10310771.092268042</v>
      </c>
      <c r="V54" s="89">
        <v>1589.6608000000001</v>
      </c>
      <c r="W54" s="90">
        <v>1.1319684752747252</v>
      </c>
      <c r="X54" s="91">
        <f t="shared" si="70"/>
        <v>12449423.306746703</v>
      </c>
      <c r="Y54" s="196"/>
      <c r="Z54" s="86">
        <f t="shared" si="39"/>
        <v>5729.97</v>
      </c>
      <c r="AA54" s="86">
        <f t="shared" si="40"/>
        <v>5156.973</v>
      </c>
      <c r="AB54" s="86">
        <f t="shared" si="41"/>
        <v>6302.9670000000006</v>
      </c>
      <c r="AC54" s="469"/>
      <c r="AD54" s="100"/>
      <c r="AE54" s="86">
        <f t="shared" si="42"/>
        <v>5540.5971621536264</v>
      </c>
      <c r="AF54" s="86">
        <f t="shared" si="71"/>
        <v>9970004.9133653324</v>
      </c>
      <c r="AG54" s="92">
        <f t="shared" si="43"/>
        <v>0</v>
      </c>
      <c r="AH54" s="92">
        <f t="shared" si="44"/>
        <v>0</v>
      </c>
      <c r="AI54" s="86">
        <f t="shared" si="45"/>
        <v>5540.5971621536264</v>
      </c>
      <c r="AJ54" s="201"/>
      <c r="AK54" s="86">
        <f t="shared" si="72"/>
        <v>9970004.9133653324</v>
      </c>
      <c r="AL54" s="93">
        <f t="shared" si="73"/>
        <v>12449423.306746703</v>
      </c>
      <c r="AM54" s="93">
        <f t="shared" si="5"/>
        <v>10310771.092268042</v>
      </c>
      <c r="AN54" s="94">
        <f t="shared" si="46"/>
        <v>0</v>
      </c>
      <c r="AO54" s="95"/>
      <c r="AP54" s="86">
        <f t="shared" si="47"/>
        <v>5521.8753742213275</v>
      </c>
      <c r="AQ54" s="86">
        <f t="shared" si="74"/>
        <v>9936316.0686055999</v>
      </c>
      <c r="AR54" s="92">
        <f t="shared" si="48"/>
        <v>0</v>
      </c>
      <c r="AS54" s="92">
        <f t="shared" si="49"/>
        <v>0</v>
      </c>
      <c r="AT54" s="86">
        <f t="shared" si="50"/>
        <v>5521.8753742213275</v>
      </c>
      <c r="AU54" s="86">
        <f t="shared" si="75"/>
        <v>9936316.0686055999</v>
      </c>
      <c r="AV54" s="93">
        <f t="shared" si="76"/>
        <v>12449423.306746703</v>
      </c>
      <c r="AW54" s="93">
        <f t="shared" si="9"/>
        <v>10310771.092268042</v>
      </c>
      <c r="AX54" s="94">
        <f t="shared" si="10"/>
        <v>0</v>
      </c>
      <c r="AY54" s="92">
        <f t="shared" si="11"/>
        <v>0</v>
      </c>
      <c r="AZ54" s="95"/>
      <c r="BA54" s="86">
        <f t="shared" si="51"/>
        <v>5528.6134872967732</v>
      </c>
      <c r="BB54" s="86">
        <f t="shared" si="77"/>
        <v>9948440.938633671</v>
      </c>
      <c r="BC54" s="92">
        <f t="shared" si="52"/>
        <v>0</v>
      </c>
      <c r="BD54" s="92">
        <f t="shared" si="53"/>
        <v>0</v>
      </c>
      <c r="BE54" s="86">
        <f t="shared" si="54"/>
        <v>5528.6134872967732</v>
      </c>
      <c r="BF54" s="86">
        <f t="shared" si="78"/>
        <v>9948440.938633671</v>
      </c>
      <c r="BG54" s="96">
        <f t="shared" si="79"/>
        <v>12449423.306746703</v>
      </c>
      <c r="BH54" s="96">
        <f t="shared" si="15"/>
        <v>10310771.092268042</v>
      </c>
      <c r="BI54" s="94">
        <f t="shared" si="16"/>
        <v>0</v>
      </c>
      <c r="BJ54" s="92">
        <f t="shared" si="17"/>
        <v>0</v>
      </c>
      <c r="BK54" s="95"/>
      <c r="BL54" s="86">
        <f t="shared" si="55"/>
        <v>5528.613557063245</v>
      </c>
      <c r="BM54" s="86">
        <f t="shared" si="80"/>
        <v>9948441.0641746633</v>
      </c>
      <c r="BN54" s="92">
        <f t="shared" si="56"/>
        <v>0</v>
      </c>
      <c r="BO54" s="92">
        <f t="shared" si="57"/>
        <v>0</v>
      </c>
      <c r="BP54" s="86">
        <f t="shared" si="58"/>
        <v>5528.613557063245</v>
      </c>
      <c r="BQ54" s="86">
        <f t="shared" si="81"/>
        <v>9948441.0641746633</v>
      </c>
      <c r="BR54" s="93">
        <f t="shared" si="82"/>
        <v>12449423.306746703</v>
      </c>
      <c r="BS54" s="93">
        <f t="shared" si="21"/>
        <v>10310771.092268042</v>
      </c>
      <c r="BT54" s="94">
        <f t="shared" si="22"/>
        <v>0</v>
      </c>
      <c r="BU54" s="92">
        <f t="shared" si="23"/>
        <v>0</v>
      </c>
      <c r="BV54" s="95"/>
      <c r="BW54" s="86">
        <f t="shared" si="59"/>
        <v>5528.613557063245</v>
      </c>
      <c r="BX54" s="86">
        <f t="shared" si="83"/>
        <v>9948441.0641746633</v>
      </c>
      <c r="BY54" s="92">
        <f t="shared" si="60"/>
        <v>0</v>
      </c>
      <c r="BZ54" s="92">
        <f t="shared" si="61"/>
        <v>0</v>
      </c>
      <c r="CA54" s="86">
        <f t="shared" si="62"/>
        <v>5528.613557063245</v>
      </c>
      <c r="CB54" s="86">
        <f t="shared" si="84"/>
        <v>9948441.0641746633</v>
      </c>
      <c r="CC54" s="96">
        <f t="shared" si="85"/>
        <v>12449423.306746703</v>
      </c>
      <c r="CD54" s="96">
        <f t="shared" si="27"/>
        <v>10310771.092268042</v>
      </c>
      <c r="CE54" s="94">
        <f t="shared" si="28"/>
        <v>0</v>
      </c>
      <c r="CF54" s="92">
        <f t="shared" si="29"/>
        <v>0</v>
      </c>
      <c r="CG54" s="67"/>
      <c r="CH54" s="86">
        <f t="shared" si="30"/>
        <v>5528.613557063245</v>
      </c>
      <c r="CI54" s="86">
        <f t="shared" si="86"/>
        <v>9948441.0641746633</v>
      </c>
      <c r="CJ54" s="92">
        <f t="shared" si="63"/>
        <v>0</v>
      </c>
      <c r="CK54" s="92">
        <f t="shared" si="64"/>
        <v>0</v>
      </c>
      <c r="CL54" s="86">
        <f t="shared" si="65"/>
        <v>5528.613557063245</v>
      </c>
      <c r="CM54" s="86">
        <f t="shared" si="87"/>
        <v>9948441.0641746633</v>
      </c>
      <c r="CN54" s="97">
        <f t="shared" si="33"/>
        <v>0.9648590755384836</v>
      </c>
      <c r="CO54" s="554">
        <f t="shared" si="88"/>
        <v>60128</v>
      </c>
      <c r="CP54" s="153"/>
      <c r="CQ54" s="153">
        <f t="shared" si="89"/>
        <v>5694.47</v>
      </c>
      <c r="CR54" s="353"/>
      <c r="CS54" s="391" t="str">
        <f>VLOOKUP(A54,Characteristics!A47:M130,13,FALSE)</f>
        <v/>
      </c>
      <c r="CT54" s="206">
        <f>VLOOKUP(A54,Characteristics!A47:C130,3,FALSE)</f>
        <v>0</v>
      </c>
      <c r="CU54" s="557">
        <f t="shared" si="66"/>
        <v>5694.47</v>
      </c>
      <c r="CV54" s="557" t="str">
        <f t="shared" si="67"/>
        <v/>
      </c>
    </row>
    <row r="55" spans="1:100" s="125" customFormat="1" x14ac:dyDescent="0.3">
      <c r="A55" s="199">
        <v>60129</v>
      </c>
      <c r="B55" s="139"/>
      <c r="C55" s="558">
        <f>VLOOKUP($A55,'Fed Bs Rt+IME+GME+VBP+RAA+HAC'!$B$5:$AG$88,19,FALSE)</f>
        <v>6918.4759729999996</v>
      </c>
      <c r="D55" s="458">
        <f>VLOOKUP($A55,'Fed Bs Rt+IME+GME+VBP+RAA+HAC'!$B$5:$AG$88,25,FALSE)</f>
        <v>0</v>
      </c>
      <c r="E55" s="458">
        <f>VLOOKUP($A55,'Fed Bs Rt+IME+GME+VBP+RAA+HAC'!$B$5:$AG$88,29,FALSE)</f>
        <v>-50.800768300000115</v>
      </c>
      <c r="F55" s="458">
        <f>VLOOKUP($A55,'Fed Bs Rt+IME+GME+VBP+RAA+HAC'!$B$5:$AG$88,27,FALSE)</f>
        <v>0</v>
      </c>
      <c r="G55" s="458">
        <f>VLOOKUP($A55,'Fed Bs Rt+IME+GME+VBP+RAA+HAC'!$B$5:$AG$88,32,FALSE)</f>
        <v>0</v>
      </c>
      <c r="H55" s="205">
        <f t="shared" si="36"/>
        <v>-50.800768300000115</v>
      </c>
      <c r="I55" s="458">
        <f>VLOOKUP(A55,'Fed Bs Rt+IME+GME+VBP+RAA+HAC'!$B$5:$U$88,20,FALSE)</f>
        <v>0</v>
      </c>
      <c r="J55" s="459">
        <f>IF(Characteristics!M48="CAH",+C55*J$4,0)</f>
        <v>0</v>
      </c>
      <c r="K55" s="459">
        <f>IF(OR(Characteristics!M48="SCH",Characteristics!M48="MDH"),+C55*K$4,0)</f>
        <v>0</v>
      </c>
      <c r="L55" s="460">
        <f>IF(OR(J55&gt;0,K55&gt;0,M55&gt;0),0,IF(VLOOKUP(A55,Characteristics!A:H,8,FALSE)&lt;=L$6,L$4*C55,IF(VLOOKUP(A55,Characteristics!A:H,8,FALSE)&gt;=L$5,0,(VLOOKUP(A55,Characteristics!A:H,8,FALSE)-L$5)/(L$6-L$5)*L$4*C55)))</f>
        <v>529.26341193450003</v>
      </c>
      <c r="M55" s="541">
        <f>IF(VLOOKUP($A55,Characteristics!$A:$E,3,FALSE)=2,M$4*C55,0)</f>
        <v>0</v>
      </c>
      <c r="N55" s="461">
        <f>IF(VLOOKUP($A55,Characteristics!$A:$K,6,FALSE)&gt;=N$5,N$4*C55,IF(VLOOKUP($A55,Characteristics!$A:$K,6,FALSE)&lt;=N$6,0,(VLOOKUP($A55,Characteristics!$A:$K,6,FALSE)-N$6)/(N$5-N$6)*N$4*C55))</f>
        <v>44.887480265929369</v>
      </c>
      <c r="O55" s="461">
        <f>IF(VLOOKUP($A55,Characteristics!$A:$K,11,FALSE)&lt;=O$6,O$4*C55,IF(VLOOKUP($A55,Characteristics!$A:$K,11,FALSE)&gt;=O$5,0,(VLOOKUP($A55,Characteristics!$A:$K,11,FALSE)-O$5)/(O$6-O$5)*O$4*C55))</f>
        <v>0</v>
      </c>
      <c r="P55" s="205">
        <f t="shared" si="37"/>
        <v>7441.8260969004286</v>
      </c>
      <c r="Q55" s="205"/>
      <c r="R55" s="86">
        <v>5376.79</v>
      </c>
      <c r="S55" s="87">
        <f t="shared" si="68"/>
        <v>5484.33</v>
      </c>
      <c r="T55" s="471"/>
      <c r="U55" s="86">
        <f t="shared" si="69"/>
        <v>2251810.1849949486</v>
      </c>
      <c r="V55" s="89">
        <v>360.29400000000004</v>
      </c>
      <c r="W55" s="90">
        <v>1.1395966666666666</v>
      </c>
      <c r="X55" s="91">
        <f t="shared" si="70"/>
        <v>3055538.1970015648</v>
      </c>
      <c r="Y55" s="196"/>
      <c r="Z55" s="86">
        <f t="shared" si="39"/>
        <v>5484.33</v>
      </c>
      <c r="AA55" s="86">
        <f t="shared" si="40"/>
        <v>4935.8969999999999</v>
      </c>
      <c r="AB55" s="86">
        <f t="shared" si="41"/>
        <v>6032.7630000000008</v>
      </c>
      <c r="AC55" s="469"/>
      <c r="AD55" s="100"/>
      <c r="AE55" s="86">
        <f t="shared" si="42"/>
        <v>5959.7172433119204</v>
      </c>
      <c r="AF55" s="86">
        <f t="shared" si="71"/>
        <v>2446999.357839481</v>
      </c>
      <c r="AG55" s="92">
        <f t="shared" si="43"/>
        <v>0</v>
      </c>
      <c r="AH55" s="92">
        <f t="shared" si="44"/>
        <v>0</v>
      </c>
      <c r="AI55" s="86">
        <f t="shared" si="45"/>
        <v>5959.7172433119204</v>
      </c>
      <c r="AJ55" s="201"/>
      <c r="AK55" s="86">
        <f t="shared" si="72"/>
        <v>2446999.357839481</v>
      </c>
      <c r="AL55" s="93">
        <f t="shared" si="73"/>
        <v>3055538.1970015648</v>
      </c>
      <c r="AM55" s="93">
        <f t="shared" si="5"/>
        <v>2251810.1849949486</v>
      </c>
      <c r="AN55" s="94">
        <f t="shared" si="46"/>
        <v>0</v>
      </c>
      <c r="AO55" s="95"/>
      <c r="AP55" s="86">
        <f t="shared" si="47"/>
        <v>5939.5792402952229</v>
      </c>
      <c r="AQ55" s="86">
        <f t="shared" si="74"/>
        <v>2438730.8983743396</v>
      </c>
      <c r="AR55" s="92">
        <f t="shared" si="48"/>
        <v>0</v>
      </c>
      <c r="AS55" s="92">
        <f t="shared" si="49"/>
        <v>0</v>
      </c>
      <c r="AT55" s="86">
        <f t="shared" si="50"/>
        <v>5939.5792402952229</v>
      </c>
      <c r="AU55" s="86">
        <f t="shared" si="75"/>
        <v>2438730.8983743396</v>
      </c>
      <c r="AV55" s="93">
        <f t="shared" si="76"/>
        <v>3055538.1970015648</v>
      </c>
      <c r="AW55" s="93">
        <f t="shared" si="9"/>
        <v>2251810.1849949486</v>
      </c>
      <c r="AX55" s="94">
        <f t="shared" si="10"/>
        <v>0</v>
      </c>
      <c r="AY55" s="92">
        <f t="shared" si="11"/>
        <v>0</v>
      </c>
      <c r="AZ55" s="95"/>
      <c r="BA55" s="86">
        <f t="shared" si="51"/>
        <v>5946.8270598908121</v>
      </c>
      <c r="BB55" s="86">
        <f t="shared" si="77"/>
        <v>2441706.7794727338</v>
      </c>
      <c r="BC55" s="92">
        <f t="shared" si="52"/>
        <v>0</v>
      </c>
      <c r="BD55" s="92">
        <f t="shared" si="53"/>
        <v>0</v>
      </c>
      <c r="BE55" s="86">
        <f t="shared" si="54"/>
        <v>5946.8270598908121</v>
      </c>
      <c r="BF55" s="86">
        <f t="shared" si="78"/>
        <v>2441706.7794727338</v>
      </c>
      <c r="BG55" s="96">
        <f t="shared" si="79"/>
        <v>3055538.1970015648</v>
      </c>
      <c r="BH55" s="96">
        <f t="shared" si="15"/>
        <v>2251810.1849949486</v>
      </c>
      <c r="BI55" s="94">
        <f t="shared" si="16"/>
        <v>0</v>
      </c>
      <c r="BJ55" s="92">
        <f t="shared" si="17"/>
        <v>0</v>
      </c>
      <c r="BK55" s="95"/>
      <c r="BL55" s="86">
        <f t="shared" si="55"/>
        <v>5946.8271349347888</v>
      </c>
      <c r="BM55" s="86">
        <f t="shared" si="80"/>
        <v>2441706.8102850281</v>
      </c>
      <c r="BN55" s="92">
        <f t="shared" si="56"/>
        <v>0</v>
      </c>
      <c r="BO55" s="92">
        <f t="shared" si="57"/>
        <v>0</v>
      </c>
      <c r="BP55" s="86">
        <f t="shared" si="58"/>
        <v>5946.8271349347888</v>
      </c>
      <c r="BQ55" s="86">
        <f t="shared" si="81"/>
        <v>2441706.8102850281</v>
      </c>
      <c r="BR55" s="93">
        <f t="shared" si="82"/>
        <v>3055538.1970015648</v>
      </c>
      <c r="BS55" s="93">
        <f t="shared" si="21"/>
        <v>2251810.1849949486</v>
      </c>
      <c r="BT55" s="94">
        <f t="shared" si="22"/>
        <v>0</v>
      </c>
      <c r="BU55" s="92">
        <f t="shared" si="23"/>
        <v>0</v>
      </c>
      <c r="BV55" s="95"/>
      <c r="BW55" s="86">
        <f t="shared" si="59"/>
        <v>5946.8271349347888</v>
      </c>
      <c r="BX55" s="86">
        <f t="shared" si="83"/>
        <v>2441706.8102850281</v>
      </c>
      <c r="BY55" s="92">
        <f t="shared" si="60"/>
        <v>0</v>
      </c>
      <c r="BZ55" s="92">
        <f t="shared" si="61"/>
        <v>0</v>
      </c>
      <c r="CA55" s="86">
        <f t="shared" si="62"/>
        <v>5946.8271349347888</v>
      </c>
      <c r="CB55" s="86">
        <f t="shared" si="84"/>
        <v>2441706.8102850281</v>
      </c>
      <c r="CC55" s="96">
        <f t="shared" si="85"/>
        <v>3055538.1970015648</v>
      </c>
      <c r="CD55" s="96">
        <f t="shared" si="27"/>
        <v>2251810.1849949486</v>
      </c>
      <c r="CE55" s="94">
        <f t="shared" si="28"/>
        <v>0</v>
      </c>
      <c r="CF55" s="92">
        <f t="shared" si="29"/>
        <v>0</v>
      </c>
      <c r="CG55" s="67"/>
      <c r="CH55" s="86">
        <f t="shared" si="30"/>
        <v>5946.8271349347888</v>
      </c>
      <c r="CI55" s="86">
        <f t="shared" si="86"/>
        <v>2441706.8102850281</v>
      </c>
      <c r="CJ55" s="92">
        <f t="shared" si="63"/>
        <v>0</v>
      </c>
      <c r="CK55" s="92">
        <f t="shared" si="64"/>
        <v>0</v>
      </c>
      <c r="CL55" s="86">
        <f t="shared" si="65"/>
        <v>5946.8271349347888</v>
      </c>
      <c r="CM55" s="86">
        <f t="shared" si="87"/>
        <v>2441706.8102850281</v>
      </c>
      <c r="CN55" s="97">
        <f t="shared" si="33"/>
        <v>1.0843306538692583</v>
      </c>
      <c r="CO55" s="554">
        <f t="shared" si="88"/>
        <v>60129</v>
      </c>
      <c r="CP55" s="153"/>
      <c r="CQ55" s="153">
        <f t="shared" si="89"/>
        <v>6125.23</v>
      </c>
      <c r="CR55" s="353"/>
      <c r="CS55" s="391" t="str">
        <f>VLOOKUP(A55,Characteristics!A48:M131,13,FALSE)</f>
        <v/>
      </c>
      <c r="CT55" s="206">
        <f>VLOOKUP(A55,Characteristics!A48:C131,3,FALSE)</f>
        <v>0</v>
      </c>
      <c r="CU55" s="557">
        <f t="shared" si="66"/>
        <v>6125.23</v>
      </c>
      <c r="CV55" s="557" t="str">
        <f t="shared" si="67"/>
        <v/>
      </c>
    </row>
    <row r="56" spans="1:100" s="125" customFormat="1" x14ac:dyDescent="0.3">
      <c r="A56" s="199">
        <v>60130</v>
      </c>
      <c r="B56" s="139"/>
      <c r="C56" s="558">
        <f>VLOOKUP($A56,'Fed Bs Rt+IME+GME+VBP+RAA+HAC'!$B$5:$AG$88,19,FALSE)</f>
        <v>6918.4759729999996</v>
      </c>
      <c r="D56" s="458">
        <f>VLOOKUP($A56,'Fed Bs Rt+IME+GME+VBP+RAA+HAC'!$B$5:$AG$88,25,FALSE)</f>
        <v>0</v>
      </c>
      <c r="E56" s="458">
        <f>VLOOKUP($A56,'Fed Bs Rt+IME+GME+VBP+RAA+HAC'!$B$5:$AG$88,29,FALSE)</f>
        <v>0</v>
      </c>
      <c r="F56" s="458">
        <f>VLOOKUP($A56,'Fed Bs Rt+IME+GME+VBP+RAA+HAC'!$B$5:$AG$88,27,FALSE)</f>
        <v>0</v>
      </c>
      <c r="G56" s="458">
        <f>VLOOKUP($A56,'Fed Bs Rt+IME+GME+VBP+RAA+HAC'!$B$5:$AG$88,32,FALSE)</f>
        <v>0</v>
      </c>
      <c r="H56" s="205">
        <f t="shared" si="36"/>
        <v>0</v>
      </c>
      <c r="I56" s="458">
        <f>VLOOKUP(A56,'Fed Bs Rt+IME+GME+VBP+RAA+HAC'!$B$5:$U$88,20,FALSE)</f>
        <v>0</v>
      </c>
      <c r="J56" s="459">
        <f>IF(Characteristics!M49="CAH",+C56*J$4,0)</f>
        <v>0</v>
      </c>
      <c r="K56" s="459">
        <f>IF(OR(Characteristics!M49="SCH",Characteristics!M49="MDH"),+C56*K$4,0)</f>
        <v>0</v>
      </c>
      <c r="L56" s="460">
        <f>IF(OR(J56&gt;0,K56&gt;0,M56&gt;0),0,IF(VLOOKUP(A56,Characteristics!A:H,8,FALSE)&lt;=L$6,L$4*C56,IF(VLOOKUP(A56,Characteristics!A:H,8,FALSE)&gt;=L$5,0,(VLOOKUP(A56,Characteristics!A:H,8,FALSE)-L$5)/(L$6-L$5)*L$4*C56)))</f>
        <v>559.82001414858337</v>
      </c>
      <c r="M56" s="541">
        <f>IF(VLOOKUP($A56,Characteristics!$A:$E,3,FALSE)=2,M$4*C56,0)</f>
        <v>0</v>
      </c>
      <c r="N56" s="461">
        <f>IF(VLOOKUP($A56,Characteristics!$A:$K,6,FALSE)&gt;=N$5,N$4*C56,IF(VLOOKUP($A56,Characteristics!$A:$K,6,FALSE)&lt;=N$6,0,(VLOOKUP($A56,Characteristics!$A:$K,6,FALSE)-N$6)/(N$5-N$6)*N$4*C56))</f>
        <v>0</v>
      </c>
      <c r="O56" s="461">
        <f>IF(VLOOKUP($A56,Characteristics!$A:$K,11,FALSE)&lt;=O$6,O$4*C56,IF(VLOOKUP($A56,Characteristics!$A:$K,11,FALSE)&gt;=O$5,0,(VLOOKUP($A56,Characteristics!$A:$K,11,FALSE)-O$5)/(O$6-O$5)*O$4*C56))</f>
        <v>0</v>
      </c>
      <c r="P56" s="205">
        <f t="shared" si="37"/>
        <v>7478.2959871485828</v>
      </c>
      <c r="Q56" s="205"/>
      <c r="R56" s="86">
        <v>5395.9</v>
      </c>
      <c r="S56" s="87">
        <f t="shared" si="68"/>
        <v>5503.82</v>
      </c>
      <c r="T56" s="471"/>
      <c r="U56" s="86">
        <f t="shared" si="69"/>
        <v>1331811.9665763136</v>
      </c>
      <c r="V56" s="89">
        <v>203.07480000000001</v>
      </c>
      <c r="W56" s="90">
        <v>1.1915784946236558</v>
      </c>
      <c r="X56" s="91">
        <f t="shared" si="70"/>
        <v>1809594.8060227458</v>
      </c>
      <c r="Y56" s="196"/>
      <c r="Z56" s="86">
        <f t="shared" si="39"/>
        <v>5503.82</v>
      </c>
      <c r="AA56" s="86">
        <f t="shared" si="40"/>
        <v>4953.4380000000001</v>
      </c>
      <c r="AB56" s="86">
        <f t="shared" si="41"/>
        <v>6054.2020000000002</v>
      </c>
      <c r="AC56" s="469"/>
      <c r="AD56" s="99"/>
      <c r="AE56" s="86">
        <f t="shared" si="42"/>
        <v>5988.923815857891</v>
      </c>
      <c r="AF56" s="86">
        <f t="shared" si="71"/>
        <v>1449197.1766651922</v>
      </c>
      <c r="AG56" s="92">
        <f t="shared" si="43"/>
        <v>0</v>
      </c>
      <c r="AH56" s="92">
        <f t="shared" si="44"/>
        <v>0</v>
      </c>
      <c r="AI56" s="86">
        <f t="shared" si="45"/>
        <v>5988.923815857891</v>
      </c>
      <c r="AJ56" s="201"/>
      <c r="AK56" s="86">
        <f t="shared" si="72"/>
        <v>1449197.1766651922</v>
      </c>
      <c r="AL56" s="93">
        <f t="shared" si="73"/>
        <v>1809594.8060227458</v>
      </c>
      <c r="AM56" s="93">
        <f t="shared" si="5"/>
        <v>1331811.9665763136</v>
      </c>
      <c r="AN56" s="94">
        <f t="shared" si="46"/>
        <v>0</v>
      </c>
      <c r="AO56" s="95"/>
      <c r="AP56" s="86">
        <f t="shared" si="47"/>
        <v>5968.6871232520698</v>
      </c>
      <c r="AQ56" s="86">
        <f t="shared" si="74"/>
        <v>1444300.3106019199</v>
      </c>
      <c r="AR56" s="92">
        <f t="shared" si="48"/>
        <v>0</v>
      </c>
      <c r="AS56" s="92">
        <f t="shared" si="49"/>
        <v>0</v>
      </c>
      <c r="AT56" s="86">
        <f t="shared" si="50"/>
        <v>5968.6871232520698</v>
      </c>
      <c r="AU56" s="86">
        <f t="shared" si="75"/>
        <v>1444300.3106019199</v>
      </c>
      <c r="AV56" s="93">
        <f t="shared" si="76"/>
        <v>1809594.8060227458</v>
      </c>
      <c r="AW56" s="93">
        <f t="shared" si="9"/>
        <v>1331811.9665763136</v>
      </c>
      <c r="AX56" s="94">
        <f t="shared" si="10"/>
        <v>0</v>
      </c>
      <c r="AY56" s="92">
        <f t="shared" si="11"/>
        <v>0</v>
      </c>
      <c r="AZ56" s="95"/>
      <c r="BA56" s="86">
        <f t="shared" si="51"/>
        <v>5975.9704619772028</v>
      </c>
      <c r="BB56" s="86">
        <f t="shared" si="77"/>
        <v>1446062.7297345879</v>
      </c>
      <c r="BC56" s="92">
        <f t="shared" si="52"/>
        <v>0</v>
      </c>
      <c r="BD56" s="92">
        <f t="shared" si="53"/>
        <v>0</v>
      </c>
      <c r="BE56" s="86">
        <f t="shared" si="54"/>
        <v>5975.9704619772028</v>
      </c>
      <c r="BF56" s="86">
        <f t="shared" si="78"/>
        <v>1446062.7297345879</v>
      </c>
      <c r="BG56" s="96">
        <f t="shared" si="79"/>
        <v>1809594.8060227458</v>
      </c>
      <c r="BH56" s="96">
        <f t="shared" si="15"/>
        <v>1331811.9665763136</v>
      </c>
      <c r="BI56" s="94">
        <f t="shared" si="16"/>
        <v>0</v>
      </c>
      <c r="BJ56" s="92">
        <f t="shared" si="17"/>
        <v>0</v>
      </c>
      <c r="BK56" s="95"/>
      <c r="BL56" s="86">
        <f t="shared" si="55"/>
        <v>5975.9705373889456</v>
      </c>
      <c r="BM56" s="86">
        <f t="shared" si="80"/>
        <v>1446062.7479826887</v>
      </c>
      <c r="BN56" s="92">
        <f t="shared" si="56"/>
        <v>0</v>
      </c>
      <c r="BO56" s="92">
        <f t="shared" si="57"/>
        <v>0</v>
      </c>
      <c r="BP56" s="86">
        <f t="shared" si="58"/>
        <v>5975.9705373889456</v>
      </c>
      <c r="BQ56" s="86">
        <f t="shared" si="81"/>
        <v>1446062.7479826887</v>
      </c>
      <c r="BR56" s="93">
        <f t="shared" si="82"/>
        <v>1809594.8060227458</v>
      </c>
      <c r="BS56" s="93">
        <f t="shared" si="21"/>
        <v>1331811.9665763136</v>
      </c>
      <c r="BT56" s="94">
        <f t="shared" si="22"/>
        <v>0</v>
      </c>
      <c r="BU56" s="92">
        <f t="shared" si="23"/>
        <v>0</v>
      </c>
      <c r="BV56" s="95"/>
      <c r="BW56" s="86">
        <f t="shared" si="59"/>
        <v>5975.9705373889456</v>
      </c>
      <c r="BX56" s="86">
        <f t="shared" si="83"/>
        <v>1446062.7479826887</v>
      </c>
      <c r="BY56" s="92">
        <f t="shared" si="60"/>
        <v>0</v>
      </c>
      <c r="BZ56" s="92">
        <f t="shared" si="61"/>
        <v>0</v>
      </c>
      <c r="CA56" s="86">
        <f t="shared" si="62"/>
        <v>5975.9705373889456</v>
      </c>
      <c r="CB56" s="86">
        <f t="shared" si="84"/>
        <v>1446062.7479826887</v>
      </c>
      <c r="CC56" s="96">
        <f t="shared" si="85"/>
        <v>1809594.8060227458</v>
      </c>
      <c r="CD56" s="96">
        <f t="shared" si="27"/>
        <v>1331811.9665763136</v>
      </c>
      <c r="CE56" s="94">
        <f t="shared" si="28"/>
        <v>0</v>
      </c>
      <c r="CF56" s="92">
        <f t="shared" si="29"/>
        <v>0</v>
      </c>
      <c r="CG56" s="67"/>
      <c r="CH56" s="86">
        <f t="shared" si="30"/>
        <v>5975.9705373889456</v>
      </c>
      <c r="CI56" s="86">
        <f t="shared" si="86"/>
        <v>1446062.7479826887</v>
      </c>
      <c r="CJ56" s="92">
        <f t="shared" si="63"/>
        <v>0</v>
      </c>
      <c r="CK56" s="92">
        <f t="shared" si="64"/>
        <v>0</v>
      </c>
      <c r="CL56" s="86">
        <f t="shared" si="65"/>
        <v>5975.9705373889456</v>
      </c>
      <c r="CM56" s="86">
        <f t="shared" si="87"/>
        <v>1446062.7479826887</v>
      </c>
      <c r="CN56" s="97">
        <f t="shared" si="33"/>
        <v>1.0857859699970105</v>
      </c>
      <c r="CO56" s="554">
        <f t="shared" si="88"/>
        <v>60130</v>
      </c>
      <c r="CP56" s="153"/>
      <c r="CQ56" s="153">
        <f t="shared" si="89"/>
        <v>6155.25</v>
      </c>
      <c r="CR56" s="353"/>
      <c r="CS56" s="391" t="str">
        <f>VLOOKUP(A56,Characteristics!A49:M132,13,FALSE)</f>
        <v/>
      </c>
      <c r="CT56" s="206">
        <f>VLOOKUP(A56,Characteristics!A49:C132,3,FALSE)</f>
        <v>0</v>
      </c>
      <c r="CU56" s="557">
        <f t="shared" si="66"/>
        <v>6155.25</v>
      </c>
      <c r="CV56" s="557" t="str">
        <f t="shared" si="67"/>
        <v/>
      </c>
    </row>
    <row r="57" spans="1:100" s="125" customFormat="1" x14ac:dyDescent="0.3">
      <c r="A57" s="199">
        <v>60131</v>
      </c>
      <c r="B57" s="139"/>
      <c r="C57" s="558">
        <f>VLOOKUP($A57,'Fed Bs Rt+IME+GME+VBP+RAA+HAC'!$B$5:$AG$88,19,FALSE)</f>
        <v>6949.0990279999987</v>
      </c>
      <c r="D57" s="458">
        <f>VLOOKUP($A57,'Fed Bs Rt+IME+GME+VBP+RAA+HAC'!$B$5:$AG$88,25,FALSE)</f>
        <v>0</v>
      </c>
      <c r="E57" s="458">
        <f>VLOOKUP($A57,'Fed Bs Rt+IME+GME+VBP+RAA+HAC'!$B$5:$AG$88,29,FALSE)</f>
        <v>0</v>
      </c>
      <c r="F57" s="458">
        <f>VLOOKUP($A57,'Fed Bs Rt+IME+GME+VBP+RAA+HAC'!$B$5:$AG$88,27,FALSE)</f>
        <v>0</v>
      </c>
      <c r="G57" s="458">
        <f>VLOOKUP($A57,'Fed Bs Rt+IME+GME+VBP+RAA+HAC'!$B$5:$AG$88,32,FALSE)</f>
        <v>0</v>
      </c>
      <c r="H57" s="205">
        <f t="shared" si="36"/>
        <v>0</v>
      </c>
      <c r="I57" s="458">
        <f>VLOOKUP(A57,'Fed Bs Rt+IME+GME+VBP+RAA+HAC'!$B$5:$U$88,20,FALSE)</f>
        <v>0</v>
      </c>
      <c r="J57" s="459">
        <f>IF(Characteristics!M50="CAH",+C57*J$4,0)</f>
        <v>0</v>
      </c>
      <c r="K57" s="459">
        <f>IF(OR(Characteristics!M50="SCH",Characteristics!M50="MDH"),+C57*K$4,0)</f>
        <v>0</v>
      </c>
      <c r="L57" s="460">
        <f>IF(OR(J57&gt;0,K57&gt;0,M57&gt;0),0,IF(VLOOKUP(A57,Characteristics!A:H,8,FALSE)&lt;=L$6,L$4*C57,IF(VLOOKUP(A57,Characteristics!A:H,8,FALSE)&gt;=L$5,0,(VLOOKUP(A57,Characteristics!A:H,8,FALSE)-L$5)/(L$6-L$5)*L$4*C57)))</f>
        <v>0</v>
      </c>
      <c r="M57" s="541">
        <f>IF(VLOOKUP($A57,Characteristics!$A:$E,3,FALSE)=2,M$4*C57,0)</f>
        <v>0</v>
      </c>
      <c r="N57" s="461">
        <f>IF(VLOOKUP($A57,Characteristics!$A:$K,6,FALSE)&gt;=N$5,N$4*C57,IF(VLOOKUP($A57,Characteristics!$A:$K,6,FALSE)&lt;=N$6,0,(VLOOKUP($A57,Characteristics!$A:$K,6,FALSE)-N$6)/(N$5-N$6)*N$4*C57))</f>
        <v>0</v>
      </c>
      <c r="O57" s="461">
        <f>IF(VLOOKUP($A57,Characteristics!$A:$K,11,FALSE)&lt;=O$6,O$4*C57,IF(VLOOKUP($A57,Characteristics!$A:$K,11,FALSE)&gt;=O$5,0,(VLOOKUP($A57,Characteristics!$A:$K,11,FALSE)-O$5)/(O$6-O$5)*O$4*C57))</f>
        <v>0</v>
      </c>
      <c r="P57" s="205">
        <f t="shared" si="37"/>
        <v>6949.0990279999987</v>
      </c>
      <c r="Q57" s="205"/>
      <c r="R57" s="86">
        <v>5617.62</v>
      </c>
      <c r="S57" s="87">
        <f t="shared" si="68"/>
        <v>5729.97</v>
      </c>
      <c r="T57" s="471"/>
      <c r="U57" s="86">
        <f t="shared" si="69"/>
        <v>9230908.6526484936</v>
      </c>
      <c r="V57" s="89">
        <v>1467.3792000000001</v>
      </c>
      <c r="W57" s="90">
        <v>1.0978670386904763</v>
      </c>
      <c r="X57" s="91">
        <f t="shared" si="70"/>
        <v>11194909.981322141</v>
      </c>
      <c r="Y57" s="196"/>
      <c r="Z57" s="86">
        <f t="shared" si="39"/>
        <v>5729.97</v>
      </c>
      <c r="AA57" s="86">
        <f t="shared" si="40"/>
        <v>5156.973</v>
      </c>
      <c r="AB57" s="86">
        <f t="shared" si="41"/>
        <v>6302.9670000000006</v>
      </c>
      <c r="AC57" s="469"/>
      <c r="AD57" s="100"/>
      <c r="AE57" s="86">
        <f t="shared" si="42"/>
        <v>5565.1213510489297</v>
      </c>
      <c r="AF57" s="86">
        <f t="shared" si="71"/>
        <v>8965339.5798645429</v>
      </c>
      <c r="AG57" s="92">
        <f t="shared" si="43"/>
        <v>0</v>
      </c>
      <c r="AH57" s="92">
        <f t="shared" si="44"/>
        <v>0</v>
      </c>
      <c r="AI57" s="86">
        <f t="shared" si="45"/>
        <v>5565.1213510489297</v>
      </c>
      <c r="AJ57" s="201"/>
      <c r="AK57" s="86">
        <f t="shared" si="72"/>
        <v>8965339.5798645429</v>
      </c>
      <c r="AL57" s="93">
        <f t="shared" si="73"/>
        <v>11194909.981322141</v>
      </c>
      <c r="AM57" s="93">
        <f t="shared" si="5"/>
        <v>9230908.6526484936</v>
      </c>
      <c r="AN57" s="94">
        <f t="shared" si="46"/>
        <v>0</v>
      </c>
      <c r="AO57" s="95"/>
      <c r="AP57" s="86">
        <f t="shared" si="47"/>
        <v>5546.3166953949267</v>
      </c>
      <c r="AQ57" s="86">
        <f t="shared" si="74"/>
        <v>8935045.5192348007</v>
      </c>
      <c r="AR57" s="92">
        <f t="shared" si="48"/>
        <v>0</v>
      </c>
      <c r="AS57" s="92">
        <f t="shared" si="49"/>
        <v>0</v>
      </c>
      <c r="AT57" s="86">
        <f t="shared" si="50"/>
        <v>5546.3166953949267</v>
      </c>
      <c r="AU57" s="86">
        <f t="shared" si="75"/>
        <v>8935045.5192348007</v>
      </c>
      <c r="AV57" s="93">
        <f t="shared" si="76"/>
        <v>11194909.981322141</v>
      </c>
      <c r="AW57" s="93">
        <f t="shared" si="9"/>
        <v>9230908.6526484936</v>
      </c>
      <c r="AX57" s="94">
        <f t="shared" si="10"/>
        <v>0</v>
      </c>
      <c r="AY57" s="92">
        <f t="shared" si="11"/>
        <v>0</v>
      </c>
      <c r="AZ57" s="95"/>
      <c r="BA57" s="86">
        <f t="shared" si="51"/>
        <v>5553.0846331901666</v>
      </c>
      <c r="BB57" s="86">
        <f t="shared" si="77"/>
        <v>8945948.5807786938</v>
      </c>
      <c r="BC57" s="92">
        <f t="shared" si="52"/>
        <v>0</v>
      </c>
      <c r="BD57" s="92">
        <f t="shared" si="53"/>
        <v>0</v>
      </c>
      <c r="BE57" s="86">
        <f t="shared" si="54"/>
        <v>5553.0846331901666</v>
      </c>
      <c r="BF57" s="86">
        <f t="shared" si="78"/>
        <v>8945948.5807786938</v>
      </c>
      <c r="BG57" s="93">
        <f t="shared" si="79"/>
        <v>11194909.981322141</v>
      </c>
      <c r="BH57" s="93">
        <f t="shared" si="15"/>
        <v>9230908.6526484936</v>
      </c>
      <c r="BI57" s="94">
        <f t="shared" si="16"/>
        <v>0</v>
      </c>
      <c r="BJ57" s="92">
        <f t="shared" si="17"/>
        <v>0</v>
      </c>
      <c r="BK57" s="95"/>
      <c r="BL57" s="86">
        <f t="shared" si="55"/>
        <v>5553.0847032654447</v>
      </c>
      <c r="BM57" s="86">
        <f t="shared" si="80"/>
        <v>8945948.6936690751</v>
      </c>
      <c r="BN57" s="92">
        <f t="shared" si="56"/>
        <v>0</v>
      </c>
      <c r="BO57" s="92">
        <f t="shared" si="57"/>
        <v>0</v>
      </c>
      <c r="BP57" s="86">
        <f t="shared" si="58"/>
        <v>5553.0847032654447</v>
      </c>
      <c r="BQ57" s="86">
        <f t="shared" si="81"/>
        <v>8945948.6936690751</v>
      </c>
      <c r="BR57" s="93">
        <f t="shared" si="82"/>
        <v>11194909.981322141</v>
      </c>
      <c r="BS57" s="93">
        <f t="shared" si="21"/>
        <v>9230908.6526484936</v>
      </c>
      <c r="BT57" s="94">
        <f t="shared" si="22"/>
        <v>0</v>
      </c>
      <c r="BU57" s="92">
        <f t="shared" si="23"/>
        <v>0</v>
      </c>
      <c r="BV57" s="95"/>
      <c r="BW57" s="86">
        <f t="shared" si="59"/>
        <v>5553.0847032654447</v>
      </c>
      <c r="BX57" s="86">
        <f t="shared" si="83"/>
        <v>8945948.6936690751</v>
      </c>
      <c r="BY57" s="92">
        <f t="shared" si="60"/>
        <v>0</v>
      </c>
      <c r="BZ57" s="92">
        <f t="shared" si="61"/>
        <v>0</v>
      </c>
      <c r="CA57" s="86">
        <f t="shared" si="62"/>
        <v>5553.0847032654447</v>
      </c>
      <c r="CB57" s="86">
        <f t="shared" si="84"/>
        <v>8945948.6936690751</v>
      </c>
      <c r="CC57" s="96">
        <f t="shared" si="85"/>
        <v>11194909.981322141</v>
      </c>
      <c r="CD57" s="96">
        <f t="shared" si="27"/>
        <v>9230908.6526484936</v>
      </c>
      <c r="CE57" s="94">
        <f t="shared" si="28"/>
        <v>0</v>
      </c>
      <c r="CF57" s="92">
        <f t="shared" si="29"/>
        <v>0</v>
      </c>
      <c r="CG57" s="67"/>
      <c r="CH57" s="86">
        <f t="shared" si="30"/>
        <v>5553.0847032654447</v>
      </c>
      <c r="CI57" s="86">
        <f t="shared" si="86"/>
        <v>8945948.6936690751</v>
      </c>
      <c r="CJ57" s="92">
        <f t="shared" si="63"/>
        <v>0</v>
      </c>
      <c r="CK57" s="92">
        <f t="shared" si="64"/>
        <v>0</v>
      </c>
      <c r="CL57" s="86">
        <f t="shared" si="65"/>
        <v>5553.0847032654447</v>
      </c>
      <c r="CM57" s="86">
        <f t="shared" si="87"/>
        <v>8945948.6936690751</v>
      </c>
      <c r="CN57" s="97">
        <f t="shared" si="33"/>
        <v>0.96912980404180904</v>
      </c>
      <c r="CO57" s="554">
        <f t="shared" si="88"/>
        <v>60131</v>
      </c>
      <c r="CP57" s="153"/>
      <c r="CQ57" s="153">
        <f t="shared" si="89"/>
        <v>5719.68</v>
      </c>
      <c r="CR57" s="353"/>
      <c r="CS57" s="391" t="str">
        <f>VLOOKUP(A57,Characteristics!A50:M133,13,FALSE)</f>
        <v/>
      </c>
      <c r="CT57" s="206">
        <f>VLOOKUP(A57,Characteristics!A50:C133,3,FALSE)</f>
        <v>0</v>
      </c>
      <c r="CU57" s="557">
        <f t="shared" si="66"/>
        <v>5719.68</v>
      </c>
      <c r="CV57" s="557" t="str">
        <f t="shared" si="67"/>
        <v/>
      </c>
    </row>
    <row r="58" spans="1:100" s="125" customFormat="1" x14ac:dyDescent="0.3">
      <c r="A58" s="199">
        <v>60132</v>
      </c>
      <c r="B58" s="139"/>
      <c r="C58" s="558">
        <f>VLOOKUP($A58,'Fed Bs Rt+IME+GME+VBP+RAA+HAC'!$B$5:$AG$88,19,FALSE)</f>
        <v>6918.4759729999996</v>
      </c>
      <c r="D58" s="458">
        <f>VLOOKUP($A58,'Fed Bs Rt+IME+GME+VBP+RAA+HAC'!$B$5:$AG$88,25,FALSE)</f>
        <v>0</v>
      </c>
      <c r="E58" s="458">
        <f>VLOOKUP($A58,'Fed Bs Rt+IME+GME+VBP+RAA+HAC'!$B$5:$AG$88,29,FALSE)</f>
        <v>0</v>
      </c>
      <c r="F58" s="458">
        <f>VLOOKUP($A58,'Fed Bs Rt+IME+GME+VBP+RAA+HAC'!$B$5:$AG$88,27,FALSE)</f>
        <v>0</v>
      </c>
      <c r="G58" s="458">
        <f>VLOOKUP($A58,'Fed Bs Rt+IME+GME+VBP+RAA+HAC'!$B$5:$AG$88,32,FALSE)</f>
        <v>0</v>
      </c>
      <c r="H58" s="205">
        <f t="shared" si="36"/>
        <v>0</v>
      </c>
      <c r="I58" s="458">
        <f>VLOOKUP(A58,'Fed Bs Rt+IME+GME+VBP+RAA+HAC'!$B$5:$U$88,20,FALSE)</f>
        <v>1.3111256846449504</v>
      </c>
      <c r="J58" s="459">
        <f>IF(Characteristics!M51="CAH",+C58*J$4,0)</f>
        <v>0</v>
      </c>
      <c r="K58" s="459">
        <f>IF(OR(Characteristics!M51="SCH",Characteristics!M51="MDH"),+C58*K$4,0)</f>
        <v>0</v>
      </c>
      <c r="L58" s="460">
        <f>IF(OR(J58&gt;0,K58&gt;0,M58&gt;0),0,IF(VLOOKUP(A58,Characteristics!A:H,8,FALSE)&lt;=L$6,L$4*C58,IF(VLOOKUP(A58,Characteristics!A:H,8,FALSE)&gt;=L$5,0,(VLOOKUP(A58,Characteristics!A:H,8,FALSE)-L$5)/(L$6-L$5)*L$4*C58)))</f>
        <v>0</v>
      </c>
      <c r="M58" s="541">
        <f>IF(VLOOKUP($A58,Characteristics!$A:$E,3,FALSE)=2,M$4*C58,0)</f>
        <v>0</v>
      </c>
      <c r="N58" s="461">
        <f>IF(VLOOKUP($A58,Characteristics!$A:$K,6,FALSE)&gt;=N$5,N$4*C58,IF(VLOOKUP($A58,Characteristics!$A:$K,6,FALSE)&lt;=N$6,0,(VLOOKUP($A58,Characteristics!$A:$K,6,FALSE)-N$6)/(N$5-N$6)*N$4*C58))</f>
        <v>0</v>
      </c>
      <c r="O58" s="461">
        <f>IF(VLOOKUP($A58,Characteristics!$A:$K,11,FALSE)&lt;=O$6,O$4*C58,IF(VLOOKUP($A58,Characteristics!$A:$K,11,FALSE)&gt;=O$5,0,(VLOOKUP($A58,Characteristics!$A:$K,11,FALSE)-O$5)/(O$6-O$5)*O$4*C58))</f>
        <v>0</v>
      </c>
      <c r="P58" s="205">
        <f t="shared" si="37"/>
        <v>6919.7870986846447</v>
      </c>
      <c r="Q58" s="205"/>
      <c r="R58" s="86">
        <v>5617.62</v>
      </c>
      <c r="S58" s="87">
        <f t="shared" si="68"/>
        <v>5729.97</v>
      </c>
      <c r="T58" s="471"/>
      <c r="U58" s="86">
        <f t="shared" si="69"/>
        <v>8098774.3617279902</v>
      </c>
      <c r="V58" s="89">
        <v>1025.2002</v>
      </c>
      <c r="W58" s="90">
        <v>1.3786634717784878</v>
      </c>
      <c r="X58" s="91">
        <f t="shared" si="70"/>
        <v>9780469.0676292051</v>
      </c>
      <c r="Y58" s="196"/>
      <c r="Z58" s="86">
        <f t="shared" si="39"/>
        <v>5729.97</v>
      </c>
      <c r="AA58" s="86">
        <f t="shared" si="40"/>
        <v>5156.973</v>
      </c>
      <c r="AB58" s="86">
        <f t="shared" si="41"/>
        <v>6302.9670000000006</v>
      </c>
      <c r="AC58" s="469"/>
      <c r="AD58" s="100"/>
      <c r="AE58" s="86">
        <f t="shared" si="42"/>
        <v>5541.6471649686855</v>
      </c>
      <c r="AF58" s="86">
        <f t="shared" si="71"/>
        <v>7832597.7241400899</v>
      </c>
      <c r="AG58" s="92">
        <f t="shared" si="43"/>
        <v>0</v>
      </c>
      <c r="AH58" s="92">
        <f t="shared" si="44"/>
        <v>0</v>
      </c>
      <c r="AI58" s="86">
        <f t="shared" si="45"/>
        <v>5541.6471649686855</v>
      </c>
      <c r="AJ58" s="201"/>
      <c r="AK58" s="86">
        <f t="shared" si="72"/>
        <v>7832597.7241400899</v>
      </c>
      <c r="AL58" s="93">
        <f t="shared" si="73"/>
        <v>9780469.0676292051</v>
      </c>
      <c r="AM58" s="93">
        <f t="shared" si="5"/>
        <v>8098774.3617279902</v>
      </c>
      <c r="AN58" s="94">
        <f t="shared" si="46"/>
        <v>0</v>
      </c>
      <c r="AO58" s="95"/>
      <c r="AP58" s="86">
        <f t="shared" si="47"/>
        <v>5522.9218290560057</v>
      </c>
      <c r="AQ58" s="86">
        <f t="shared" si="74"/>
        <v>7806131.2207544958</v>
      </c>
      <c r="AR58" s="92">
        <f t="shared" si="48"/>
        <v>0</v>
      </c>
      <c r="AS58" s="92">
        <f t="shared" si="49"/>
        <v>0</v>
      </c>
      <c r="AT58" s="86">
        <f t="shared" si="50"/>
        <v>5522.9218290560057</v>
      </c>
      <c r="AU58" s="86">
        <f t="shared" si="75"/>
        <v>7806131.2207544958</v>
      </c>
      <c r="AV58" s="93">
        <f t="shared" si="76"/>
        <v>9780469.0676292051</v>
      </c>
      <c r="AW58" s="93">
        <f t="shared" si="9"/>
        <v>8098774.3617279902</v>
      </c>
      <c r="AX58" s="94">
        <f t="shared" si="10"/>
        <v>0</v>
      </c>
      <c r="AY58" s="92">
        <f t="shared" si="11"/>
        <v>0</v>
      </c>
      <c r="AZ58" s="95"/>
      <c r="BA58" s="86">
        <f t="shared" si="51"/>
        <v>5529.6612190764245</v>
      </c>
      <c r="BB58" s="86">
        <f t="shared" si="77"/>
        <v>7815656.7154972339</v>
      </c>
      <c r="BC58" s="92">
        <f t="shared" si="52"/>
        <v>0</v>
      </c>
      <c r="BD58" s="92">
        <f t="shared" si="53"/>
        <v>0</v>
      </c>
      <c r="BE58" s="86">
        <f t="shared" si="54"/>
        <v>5529.6612190764245</v>
      </c>
      <c r="BF58" s="86">
        <f t="shared" si="78"/>
        <v>7815656.7154972339</v>
      </c>
      <c r="BG58" s="93">
        <f t="shared" si="79"/>
        <v>9780469.0676292051</v>
      </c>
      <c r="BH58" s="93">
        <f t="shared" si="15"/>
        <v>8098774.3617279902</v>
      </c>
      <c r="BI58" s="94">
        <f t="shared" si="16"/>
        <v>0</v>
      </c>
      <c r="BJ58" s="92">
        <f t="shared" si="17"/>
        <v>0</v>
      </c>
      <c r="BK58" s="95"/>
      <c r="BL58" s="86">
        <f t="shared" si="55"/>
        <v>5529.6612888561185</v>
      </c>
      <c r="BM58" s="86">
        <f t="shared" si="80"/>
        <v>7815656.8141242778</v>
      </c>
      <c r="BN58" s="92">
        <f t="shared" si="56"/>
        <v>0</v>
      </c>
      <c r="BO58" s="92">
        <f t="shared" si="57"/>
        <v>0</v>
      </c>
      <c r="BP58" s="86">
        <f t="shared" si="58"/>
        <v>5529.6612888561185</v>
      </c>
      <c r="BQ58" s="86">
        <f t="shared" si="81"/>
        <v>7815656.8141242778</v>
      </c>
      <c r="BR58" s="93">
        <f t="shared" si="82"/>
        <v>9780469.0676292051</v>
      </c>
      <c r="BS58" s="93">
        <f t="shared" si="21"/>
        <v>8098774.3617279902</v>
      </c>
      <c r="BT58" s="94">
        <f t="shared" si="22"/>
        <v>0</v>
      </c>
      <c r="BU58" s="92">
        <f t="shared" si="23"/>
        <v>0</v>
      </c>
      <c r="BV58" s="95"/>
      <c r="BW58" s="86">
        <f t="shared" si="59"/>
        <v>5529.6612888561185</v>
      </c>
      <c r="BX58" s="86">
        <f t="shared" si="83"/>
        <v>7815656.8141242778</v>
      </c>
      <c r="BY58" s="92">
        <f t="shared" si="60"/>
        <v>0</v>
      </c>
      <c r="BZ58" s="92">
        <f t="shared" si="61"/>
        <v>0</v>
      </c>
      <c r="CA58" s="86">
        <f t="shared" si="62"/>
        <v>5529.6612888561185</v>
      </c>
      <c r="CB58" s="86">
        <f t="shared" si="84"/>
        <v>7815656.8141242778</v>
      </c>
      <c r="CC58" s="96">
        <f t="shared" si="85"/>
        <v>9780469.0676292051</v>
      </c>
      <c r="CD58" s="96">
        <f t="shared" si="27"/>
        <v>8098774.3617279902</v>
      </c>
      <c r="CE58" s="94">
        <f t="shared" si="28"/>
        <v>0</v>
      </c>
      <c r="CF58" s="92">
        <f t="shared" si="29"/>
        <v>0</v>
      </c>
      <c r="CG58" s="67"/>
      <c r="CH58" s="86">
        <f t="shared" si="30"/>
        <v>5529.6612888561185</v>
      </c>
      <c r="CI58" s="86">
        <f t="shared" si="86"/>
        <v>7815656.8141242778</v>
      </c>
      <c r="CJ58" s="92">
        <f t="shared" si="63"/>
        <v>0</v>
      </c>
      <c r="CK58" s="92">
        <f t="shared" si="64"/>
        <v>0</v>
      </c>
      <c r="CL58" s="86">
        <f t="shared" si="65"/>
        <v>5529.6612888561185</v>
      </c>
      <c r="CM58" s="86">
        <f t="shared" si="87"/>
        <v>7815656.8141242778</v>
      </c>
      <c r="CN58" s="97">
        <f t="shared" si="33"/>
        <v>0.96504192672145195</v>
      </c>
      <c r="CO58" s="554">
        <f t="shared" si="88"/>
        <v>60132</v>
      </c>
      <c r="CP58" s="153"/>
      <c r="CQ58" s="153">
        <f t="shared" si="89"/>
        <v>5695.55</v>
      </c>
      <c r="CR58" s="353"/>
      <c r="CS58" s="391" t="str">
        <f>VLOOKUP(A58,Characteristics!A51:M134,13,FALSE)</f>
        <v/>
      </c>
      <c r="CT58" s="206">
        <f>VLOOKUP(A58,Characteristics!A51:C134,3,FALSE)</f>
        <v>0</v>
      </c>
      <c r="CU58" s="557">
        <f t="shared" si="66"/>
        <v>5695.55</v>
      </c>
      <c r="CV58" s="557" t="str">
        <f t="shared" si="67"/>
        <v/>
      </c>
    </row>
    <row r="59" spans="1:100" s="125" customFormat="1" x14ac:dyDescent="0.3">
      <c r="A59" s="199">
        <v>61300</v>
      </c>
      <c r="B59" s="139"/>
      <c r="C59" s="558">
        <f>VLOOKUP($A59,'Fed Bs Rt+IME+GME+VBP+RAA+HAC'!$B$5:$AG$88,19,FALSE)</f>
        <v>6859.53</v>
      </c>
      <c r="D59" s="458">
        <f>VLOOKUP($A59,'Fed Bs Rt+IME+GME+VBP+RAA+HAC'!$B$5:$AG$88,25,FALSE)</f>
        <v>0</v>
      </c>
      <c r="E59" s="458">
        <f>VLOOKUP($A59,'Fed Bs Rt+IME+GME+VBP+RAA+HAC'!$B$5:$AG$88,29,FALSE)</f>
        <v>0</v>
      </c>
      <c r="F59" s="458">
        <f>VLOOKUP($A59,'Fed Bs Rt+IME+GME+VBP+RAA+HAC'!$B$5:$AG$88,27,FALSE)</f>
        <v>0</v>
      </c>
      <c r="G59" s="458">
        <f>VLOOKUP($A59,'Fed Bs Rt+IME+GME+VBP+RAA+HAC'!$B$5:$AG$88,32,FALSE)</f>
        <v>0</v>
      </c>
      <c r="H59" s="205">
        <f t="shared" si="36"/>
        <v>0</v>
      </c>
      <c r="I59" s="458">
        <f>VLOOKUP(A59,'Fed Bs Rt+IME+GME+VBP+RAA+HAC'!$B$5:$U$88,20,FALSE)</f>
        <v>0</v>
      </c>
      <c r="J59" s="459">
        <f>IF(Characteristics!M52="CAH",+C59*J$4,0)</f>
        <v>1714.8824999999999</v>
      </c>
      <c r="K59" s="459">
        <f>IF(OR(Characteristics!M52="SCH",Characteristics!M52="MDH"),+C59*K$4,0)</f>
        <v>0</v>
      </c>
      <c r="L59" s="460">
        <f>IF(OR(J59&gt;0,K59&gt;0,M59&gt;0),0,IF(VLOOKUP(A59,Characteristics!A:H,8,FALSE)&lt;=L$6,L$4*C59,IF(VLOOKUP(A59,Characteristics!A:H,8,FALSE)&gt;=L$5,0,(VLOOKUP(A59,Characteristics!A:H,8,FALSE)-L$5)/(L$6-L$5)*L$4*C59)))</f>
        <v>0</v>
      </c>
      <c r="M59" s="541">
        <f>IF(VLOOKUP($A59,Characteristics!$A:$E,3,FALSE)=2,M$4*C59,0)</f>
        <v>0</v>
      </c>
      <c r="N59" s="461">
        <f>IF(VLOOKUP($A59,Characteristics!$A:$K,6,FALSE)&gt;=N$5,N$4*C59,IF(VLOOKUP($A59,Characteristics!$A:$K,6,FALSE)&lt;=N$6,0,(VLOOKUP($A59,Characteristics!$A:$K,6,FALSE)-N$6)/(N$5-N$6)*N$4*C59))</f>
        <v>685.95299999999997</v>
      </c>
      <c r="O59" s="461">
        <f>IF(VLOOKUP($A59,Characteristics!$A:$K,11,FALSE)&lt;=O$6,O$4*C59,IF(VLOOKUP($A59,Characteristics!$A:$K,11,FALSE)&gt;=O$5,0,(VLOOKUP($A59,Characteristics!$A:$K,11,FALSE)-O$5)/(O$6-O$5)*O$4*C59))</f>
        <v>1099.244753896372</v>
      </c>
      <c r="P59" s="205">
        <f t="shared" si="37"/>
        <v>10359.610253896371</v>
      </c>
      <c r="Q59" s="205"/>
      <c r="R59" s="86">
        <v>6905.06</v>
      </c>
      <c r="S59" s="87">
        <f t="shared" si="68"/>
        <v>7043.16</v>
      </c>
      <c r="T59" s="471"/>
      <c r="U59" s="86">
        <f t="shared" si="69"/>
        <v>136725.34349999999</v>
      </c>
      <c r="V59" s="89">
        <v>30</v>
      </c>
      <c r="W59" s="90">
        <v>0.64708333333333334</v>
      </c>
      <c r="X59" s="91">
        <f t="shared" si="70"/>
        <v>201105.93405376334</v>
      </c>
      <c r="Y59" s="196"/>
      <c r="Z59" s="86">
        <f t="shared" si="39"/>
        <v>7043.16</v>
      </c>
      <c r="AA59" s="86">
        <f t="shared" si="40"/>
        <v>6338.8440000000001</v>
      </c>
      <c r="AB59" s="86">
        <f t="shared" si="41"/>
        <v>7747.4760000000006</v>
      </c>
      <c r="AC59" s="469"/>
      <c r="AD59" s="99"/>
      <c r="AE59" s="86">
        <f t="shared" si="42"/>
        <v>8296.3975589072761</v>
      </c>
      <c r="AF59" s="86">
        <f t="shared" si="71"/>
        <v>161053.8176122875</v>
      </c>
      <c r="AG59" s="92">
        <f t="shared" si="43"/>
        <v>0</v>
      </c>
      <c r="AH59" s="92">
        <f t="shared" si="44"/>
        <v>1</v>
      </c>
      <c r="AI59" s="86">
        <f t="shared" si="45"/>
        <v>7747.4760000000006</v>
      </c>
      <c r="AJ59" s="201"/>
      <c r="AK59" s="86">
        <f t="shared" si="72"/>
        <v>150397.87785000002</v>
      </c>
      <c r="AL59" s="93">
        <f t="shared" si="73"/>
        <v>201105.93405376334</v>
      </c>
      <c r="AM59" s="93">
        <f t="shared" si="5"/>
        <v>136725.34349999999</v>
      </c>
      <c r="AN59" s="94">
        <f t="shared" si="46"/>
        <v>0</v>
      </c>
      <c r="AO59" s="95"/>
      <c r="AP59" s="86">
        <f t="shared" si="47"/>
        <v>8268.3638666618135</v>
      </c>
      <c r="AQ59" s="86">
        <f t="shared" si="74"/>
        <v>160509.61356157245</v>
      </c>
      <c r="AR59" s="92">
        <f t="shared" si="48"/>
        <v>0</v>
      </c>
      <c r="AS59" s="92">
        <f t="shared" si="49"/>
        <v>1</v>
      </c>
      <c r="AT59" s="86">
        <f t="shared" si="50"/>
        <v>7747.4760000000006</v>
      </c>
      <c r="AU59" s="86">
        <f t="shared" si="75"/>
        <v>150397.87785000002</v>
      </c>
      <c r="AV59" s="93">
        <f t="shared" si="76"/>
        <v>0</v>
      </c>
      <c r="AW59" s="93">
        <f t="shared" si="9"/>
        <v>-13672.534350000031</v>
      </c>
      <c r="AX59" s="94">
        <f t="shared" si="10"/>
        <v>1</v>
      </c>
      <c r="AY59" s="92">
        <f t="shared" si="11"/>
        <v>1</v>
      </c>
      <c r="AZ59" s="95"/>
      <c r="BA59" s="86">
        <f t="shared" si="51"/>
        <v>7747.4760000000006</v>
      </c>
      <c r="BB59" s="86">
        <f t="shared" si="77"/>
        <v>150397.87785000002</v>
      </c>
      <c r="BC59" s="92">
        <f t="shared" si="52"/>
        <v>0</v>
      </c>
      <c r="BD59" s="92">
        <f t="shared" si="53"/>
        <v>1</v>
      </c>
      <c r="BE59" s="86">
        <f t="shared" si="54"/>
        <v>7747.4760000000006</v>
      </c>
      <c r="BF59" s="86">
        <f t="shared" si="78"/>
        <v>150397.87785000002</v>
      </c>
      <c r="BG59" s="93">
        <f t="shared" si="79"/>
        <v>0</v>
      </c>
      <c r="BH59" s="93">
        <f t="shared" si="15"/>
        <v>-13672.534350000031</v>
      </c>
      <c r="BI59" s="94">
        <f t="shared" si="16"/>
        <v>1</v>
      </c>
      <c r="BJ59" s="92">
        <f t="shared" si="17"/>
        <v>0</v>
      </c>
      <c r="BK59" s="95"/>
      <c r="BL59" s="86">
        <f t="shared" si="55"/>
        <v>7747.4760000000006</v>
      </c>
      <c r="BM59" s="86">
        <f t="shared" si="80"/>
        <v>150397.87785000002</v>
      </c>
      <c r="BN59" s="92">
        <f t="shared" si="56"/>
        <v>0</v>
      </c>
      <c r="BO59" s="92">
        <f t="shared" si="57"/>
        <v>1</v>
      </c>
      <c r="BP59" s="86">
        <f t="shared" si="58"/>
        <v>7747.4760000000006</v>
      </c>
      <c r="BQ59" s="86">
        <f t="shared" si="81"/>
        <v>150397.87785000002</v>
      </c>
      <c r="BR59" s="93">
        <f t="shared" si="82"/>
        <v>0</v>
      </c>
      <c r="BS59" s="93">
        <f t="shared" si="21"/>
        <v>-13672.534350000031</v>
      </c>
      <c r="BT59" s="94">
        <f t="shared" si="22"/>
        <v>1</v>
      </c>
      <c r="BU59" s="92">
        <f t="shared" si="23"/>
        <v>0</v>
      </c>
      <c r="BV59" s="95"/>
      <c r="BW59" s="86">
        <f t="shared" si="59"/>
        <v>7747.4760000000006</v>
      </c>
      <c r="BX59" s="86">
        <f t="shared" si="83"/>
        <v>150397.87785000002</v>
      </c>
      <c r="BY59" s="92">
        <f t="shared" si="60"/>
        <v>0</v>
      </c>
      <c r="BZ59" s="92">
        <f t="shared" si="61"/>
        <v>1</v>
      </c>
      <c r="CA59" s="86">
        <f t="shared" si="62"/>
        <v>7747.4760000000006</v>
      </c>
      <c r="CB59" s="86">
        <f t="shared" si="84"/>
        <v>150397.87785000002</v>
      </c>
      <c r="CC59" s="96">
        <f t="shared" si="85"/>
        <v>0</v>
      </c>
      <c r="CD59" s="96">
        <f t="shared" si="27"/>
        <v>-13672.534350000031</v>
      </c>
      <c r="CE59" s="94">
        <f t="shared" si="28"/>
        <v>1</v>
      </c>
      <c r="CF59" s="92">
        <f t="shared" si="29"/>
        <v>0</v>
      </c>
      <c r="CG59" s="67"/>
      <c r="CH59" s="86">
        <f t="shared" si="30"/>
        <v>8278.453508995497</v>
      </c>
      <c r="CI59" s="86">
        <f t="shared" si="86"/>
        <v>160705.47874337508</v>
      </c>
      <c r="CJ59" s="92">
        <f t="shared" si="63"/>
        <v>0</v>
      </c>
      <c r="CK59" s="92">
        <f t="shared" si="64"/>
        <v>1</v>
      </c>
      <c r="CL59" s="86">
        <f t="shared" si="65"/>
        <v>7747.4760000000006</v>
      </c>
      <c r="CM59" s="86">
        <f t="shared" si="87"/>
        <v>150397.87785000002</v>
      </c>
      <c r="CN59" s="97">
        <f t="shared" si="33"/>
        <v>1.1000000000000001</v>
      </c>
      <c r="CO59" s="554">
        <f t="shared" si="88"/>
        <v>61300</v>
      </c>
      <c r="CP59" s="153"/>
      <c r="CQ59" s="153">
        <f t="shared" si="89"/>
        <v>7979.9</v>
      </c>
      <c r="CR59" s="353"/>
      <c r="CS59" s="391" t="str">
        <f>VLOOKUP(A59,Characteristics!A52:M135,13,FALSE)</f>
        <v>CAH</v>
      </c>
      <c r="CT59" s="206">
        <f>VLOOKUP(A59,Characteristics!A52:C135,3,FALSE)</f>
        <v>1</v>
      </c>
      <c r="CU59" s="557" t="str">
        <f t="shared" si="66"/>
        <v/>
      </c>
      <c r="CV59" s="557">
        <f t="shared" si="67"/>
        <v>7979.9</v>
      </c>
    </row>
    <row r="60" spans="1:100" s="125" customFormat="1" x14ac:dyDescent="0.3">
      <c r="A60" s="199">
        <v>61301</v>
      </c>
      <c r="B60" s="139"/>
      <c r="C60" s="558">
        <f>VLOOKUP($A60,'Fed Bs Rt+IME+GME+VBP+RAA+HAC'!$B$5:$AG$88,19,FALSE)</f>
        <v>6859.53</v>
      </c>
      <c r="D60" s="458">
        <f>VLOOKUP($A60,'Fed Bs Rt+IME+GME+VBP+RAA+HAC'!$B$5:$AG$88,25,FALSE)</f>
        <v>0</v>
      </c>
      <c r="E60" s="458">
        <f>VLOOKUP($A60,'Fed Bs Rt+IME+GME+VBP+RAA+HAC'!$B$5:$AG$88,29,FALSE)</f>
        <v>0</v>
      </c>
      <c r="F60" s="458">
        <f>VLOOKUP($A60,'Fed Bs Rt+IME+GME+VBP+RAA+HAC'!$B$5:$AG$88,27,FALSE)</f>
        <v>0</v>
      </c>
      <c r="G60" s="458">
        <f>VLOOKUP($A60,'Fed Bs Rt+IME+GME+VBP+RAA+HAC'!$B$5:$AG$88,32,FALSE)</f>
        <v>0</v>
      </c>
      <c r="H60" s="205">
        <f t="shared" si="36"/>
        <v>0</v>
      </c>
      <c r="I60" s="458">
        <f>VLOOKUP(A60,'Fed Bs Rt+IME+GME+VBP+RAA+HAC'!$B$5:$U$88,20,FALSE)</f>
        <v>0</v>
      </c>
      <c r="J60" s="459">
        <f>IF(Characteristics!M53="CAH",+C60*J$4,0)</f>
        <v>1714.8824999999999</v>
      </c>
      <c r="K60" s="459">
        <f>IF(OR(Characteristics!M53="SCH",Characteristics!M53="MDH"),+C60*K$4,0)</f>
        <v>0</v>
      </c>
      <c r="L60" s="460">
        <f>IF(OR(J60&gt;0,K60&gt;0,M60&gt;0),0,IF(VLOOKUP(A60,Characteristics!A:H,8,FALSE)&lt;=L$6,L$4*C60,IF(VLOOKUP(A60,Characteristics!A:H,8,FALSE)&gt;=L$5,0,(VLOOKUP(A60,Characteristics!A:H,8,FALSE)-L$5)/(L$6-L$5)*L$4*C60)))</f>
        <v>0</v>
      </c>
      <c r="M60" s="541">
        <f>IF(VLOOKUP($A60,Characteristics!$A:$E,3,FALSE)=2,M$4*C60,0)</f>
        <v>0</v>
      </c>
      <c r="N60" s="461">
        <f>IF(VLOOKUP($A60,Characteristics!$A:$K,6,FALSE)&gt;=N$5,N$4*C60,IF(VLOOKUP($A60,Characteristics!$A:$K,6,FALSE)&lt;=N$6,0,(VLOOKUP($A60,Characteristics!$A:$K,6,FALSE)-N$6)/(N$5-N$6)*N$4*C60))</f>
        <v>0</v>
      </c>
      <c r="O60" s="461">
        <f>IF(VLOOKUP($A60,Characteristics!$A:$K,11,FALSE)&lt;=O$6,O$4*C60,IF(VLOOKUP($A60,Characteristics!$A:$K,11,FALSE)&gt;=O$5,0,(VLOOKUP($A60,Characteristics!$A:$K,11,FALSE)-O$5)/(O$6-O$5)*O$4*C60))</f>
        <v>21.213705044898074</v>
      </c>
      <c r="P60" s="205">
        <f t="shared" si="37"/>
        <v>8595.6262050448986</v>
      </c>
      <c r="Q60" s="205"/>
      <c r="R60" s="86">
        <v>6905.06</v>
      </c>
      <c r="S60" s="87">
        <f t="shared" si="68"/>
        <v>7043.16</v>
      </c>
      <c r="T60" s="471"/>
      <c r="U60" s="86">
        <f t="shared" si="69"/>
        <v>1225938.5577126527</v>
      </c>
      <c r="V60" s="89">
        <v>182.3306</v>
      </c>
      <c r="W60" s="90">
        <v>0.95464431137724548</v>
      </c>
      <c r="X60" s="91">
        <f t="shared" si="70"/>
        <v>1496162.1761325635</v>
      </c>
      <c r="Y60" s="196"/>
      <c r="Z60" s="86">
        <f t="shared" si="39"/>
        <v>7043.16</v>
      </c>
      <c r="AA60" s="86">
        <f t="shared" si="40"/>
        <v>6338.8440000000001</v>
      </c>
      <c r="AB60" s="86">
        <f t="shared" si="41"/>
        <v>7747.4760000000006</v>
      </c>
      <c r="AC60" s="469"/>
      <c r="AD60" s="100"/>
      <c r="AE60" s="86">
        <f t="shared" si="42"/>
        <v>6883.7273330811222</v>
      </c>
      <c r="AF60" s="86">
        <f t="shared" si="71"/>
        <v>1198187.5689895779</v>
      </c>
      <c r="AG60" s="92">
        <f t="shared" si="43"/>
        <v>0</v>
      </c>
      <c r="AH60" s="92">
        <f t="shared" si="44"/>
        <v>0</v>
      </c>
      <c r="AI60" s="86">
        <f t="shared" si="45"/>
        <v>6883.7273330811222</v>
      </c>
      <c r="AJ60" s="201"/>
      <c r="AK60" s="86">
        <f t="shared" si="72"/>
        <v>1198187.5689895779</v>
      </c>
      <c r="AL60" s="93">
        <f t="shared" si="73"/>
        <v>1496162.1761325635</v>
      </c>
      <c r="AM60" s="93">
        <f t="shared" si="5"/>
        <v>1225938.5577126527</v>
      </c>
      <c r="AN60" s="94">
        <f t="shared" si="46"/>
        <v>0</v>
      </c>
      <c r="AO60" s="95"/>
      <c r="AP60" s="86">
        <f t="shared" si="47"/>
        <v>6860.4670816060589</v>
      </c>
      <c r="AQ60" s="86">
        <f t="shared" si="74"/>
        <v>1194138.8693795488</v>
      </c>
      <c r="AR60" s="92">
        <f t="shared" si="48"/>
        <v>0</v>
      </c>
      <c r="AS60" s="92">
        <f t="shared" si="49"/>
        <v>0</v>
      </c>
      <c r="AT60" s="86">
        <f t="shared" si="50"/>
        <v>6860.4670816060589</v>
      </c>
      <c r="AU60" s="86">
        <f t="shared" si="75"/>
        <v>1194138.8693795488</v>
      </c>
      <c r="AV60" s="93">
        <f t="shared" si="76"/>
        <v>1496162.1761325635</v>
      </c>
      <c r="AW60" s="93">
        <f t="shared" si="9"/>
        <v>1225938.5577126527</v>
      </c>
      <c r="AX60" s="94">
        <f t="shared" si="10"/>
        <v>0</v>
      </c>
      <c r="AY60" s="92">
        <f t="shared" si="11"/>
        <v>0</v>
      </c>
      <c r="AZ60" s="95"/>
      <c r="BA60" s="86">
        <f t="shared" si="51"/>
        <v>6868.8386220363336</v>
      </c>
      <c r="BB60" s="86">
        <f t="shared" si="77"/>
        <v>1195596.0269907524</v>
      </c>
      <c r="BC60" s="92">
        <f t="shared" si="52"/>
        <v>0</v>
      </c>
      <c r="BD60" s="92">
        <f t="shared" si="53"/>
        <v>0</v>
      </c>
      <c r="BE60" s="86">
        <f t="shared" si="54"/>
        <v>6868.8386220363336</v>
      </c>
      <c r="BF60" s="86">
        <f t="shared" si="78"/>
        <v>1195596.0269907524</v>
      </c>
      <c r="BG60" s="93">
        <f t="shared" si="79"/>
        <v>1496162.1761325635</v>
      </c>
      <c r="BH60" s="93">
        <f t="shared" si="15"/>
        <v>1225938.5577126527</v>
      </c>
      <c r="BI60" s="94">
        <f t="shared" si="16"/>
        <v>0</v>
      </c>
      <c r="BJ60" s="92">
        <f t="shared" si="17"/>
        <v>0</v>
      </c>
      <c r="BK60" s="95"/>
      <c r="BL60" s="86">
        <f t="shared" si="55"/>
        <v>6868.8387087153251</v>
      </c>
      <c r="BM60" s="86">
        <f t="shared" si="80"/>
        <v>1195596.0420781733</v>
      </c>
      <c r="BN60" s="92">
        <f t="shared" si="56"/>
        <v>0</v>
      </c>
      <c r="BO60" s="92">
        <f t="shared" si="57"/>
        <v>0</v>
      </c>
      <c r="BP60" s="86">
        <f t="shared" si="58"/>
        <v>6868.8387087153251</v>
      </c>
      <c r="BQ60" s="86">
        <f t="shared" si="81"/>
        <v>1195596.0420781733</v>
      </c>
      <c r="BR60" s="93">
        <f t="shared" si="82"/>
        <v>1496162.1761325635</v>
      </c>
      <c r="BS60" s="93">
        <f t="shared" si="21"/>
        <v>1225938.5577126527</v>
      </c>
      <c r="BT60" s="94">
        <f t="shared" si="22"/>
        <v>0</v>
      </c>
      <c r="BU60" s="92">
        <f t="shared" si="23"/>
        <v>0</v>
      </c>
      <c r="BV60" s="95"/>
      <c r="BW60" s="86">
        <f t="shared" si="59"/>
        <v>6868.8387087153251</v>
      </c>
      <c r="BX60" s="86">
        <f t="shared" si="83"/>
        <v>1195596.0420781733</v>
      </c>
      <c r="BY60" s="92">
        <f t="shared" si="60"/>
        <v>0</v>
      </c>
      <c r="BZ60" s="92">
        <f t="shared" si="61"/>
        <v>0</v>
      </c>
      <c r="CA60" s="86">
        <f t="shared" si="62"/>
        <v>6868.8387087153251</v>
      </c>
      <c r="CB60" s="86">
        <f t="shared" si="84"/>
        <v>1195596.0420781733</v>
      </c>
      <c r="CC60" s="96">
        <f t="shared" si="85"/>
        <v>1496162.1761325635</v>
      </c>
      <c r="CD60" s="96">
        <f t="shared" si="27"/>
        <v>1225938.5577126527</v>
      </c>
      <c r="CE60" s="94">
        <f t="shared" si="28"/>
        <v>0</v>
      </c>
      <c r="CF60" s="92">
        <f t="shared" si="29"/>
        <v>0</v>
      </c>
      <c r="CG60" s="67"/>
      <c r="CH60" s="86">
        <f t="shared" si="30"/>
        <v>6868.8387087153251</v>
      </c>
      <c r="CI60" s="86">
        <f t="shared" si="86"/>
        <v>1195596.0420781733</v>
      </c>
      <c r="CJ60" s="92">
        <f t="shared" si="63"/>
        <v>0</v>
      </c>
      <c r="CK60" s="92">
        <f t="shared" si="64"/>
        <v>0</v>
      </c>
      <c r="CL60" s="86">
        <f t="shared" si="65"/>
        <v>6868.8387087153251</v>
      </c>
      <c r="CM60" s="86">
        <f t="shared" si="87"/>
        <v>1195596.0420781733</v>
      </c>
      <c r="CN60" s="97">
        <f t="shared" si="33"/>
        <v>0.97524956251388939</v>
      </c>
      <c r="CO60" s="554">
        <f t="shared" si="88"/>
        <v>61301</v>
      </c>
      <c r="CP60" s="153"/>
      <c r="CQ60" s="153">
        <f t="shared" si="89"/>
        <v>7074.9</v>
      </c>
      <c r="CR60" s="353"/>
      <c r="CS60" s="391" t="str">
        <f>VLOOKUP(A60,Characteristics!A53:M136,13,FALSE)</f>
        <v>CAH</v>
      </c>
      <c r="CT60" s="206">
        <f>VLOOKUP(A60,Characteristics!A53:C136,3,FALSE)</f>
        <v>1</v>
      </c>
      <c r="CU60" s="557" t="str">
        <f t="shared" si="66"/>
        <v/>
      </c>
      <c r="CV60" s="557">
        <f t="shared" si="67"/>
        <v>7074.9</v>
      </c>
    </row>
    <row r="61" spans="1:100" s="125" customFormat="1" x14ac:dyDescent="0.3">
      <c r="A61" s="199">
        <v>61302</v>
      </c>
      <c r="B61" s="139"/>
      <c r="C61" s="558">
        <f>VLOOKUP($A61,'Fed Bs Rt+IME+GME+VBP+RAA+HAC'!$B$5:$AG$88,19,FALSE)</f>
        <v>6859.53</v>
      </c>
      <c r="D61" s="458">
        <f>VLOOKUP($A61,'Fed Bs Rt+IME+GME+VBP+RAA+HAC'!$B$5:$AG$88,25,FALSE)</f>
        <v>0</v>
      </c>
      <c r="E61" s="458">
        <f>VLOOKUP($A61,'Fed Bs Rt+IME+GME+VBP+RAA+HAC'!$B$5:$AG$88,29,FALSE)</f>
        <v>0</v>
      </c>
      <c r="F61" s="458">
        <f>VLOOKUP($A61,'Fed Bs Rt+IME+GME+VBP+RAA+HAC'!$B$5:$AG$88,27,FALSE)</f>
        <v>0</v>
      </c>
      <c r="G61" s="458">
        <f>VLOOKUP($A61,'Fed Bs Rt+IME+GME+VBP+RAA+HAC'!$B$5:$AG$88,32,FALSE)</f>
        <v>0</v>
      </c>
      <c r="H61" s="205">
        <f t="shared" si="36"/>
        <v>0</v>
      </c>
      <c r="I61" s="458">
        <f>VLOOKUP(A61,'Fed Bs Rt+IME+GME+VBP+RAA+HAC'!$B$5:$U$88,20,FALSE)</f>
        <v>0</v>
      </c>
      <c r="J61" s="459">
        <f>IF(Characteristics!M54="CAH",+C61*J$4,0)</f>
        <v>1714.8824999999999</v>
      </c>
      <c r="K61" s="459">
        <f>IF(OR(Characteristics!M54="SCH",Characteristics!M54="MDH"),+C61*K$4,0)</f>
        <v>0</v>
      </c>
      <c r="L61" s="460">
        <f>IF(OR(J61&gt;0,K61&gt;0,M61&gt;0),0,IF(VLOOKUP(A61,Characteristics!A:H,8,FALSE)&lt;=L$6,L$4*C61,IF(VLOOKUP(A61,Characteristics!A:H,8,FALSE)&gt;=L$5,0,(VLOOKUP(A61,Characteristics!A:H,8,FALSE)-L$5)/(L$6-L$5)*L$4*C61)))</f>
        <v>0</v>
      </c>
      <c r="M61" s="541">
        <f>IF(VLOOKUP($A61,Characteristics!$A:$E,3,FALSE)=2,M$4*C61,0)</f>
        <v>0</v>
      </c>
      <c r="N61" s="461">
        <f>IF(VLOOKUP($A61,Characteristics!$A:$K,6,FALSE)&gt;=N$5,N$4*C61,IF(VLOOKUP($A61,Characteristics!$A:$K,6,FALSE)&lt;=N$6,0,(VLOOKUP($A61,Characteristics!$A:$K,6,FALSE)-N$6)/(N$5-N$6)*N$4*C61))</f>
        <v>0</v>
      </c>
      <c r="O61" s="461">
        <f>IF(VLOOKUP($A61,Characteristics!$A:$K,11,FALSE)&lt;=O$6,O$4*C61,IF(VLOOKUP($A61,Characteristics!$A:$K,11,FALSE)&gt;=O$5,0,(VLOOKUP($A61,Characteristics!$A:$K,11,FALSE)-O$5)/(O$6-O$5)*O$4*C61))</f>
        <v>0</v>
      </c>
      <c r="P61" s="205">
        <f t="shared" si="37"/>
        <v>8574.4125000000004</v>
      </c>
      <c r="Q61" s="205"/>
      <c r="R61" s="86">
        <v>5617.62</v>
      </c>
      <c r="S61" s="87">
        <f t="shared" si="68"/>
        <v>5729.97</v>
      </c>
      <c r="T61" s="471"/>
      <c r="U61" s="86">
        <f t="shared" si="69"/>
        <v>156815.61512538462</v>
      </c>
      <c r="V61" s="89">
        <v>30</v>
      </c>
      <c r="W61" s="90">
        <v>0.91225384615384608</v>
      </c>
      <c r="X61" s="91">
        <f t="shared" si="70"/>
        <v>234661.22344903843</v>
      </c>
      <c r="Y61" s="196"/>
      <c r="Z61" s="86">
        <f t="shared" si="39"/>
        <v>5729.97</v>
      </c>
      <c r="AA61" s="86">
        <f t="shared" si="40"/>
        <v>5156.973</v>
      </c>
      <c r="AB61" s="86">
        <f t="shared" si="41"/>
        <v>6302.9670000000006</v>
      </c>
      <c r="AC61" s="469"/>
      <c r="AD61" s="100"/>
      <c r="AE61" s="86">
        <f t="shared" si="42"/>
        <v>6866.7385346189722</v>
      </c>
      <c r="AF61" s="86">
        <f t="shared" si="71"/>
        <v>187926.25916216947</v>
      </c>
      <c r="AG61" s="92">
        <f t="shared" si="43"/>
        <v>0</v>
      </c>
      <c r="AH61" s="92">
        <f t="shared" si="44"/>
        <v>1</v>
      </c>
      <c r="AI61" s="86">
        <f t="shared" si="45"/>
        <v>6302.9670000000006</v>
      </c>
      <c r="AJ61" s="201"/>
      <c r="AK61" s="86">
        <f t="shared" si="72"/>
        <v>172497.17663792308</v>
      </c>
      <c r="AL61" s="93">
        <f t="shared" si="73"/>
        <v>234661.22344903843</v>
      </c>
      <c r="AM61" s="93">
        <f t="shared" si="5"/>
        <v>156815.61512538462</v>
      </c>
      <c r="AN61" s="94">
        <f t="shared" si="46"/>
        <v>0</v>
      </c>
      <c r="AO61" s="95"/>
      <c r="AP61" s="86">
        <f t="shared" si="47"/>
        <v>6843.5356886315703</v>
      </c>
      <c r="AQ61" s="86">
        <f t="shared" si="74"/>
        <v>187291.25259735779</v>
      </c>
      <c r="AR61" s="92">
        <f t="shared" si="48"/>
        <v>0</v>
      </c>
      <c r="AS61" s="92">
        <f t="shared" si="49"/>
        <v>1</v>
      </c>
      <c r="AT61" s="102">
        <f t="shared" si="50"/>
        <v>6302.9670000000006</v>
      </c>
      <c r="AU61" s="86">
        <f t="shared" si="75"/>
        <v>172497.17663792308</v>
      </c>
      <c r="AV61" s="93">
        <f t="shared" si="76"/>
        <v>0</v>
      </c>
      <c r="AW61" s="93">
        <f t="shared" si="9"/>
        <v>-15681.561512538465</v>
      </c>
      <c r="AX61" s="94">
        <f t="shared" si="10"/>
        <v>1</v>
      </c>
      <c r="AY61" s="92">
        <f t="shared" si="11"/>
        <v>1</v>
      </c>
      <c r="AZ61" s="95"/>
      <c r="BA61" s="86">
        <f t="shared" si="51"/>
        <v>6302.9670000000006</v>
      </c>
      <c r="BB61" s="86">
        <f t="shared" si="77"/>
        <v>172497.17663792308</v>
      </c>
      <c r="BC61" s="92">
        <f t="shared" si="52"/>
        <v>0</v>
      </c>
      <c r="BD61" s="92">
        <f t="shared" si="53"/>
        <v>1</v>
      </c>
      <c r="BE61" s="86">
        <f t="shared" si="54"/>
        <v>6302.9670000000006</v>
      </c>
      <c r="BF61" s="86">
        <f t="shared" si="78"/>
        <v>172497.17663792308</v>
      </c>
      <c r="BG61" s="93">
        <f t="shared" si="79"/>
        <v>0</v>
      </c>
      <c r="BH61" s="93">
        <f t="shared" si="15"/>
        <v>-15681.561512538465</v>
      </c>
      <c r="BI61" s="94">
        <f t="shared" si="16"/>
        <v>1</v>
      </c>
      <c r="BJ61" s="92">
        <f t="shared" si="17"/>
        <v>0</v>
      </c>
      <c r="BK61" s="95"/>
      <c r="BL61" s="86">
        <f t="shared" si="55"/>
        <v>6302.9670000000006</v>
      </c>
      <c r="BM61" s="86">
        <f t="shared" si="80"/>
        <v>172497.17663792308</v>
      </c>
      <c r="BN61" s="92">
        <f t="shared" si="56"/>
        <v>0</v>
      </c>
      <c r="BO61" s="92">
        <f t="shared" si="57"/>
        <v>1</v>
      </c>
      <c r="BP61" s="86">
        <f t="shared" si="58"/>
        <v>6302.9670000000006</v>
      </c>
      <c r="BQ61" s="86">
        <f t="shared" si="81"/>
        <v>172497.17663792308</v>
      </c>
      <c r="BR61" s="93">
        <f t="shared" si="82"/>
        <v>0</v>
      </c>
      <c r="BS61" s="93">
        <f t="shared" si="21"/>
        <v>-15681.561512538465</v>
      </c>
      <c r="BT61" s="94">
        <f t="shared" si="22"/>
        <v>1</v>
      </c>
      <c r="BU61" s="92">
        <f t="shared" si="23"/>
        <v>0</v>
      </c>
      <c r="BV61" s="95"/>
      <c r="BW61" s="86">
        <f t="shared" si="59"/>
        <v>6302.9670000000006</v>
      </c>
      <c r="BX61" s="86">
        <f t="shared" si="83"/>
        <v>172497.17663792308</v>
      </c>
      <c r="BY61" s="92">
        <f t="shared" si="60"/>
        <v>0</v>
      </c>
      <c r="BZ61" s="92">
        <f t="shared" si="61"/>
        <v>1</v>
      </c>
      <c r="CA61" s="86">
        <f t="shared" si="62"/>
        <v>6302.9670000000006</v>
      </c>
      <c r="CB61" s="86">
        <f t="shared" si="84"/>
        <v>172497.17663792308</v>
      </c>
      <c r="CC61" s="96">
        <f t="shared" si="85"/>
        <v>0</v>
      </c>
      <c r="CD61" s="96">
        <f t="shared" si="27"/>
        <v>-15681.561512538465</v>
      </c>
      <c r="CE61" s="94">
        <f t="shared" si="28"/>
        <v>1</v>
      </c>
      <c r="CF61" s="92">
        <f t="shared" si="29"/>
        <v>0</v>
      </c>
      <c r="CG61" s="67"/>
      <c r="CH61" s="86">
        <f t="shared" si="30"/>
        <v>6851.8866548577307</v>
      </c>
      <c r="CI61" s="86">
        <f t="shared" si="86"/>
        <v>187519.79862912526</v>
      </c>
      <c r="CJ61" s="92">
        <f t="shared" si="63"/>
        <v>0</v>
      </c>
      <c r="CK61" s="92">
        <f t="shared" si="64"/>
        <v>1</v>
      </c>
      <c r="CL61" s="86">
        <f t="shared" si="65"/>
        <v>6302.9670000000006</v>
      </c>
      <c r="CM61" s="86">
        <f t="shared" si="87"/>
        <v>172497.17663792308</v>
      </c>
      <c r="CN61" s="97">
        <f t="shared" si="33"/>
        <v>1.1000000000000001</v>
      </c>
      <c r="CO61" s="554">
        <f t="shared" si="88"/>
        <v>61302</v>
      </c>
      <c r="CP61" s="153"/>
      <c r="CQ61" s="153">
        <f t="shared" si="89"/>
        <v>6492.06</v>
      </c>
      <c r="CR61" s="353"/>
      <c r="CS61" s="391" t="str">
        <f>VLOOKUP(A61,Characteristics!A54:M137,13,FALSE)</f>
        <v>CAH</v>
      </c>
      <c r="CT61" s="206">
        <f>VLOOKUP(A61,Characteristics!A54:C137,3,FALSE)</f>
        <v>0</v>
      </c>
      <c r="CU61" s="557">
        <f t="shared" si="66"/>
        <v>6492.06</v>
      </c>
      <c r="CV61" s="557" t="str">
        <f t="shared" si="67"/>
        <v/>
      </c>
    </row>
    <row r="62" spans="1:100" s="125" customFormat="1" x14ac:dyDescent="0.3">
      <c r="A62" s="199">
        <v>61303</v>
      </c>
      <c r="B62" s="139"/>
      <c r="C62" s="558">
        <f>VLOOKUP($A62,'Fed Bs Rt+IME+GME+VBP+RAA+HAC'!$B$5:$AG$88,19,FALSE)</f>
        <v>6859.53</v>
      </c>
      <c r="D62" s="458">
        <f>VLOOKUP($A62,'Fed Bs Rt+IME+GME+VBP+RAA+HAC'!$B$5:$AG$88,25,FALSE)</f>
        <v>0</v>
      </c>
      <c r="E62" s="458">
        <f>VLOOKUP($A62,'Fed Bs Rt+IME+GME+VBP+RAA+HAC'!$B$5:$AG$88,29,FALSE)</f>
        <v>0</v>
      </c>
      <c r="F62" s="458">
        <f>VLOOKUP($A62,'Fed Bs Rt+IME+GME+VBP+RAA+HAC'!$B$5:$AG$88,27,FALSE)</f>
        <v>0</v>
      </c>
      <c r="G62" s="458">
        <f>VLOOKUP($A62,'Fed Bs Rt+IME+GME+VBP+RAA+HAC'!$B$5:$AG$88,32,FALSE)</f>
        <v>0</v>
      </c>
      <c r="H62" s="205">
        <f t="shared" si="36"/>
        <v>0</v>
      </c>
      <c r="I62" s="458">
        <f>VLOOKUP(A62,'Fed Bs Rt+IME+GME+VBP+RAA+HAC'!$B$5:$U$88,20,FALSE)</f>
        <v>0</v>
      </c>
      <c r="J62" s="459">
        <f>IF(Characteristics!M55="CAH",+C62*J$4,0)</f>
        <v>1714.8824999999999</v>
      </c>
      <c r="K62" s="459">
        <f>IF(OR(Characteristics!M55="SCH",Characteristics!M55="MDH"),+C62*K$4,0)</f>
        <v>0</v>
      </c>
      <c r="L62" s="460">
        <f>IF(OR(J62&gt;0,K62&gt;0,M62&gt;0),0,IF(VLOOKUP(A62,Characteristics!A:H,8,FALSE)&lt;=L$6,L$4*C62,IF(VLOOKUP(A62,Characteristics!A:H,8,FALSE)&gt;=L$5,0,(VLOOKUP(A62,Characteristics!A:H,8,FALSE)-L$5)/(L$6-L$5)*L$4*C62)))</f>
        <v>0</v>
      </c>
      <c r="M62" s="541">
        <f>IF(VLOOKUP($A62,Characteristics!$A:$E,3,FALSE)=2,M$4*C62,0)</f>
        <v>0</v>
      </c>
      <c r="N62" s="461">
        <f>IF(VLOOKUP($A62,Characteristics!$A:$K,6,FALSE)&gt;=N$5,N$4*C62,IF(VLOOKUP($A62,Characteristics!$A:$K,6,FALSE)&lt;=N$6,0,(VLOOKUP($A62,Characteristics!$A:$K,6,FALSE)-N$6)/(N$5-N$6)*N$4*C62))</f>
        <v>0</v>
      </c>
      <c r="O62" s="461">
        <f>IF(VLOOKUP($A62,Characteristics!$A:$K,11,FALSE)&lt;=O$6,O$4*C62,IF(VLOOKUP($A62,Characteristics!$A:$K,11,FALSE)&gt;=O$5,0,(VLOOKUP($A62,Characteristics!$A:$K,11,FALSE)-O$5)/(O$6-O$5)*O$4*C62))</f>
        <v>0</v>
      </c>
      <c r="P62" s="205">
        <f t="shared" si="37"/>
        <v>8574.4125000000004</v>
      </c>
      <c r="Q62" s="205"/>
      <c r="R62" s="86">
        <v>7035.77</v>
      </c>
      <c r="S62" s="87">
        <f t="shared" si="68"/>
        <v>7176.49</v>
      </c>
      <c r="T62" s="471"/>
      <c r="U62" s="86">
        <f t="shared" si="69"/>
        <v>1372765.0590233898</v>
      </c>
      <c r="V62" s="89">
        <v>301.33680000000004</v>
      </c>
      <c r="W62" s="90">
        <v>0.63479275362318843</v>
      </c>
      <c r="X62" s="91">
        <f t="shared" si="70"/>
        <v>1640168.6453479894</v>
      </c>
      <c r="Y62" s="196"/>
      <c r="Z62" s="86">
        <f t="shared" si="39"/>
        <v>7176.49</v>
      </c>
      <c r="AA62" s="86">
        <f t="shared" si="40"/>
        <v>6458.8410000000003</v>
      </c>
      <c r="AB62" s="86">
        <f t="shared" si="41"/>
        <v>7894.1390000000001</v>
      </c>
      <c r="AC62" s="469"/>
      <c r="AD62" s="100"/>
      <c r="AE62" s="86">
        <f t="shared" si="42"/>
        <v>6866.7385346189722</v>
      </c>
      <c r="AF62" s="86">
        <f t="shared" si="71"/>
        <v>1313513.8110377633</v>
      </c>
      <c r="AG62" s="92">
        <f t="shared" si="43"/>
        <v>0</v>
      </c>
      <c r="AH62" s="92">
        <f t="shared" si="44"/>
        <v>0</v>
      </c>
      <c r="AI62" s="86">
        <f t="shared" si="45"/>
        <v>6866.7385346189722</v>
      </c>
      <c r="AJ62" s="201"/>
      <c r="AK62" s="86">
        <f t="shared" si="72"/>
        <v>1313513.8110377633</v>
      </c>
      <c r="AL62" s="93">
        <f t="shared" si="73"/>
        <v>1640168.6453479894</v>
      </c>
      <c r="AM62" s="93">
        <f t="shared" si="5"/>
        <v>1372765.0590233898</v>
      </c>
      <c r="AN62" s="94">
        <f t="shared" si="46"/>
        <v>0</v>
      </c>
      <c r="AO62" s="95"/>
      <c r="AP62" s="86">
        <f t="shared" si="47"/>
        <v>6843.5356886315703</v>
      </c>
      <c r="AQ62" s="86">
        <f t="shared" si="74"/>
        <v>1309075.4217637023</v>
      </c>
      <c r="AR62" s="92">
        <f t="shared" si="48"/>
        <v>0</v>
      </c>
      <c r="AS62" s="92">
        <f t="shared" si="49"/>
        <v>0</v>
      </c>
      <c r="AT62" s="86">
        <f t="shared" si="50"/>
        <v>6843.5356886315703</v>
      </c>
      <c r="AU62" s="86">
        <f t="shared" si="75"/>
        <v>1309075.4217637023</v>
      </c>
      <c r="AV62" s="93">
        <f t="shared" si="76"/>
        <v>1640168.6453479894</v>
      </c>
      <c r="AW62" s="93">
        <f t="shared" si="9"/>
        <v>1372765.0590233898</v>
      </c>
      <c r="AX62" s="94">
        <f t="shared" si="10"/>
        <v>0</v>
      </c>
      <c r="AY62" s="92">
        <f t="shared" si="11"/>
        <v>0</v>
      </c>
      <c r="AZ62" s="95"/>
      <c r="BA62" s="86">
        <f t="shared" si="51"/>
        <v>6851.8865683926606</v>
      </c>
      <c r="BB62" s="86">
        <f t="shared" si="77"/>
        <v>1310672.8316323331</v>
      </c>
      <c r="BC62" s="92">
        <f t="shared" si="52"/>
        <v>0</v>
      </c>
      <c r="BD62" s="92">
        <f t="shared" si="53"/>
        <v>0</v>
      </c>
      <c r="BE62" s="86">
        <f t="shared" si="54"/>
        <v>6851.8865683926606</v>
      </c>
      <c r="BF62" s="86">
        <f t="shared" si="78"/>
        <v>1310672.8316323331</v>
      </c>
      <c r="BG62" s="93">
        <f t="shared" si="79"/>
        <v>1640168.6453479894</v>
      </c>
      <c r="BH62" s="93">
        <f t="shared" si="15"/>
        <v>1372765.0590233898</v>
      </c>
      <c r="BI62" s="94">
        <f t="shared" si="16"/>
        <v>0</v>
      </c>
      <c r="BJ62" s="92">
        <f t="shared" si="17"/>
        <v>0</v>
      </c>
      <c r="BK62" s="95"/>
      <c r="BL62" s="86">
        <f t="shared" si="55"/>
        <v>6851.8866548577307</v>
      </c>
      <c r="BM62" s="86">
        <f t="shared" si="80"/>
        <v>1310672.8481719266</v>
      </c>
      <c r="BN62" s="92">
        <f t="shared" si="56"/>
        <v>0</v>
      </c>
      <c r="BO62" s="92">
        <f t="shared" si="57"/>
        <v>0</v>
      </c>
      <c r="BP62" s="86">
        <f t="shared" si="58"/>
        <v>6851.8866548577307</v>
      </c>
      <c r="BQ62" s="86">
        <f t="shared" si="81"/>
        <v>1310672.8481719266</v>
      </c>
      <c r="BR62" s="93">
        <f t="shared" si="82"/>
        <v>1640168.6453479894</v>
      </c>
      <c r="BS62" s="93">
        <f t="shared" si="21"/>
        <v>1372765.0590233898</v>
      </c>
      <c r="BT62" s="94">
        <f t="shared" si="22"/>
        <v>0</v>
      </c>
      <c r="BU62" s="92">
        <f t="shared" si="23"/>
        <v>0</v>
      </c>
      <c r="BV62" s="95"/>
      <c r="BW62" s="86">
        <f t="shared" si="59"/>
        <v>6851.8866548577307</v>
      </c>
      <c r="BX62" s="86">
        <f t="shared" si="83"/>
        <v>1310672.8481719266</v>
      </c>
      <c r="BY62" s="92">
        <f t="shared" si="60"/>
        <v>0</v>
      </c>
      <c r="BZ62" s="92">
        <f t="shared" si="61"/>
        <v>0</v>
      </c>
      <c r="CA62" s="86">
        <f t="shared" si="62"/>
        <v>6851.8866548577307</v>
      </c>
      <c r="CB62" s="86">
        <f t="shared" si="84"/>
        <v>1310672.8481719266</v>
      </c>
      <c r="CC62" s="96">
        <f t="shared" si="85"/>
        <v>1640168.6453479894</v>
      </c>
      <c r="CD62" s="96">
        <f t="shared" si="27"/>
        <v>1372765.0590233898</v>
      </c>
      <c r="CE62" s="94">
        <f t="shared" si="28"/>
        <v>0</v>
      </c>
      <c r="CF62" s="92">
        <f t="shared" si="29"/>
        <v>0</v>
      </c>
      <c r="CG62" s="67"/>
      <c r="CH62" s="86">
        <f t="shared" si="30"/>
        <v>6851.8866548577307</v>
      </c>
      <c r="CI62" s="86">
        <f t="shared" si="86"/>
        <v>1310672.8481719266</v>
      </c>
      <c r="CJ62" s="92">
        <f t="shared" si="63"/>
        <v>0</v>
      </c>
      <c r="CK62" s="92">
        <f t="shared" si="64"/>
        <v>0</v>
      </c>
      <c r="CL62" s="86">
        <f t="shared" si="65"/>
        <v>6851.8866548577307</v>
      </c>
      <c r="CM62" s="86">
        <f t="shared" si="87"/>
        <v>1310672.8481719266</v>
      </c>
      <c r="CN62" s="97">
        <f t="shared" si="33"/>
        <v>0.95476850868011121</v>
      </c>
      <c r="CO62" s="554">
        <f t="shared" si="88"/>
        <v>61303</v>
      </c>
      <c r="CP62" s="153"/>
      <c r="CQ62" s="153">
        <f t="shared" si="89"/>
        <v>7057.44</v>
      </c>
      <c r="CR62" s="353"/>
      <c r="CS62" s="391" t="str">
        <f>VLOOKUP(A62,Characteristics!A55:M138,13,FALSE)</f>
        <v>CAH</v>
      </c>
      <c r="CT62" s="206">
        <f>VLOOKUP(A62,Characteristics!A55:C138,3,FALSE)</f>
        <v>1</v>
      </c>
      <c r="CU62" s="557" t="str">
        <f t="shared" si="66"/>
        <v/>
      </c>
      <c r="CV62" s="557">
        <f t="shared" si="67"/>
        <v>7057.44</v>
      </c>
    </row>
    <row r="63" spans="1:100" s="125" customFormat="1" x14ac:dyDescent="0.3">
      <c r="A63" s="199">
        <v>61304</v>
      </c>
      <c r="B63" s="139"/>
      <c r="C63" s="558">
        <f>VLOOKUP($A63,'Fed Bs Rt+IME+GME+VBP+RAA+HAC'!$B$5:$AG$88,19,FALSE)</f>
        <v>6859.53</v>
      </c>
      <c r="D63" s="458">
        <f>VLOOKUP($A63,'Fed Bs Rt+IME+GME+VBP+RAA+HAC'!$B$5:$AG$88,25,FALSE)</f>
        <v>0</v>
      </c>
      <c r="E63" s="458">
        <f>VLOOKUP($A63,'Fed Bs Rt+IME+GME+VBP+RAA+HAC'!$B$5:$AG$88,29,FALSE)</f>
        <v>0</v>
      </c>
      <c r="F63" s="458">
        <f>VLOOKUP($A63,'Fed Bs Rt+IME+GME+VBP+RAA+HAC'!$B$5:$AG$88,27,FALSE)</f>
        <v>0</v>
      </c>
      <c r="G63" s="458">
        <f>VLOOKUP($A63,'Fed Bs Rt+IME+GME+VBP+RAA+HAC'!$B$5:$AG$88,32,FALSE)</f>
        <v>0</v>
      </c>
      <c r="H63" s="205">
        <f t="shared" si="36"/>
        <v>0</v>
      </c>
      <c r="I63" s="458">
        <f>VLOOKUP(A63,'Fed Bs Rt+IME+GME+VBP+RAA+HAC'!$B$5:$U$88,20,FALSE)</f>
        <v>0</v>
      </c>
      <c r="J63" s="459">
        <f>IF(Characteristics!M56="CAH",+C63*J$4,0)</f>
        <v>1714.8824999999999</v>
      </c>
      <c r="K63" s="459">
        <f>IF(OR(Characteristics!M56="SCH",Characteristics!M56="MDH"),+C63*K$4,0)</f>
        <v>0</v>
      </c>
      <c r="L63" s="460">
        <f>IF(OR(J63&gt;0,K63&gt;0,M63&gt;0),0,IF(VLOOKUP(A63,Characteristics!A:H,8,FALSE)&lt;=L$6,L$4*C63,IF(VLOOKUP(A63,Characteristics!A:H,8,FALSE)&gt;=L$5,0,(VLOOKUP(A63,Characteristics!A:H,8,FALSE)-L$5)/(L$6-L$5)*L$4*C63)))</f>
        <v>0</v>
      </c>
      <c r="M63" s="541">
        <f>IF(VLOOKUP($A63,Characteristics!$A:$E,3,FALSE)=2,M$4*C63,0)</f>
        <v>0</v>
      </c>
      <c r="N63" s="461">
        <f>IF(VLOOKUP($A63,Characteristics!$A:$K,6,FALSE)&gt;=N$5,N$4*C63,IF(VLOOKUP($A63,Characteristics!$A:$K,6,FALSE)&lt;=N$6,0,(VLOOKUP($A63,Characteristics!$A:$K,6,FALSE)-N$6)/(N$5-N$6)*N$4*C63))</f>
        <v>685.95299999999997</v>
      </c>
      <c r="O63" s="461">
        <f>IF(VLOOKUP($A63,Characteristics!$A:$K,11,FALSE)&lt;=O$6,O$4*C63,IF(VLOOKUP($A63,Characteristics!$A:$K,11,FALSE)&gt;=O$5,0,(VLOOKUP($A63,Characteristics!$A:$K,11,FALSE)-O$5)/(O$6-O$5)*O$4*C63))</f>
        <v>0</v>
      </c>
      <c r="P63" s="205">
        <f t="shared" si="37"/>
        <v>9260.3654999999999</v>
      </c>
      <c r="Q63" s="205"/>
      <c r="R63" s="86">
        <v>6905.06</v>
      </c>
      <c r="S63" s="87">
        <f t="shared" si="68"/>
        <v>7043.16</v>
      </c>
      <c r="T63" s="471"/>
      <c r="U63" s="86">
        <f t="shared" si="69"/>
        <v>168447.23305714285</v>
      </c>
      <c r="V63" s="89">
        <v>30</v>
      </c>
      <c r="W63" s="90">
        <v>0.79721428571428565</v>
      </c>
      <c r="X63" s="91">
        <f t="shared" si="70"/>
        <v>221474.87002607138</v>
      </c>
      <c r="Y63" s="196"/>
      <c r="Z63" s="86">
        <f t="shared" si="39"/>
        <v>7043.16</v>
      </c>
      <c r="AA63" s="86">
        <f t="shared" si="40"/>
        <v>6338.8440000000001</v>
      </c>
      <c r="AB63" s="86">
        <f t="shared" si="41"/>
        <v>7747.4760000000006</v>
      </c>
      <c r="AC63" s="469"/>
      <c r="AD63" s="100"/>
      <c r="AE63" s="86">
        <f t="shared" si="42"/>
        <v>7416.0776173884897</v>
      </c>
      <c r="AF63" s="86">
        <f t="shared" si="71"/>
        <v>177366.09061644197</v>
      </c>
      <c r="AG63" s="92">
        <f t="shared" si="43"/>
        <v>0</v>
      </c>
      <c r="AH63" s="92">
        <f t="shared" si="44"/>
        <v>0</v>
      </c>
      <c r="AI63" s="86">
        <f t="shared" si="45"/>
        <v>7416.0776173884897</v>
      </c>
      <c r="AJ63" s="201"/>
      <c r="AK63" s="86">
        <f t="shared" si="72"/>
        <v>177366.09061644197</v>
      </c>
      <c r="AL63" s="93">
        <f t="shared" si="73"/>
        <v>221474.87002607138</v>
      </c>
      <c r="AM63" s="93">
        <f t="shared" si="5"/>
        <v>168447.23305714285</v>
      </c>
      <c r="AN63" s="94">
        <f t="shared" si="46"/>
        <v>0</v>
      </c>
      <c r="AO63" s="95"/>
      <c r="AP63" s="86">
        <f t="shared" si="47"/>
        <v>7391.0185437220962</v>
      </c>
      <c r="AQ63" s="86">
        <f t="shared" si="74"/>
        <v>176766.76707103354</v>
      </c>
      <c r="AR63" s="92">
        <f t="shared" si="48"/>
        <v>0</v>
      </c>
      <c r="AS63" s="92">
        <f t="shared" si="49"/>
        <v>0</v>
      </c>
      <c r="AT63" s="86">
        <f t="shared" si="50"/>
        <v>7391.0185437220962</v>
      </c>
      <c r="AU63" s="86">
        <f t="shared" si="75"/>
        <v>176766.76707103354</v>
      </c>
      <c r="AV63" s="93">
        <f t="shared" si="76"/>
        <v>221474.87002607138</v>
      </c>
      <c r="AW63" s="93">
        <f t="shared" si="9"/>
        <v>168447.23305714285</v>
      </c>
      <c r="AX63" s="94">
        <f t="shared" si="10"/>
        <v>0</v>
      </c>
      <c r="AY63" s="92">
        <f t="shared" si="11"/>
        <v>0</v>
      </c>
      <c r="AZ63" s="95"/>
      <c r="BA63" s="86">
        <f t="shared" si="51"/>
        <v>7400.0374938640734</v>
      </c>
      <c r="BB63" s="86">
        <f t="shared" si="77"/>
        <v>176982.46814789341</v>
      </c>
      <c r="BC63" s="92">
        <f t="shared" si="52"/>
        <v>0</v>
      </c>
      <c r="BD63" s="92">
        <f t="shared" si="53"/>
        <v>0</v>
      </c>
      <c r="BE63" s="86">
        <f t="shared" si="54"/>
        <v>7400.0374938640734</v>
      </c>
      <c r="BF63" s="86">
        <f t="shared" si="78"/>
        <v>176982.46814789341</v>
      </c>
      <c r="BG63" s="93">
        <f t="shared" si="79"/>
        <v>221474.87002607138</v>
      </c>
      <c r="BH63" s="93">
        <f t="shared" si="15"/>
        <v>168447.23305714285</v>
      </c>
      <c r="BI63" s="94">
        <f t="shared" si="16"/>
        <v>0</v>
      </c>
      <c r="BJ63" s="92">
        <f t="shared" si="17"/>
        <v>0</v>
      </c>
      <c r="BK63" s="95"/>
      <c r="BL63" s="86">
        <f t="shared" si="55"/>
        <v>7400.0375872463492</v>
      </c>
      <c r="BM63" s="86">
        <f t="shared" si="80"/>
        <v>176982.47038126393</v>
      </c>
      <c r="BN63" s="92">
        <f t="shared" si="56"/>
        <v>0</v>
      </c>
      <c r="BO63" s="92">
        <f t="shared" si="57"/>
        <v>0</v>
      </c>
      <c r="BP63" s="86">
        <f t="shared" si="58"/>
        <v>7400.0375872463492</v>
      </c>
      <c r="BQ63" s="86">
        <f t="shared" si="81"/>
        <v>176982.47038126393</v>
      </c>
      <c r="BR63" s="93">
        <f t="shared" si="82"/>
        <v>221474.87002607138</v>
      </c>
      <c r="BS63" s="93">
        <f t="shared" si="21"/>
        <v>168447.23305714285</v>
      </c>
      <c r="BT63" s="94">
        <f t="shared" si="22"/>
        <v>0</v>
      </c>
      <c r="BU63" s="92">
        <f t="shared" si="23"/>
        <v>0</v>
      </c>
      <c r="BV63" s="95"/>
      <c r="BW63" s="86">
        <f t="shared" si="59"/>
        <v>7400.0375872463492</v>
      </c>
      <c r="BX63" s="86">
        <f t="shared" si="83"/>
        <v>176982.47038126393</v>
      </c>
      <c r="BY63" s="92">
        <f t="shared" si="60"/>
        <v>0</v>
      </c>
      <c r="BZ63" s="92">
        <f t="shared" si="61"/>
        <v>0</v>
      </c>
      <c r="CA63" s="86">
        <f t="shared" si="62"/>
        <v>7400.0375872463492</v>
      </c>
      <c r="CB63" s="86">
        <f t="shared" si="84"/>
        <v>176982.47038126393</v>
      </c>
      <c r="CC63" s="96">
        <f t="shared" si="85"/>
        <v>221474.87002607138</v>
      </c>
      <c r="CD63" s="96">
        <f t="shared" si="27"/>
        <v>168447.23305714285</v>
      </c>
      <c r="CE63" s="94">
        <f t="shared" si="28"/>
        <v>0</v>
      </c>
      <c r="CF63" s="92">
        <f t="shared" si="29"/>
        <v>0</v>
      </c>
      <c r="CG63" s="67"/>
      <c r="CH63" s="86">
        <f t="shared" si="30"/>
        <v>7400.0375872463492</v>
      </c>
      <c r="CI63" s="86">
        <f t="shared" si="86"/>
        <v>176982.47038126393</v>
      </c>
      <c r="CJ63" s="92">
        <f t="shared" si="63"/>
        <v>0</v>
      </c>
      <c r="CK63" s="92">
        <f t="shared" si="64"/>
        <v>0</v>
      </c>
      <c r="CL63" s="86">
        <f t="shared" si="65"/>
        <v>7400.0375872463492</v>
      </c>
      <c r="CM63" s="86">
        <f t="shared" si="87"/>
        <v>176982.47038126393</v>
      </c>
      <c r="CN63" s="97">
        <f t="shared" si="33"/>
        <v>1.050670095134336</v>
      </c>
      <c r="CO63" s="554">
        <f t="shared" si="88"/>
        <v>61304</v>
      </c>
      <c r="CP63" s="153"/>
      <c r="CQ63" s="153">
        <f t="shared" si="89"/>
        <v>7622.04</v>
      </c>
      <c r="CR63" s="353"/>
      <c r="CS63" s="391" t="str">
        <f>VLOOKUP(A63,Characteristics!A56:M139,13,FALSE)</f>
        <v>CAH</v>
      </c>
      <c r="CT63" s="206">
        <f>VLOOKUP(A63,Characteristics!A56:C139,3,FALSE)</f>
        <v>1</v>
      </c>
      <c r="CU63" s="557" t="str">
        <f t="shared" si="66"/>
        <v/>
      </c>
      <c r="CV63" s="557">
        <f t="shared" si="67"/>
        <v>7622.04</v>
      </c>
    </row>
    <row r="64" spans="1:100" s="125" customFormat="1" x14ac:dyDescent="0.3">
      <c r="A64" s="199">
        <v>61305</v>
      </c>
      <c r="B64" s="139"/>
      <c r="C64" s="558">
        <f>VLOOKUP($A64,'Fed Bs Rt+IME+GME+VBP+RAA+HAC'!$B$5:$AG$88,19,FALSE)</f>
        <v>6859.53</v>
      </c>
      <c r="D64" s="458">
        <f>VLOOKUP($A64,'Fed Bs Rt+IME+GME+VBP+RAA+HAC'!$B$5:$AG$88,25,FALSE)</f>
        <v>0</v>
      </c>
      <c r="E64" s="458">
        <f>VLOOKUP($A64,'Fed Bs Rt+IME+GME+VBP+RAA+HAC'!$B$5:$AG$88,29,FALSE)</f>
        <v>0</v>
      </c>
      <c r="F64" s="458">
        <f>VLOOKUP($A64,'Fed Bs Rt+IME+GME+VBP+RAA+HAC'!$B$5:$AG$88,27,FALSE)</f>
        <v>0</v>
      </c>
      <c r="G64" s="458">
        <f>VLOOKUP($A64,'Fed Bs Rt+IME+GME+VBP+RAA+HAC'!$B$5:$AG$88,32,FALSE)</f>
        <v>0</v>
      </c>
      <c r="H64" s="205">
        <f t="shared" si="36"/>
        <v>0</v>
      </c>
      <c r="I64" s="458">
        <f>VLOOKUP(A64,'Fed Bs Rt+IME+GME+VBP+RAA+HAC'!$B$5:$U$88,20,FALSE)</f>
        <v>0</v>
      </c>
      <c r="J64" s="459">
        <f>IF(Characteristics!M57="CAH",+C64*J$4,0)</f>
        <v>1714.8824999999999</v>
      </c>
      <c r="K64" s="459">
        <f>IF(OR(Characteristics!M57="SCH",Characteristics!M57="MDH"),+C64*K$4,0)</f>
        <v>0</v>
      </c>
      <c r="L64" s="460">
        <f>IF(OR(J64&gt;0,K64&gt;0,M64&gt;0),0,IF(VLOOKUP(A64,Characteristics!A:H,8,FALSE)&lt;=L$6,L$4*C64,IF(VLOOKUP(A64,Characteristics!A:H,8,FALSE)&gt;=L$5,0,(VLOOKUP(A64,Characteristics!A:H,8,FALSE)-L$5)/(L$6-L$5)*L$4*C64)))</f>
        <v>0</v>
      </c>
      <c r="M64" s="541">
        <f>IF(VLOOKUP($A64,Characteristics!$A:$E,3,FALSE)=2,M$4*C64,0)</f>
        <v>0</v>
      </c>
      <c r="N64" s="461">
        <f>IF(VLOOKUP($A64,Characteristics!$A:$K,6,FALSE)&gt;=N$5,N$4*C64,IF(VLOOKUP($A64,Characteristics!$A:$K,6,FALSE)&lt;=N$6,0,(VLOOKUP($A64,Characteristics!$A:$K,6,FALSE)-N$6)/(N$5-N$6)*N$4*C64))</f>
        <v>0</v>
      </c>
      <c r="O64" s="461">
        <f>IF(VLOOKUP($A64,Characteristics!$A:$K,11,FALSE)&lt;=O$6,O$4*C64,IF(VLOOKUP($A64,Characteristics!$A:$K,11,FALSE)&gt;=O$5,0,(VLOOKUP($A64,Characteristics!$A:$K,11,FALSE)-O$5)/(O$6-O$5)*O$4*C64))</f>
        <v>1236.1712531662661</v>
      </c>
      <c r="P64" s="205">
        <f t="shared" si="37"/>
        <v>9810.5837531662655</v>
      </c>
      <c r="Q64" s="205"/>
      <c r="R64" s="86">
        <v>6905.06</v>
      </c>
      <c r="S64" s="87">
        <f t="shared" si="68"/>
        <v>7043.16</v>
      </c>
      <c r="T64" s="471"/>
      <c r="U64" s="86">
        <f t="shared" si="69"/>
        <v>477971.59376823367</v>
      </c>
      <c r="V64" s="89">
        <v>72.058800000000005</v>
      </c>
      <c r="W64" s="90">
        <v>0.9417757575757576</v>
      </c>
      <c r="X64" s="91">
        <f t="shared" si="70"/>
        <v>665777.91109354596</v>
      </c>
      <c r="Y64" s="196"/>
      <c r="Z64" s="86">
        <f t="shared" si="39"/>
        <v>7043.16</v>
      </c>
      <c r="AA64" s="86">
        <f t="shared" si="40"/>
        <v>6338.8440000000001</v>
      </c>
      <c r="AB64" s="86">
        <f t="shared" si="41"/>
        <v>7747.4760000000006</v>
      </c>
      <c r="AC64" s="469"/>
      <c r="AD64" s="100"/>
      <c r="AE64" s="86">
        <f t="shared" si="42"/>
        <v>7856.7147900772925</v>
      </c>
      <c r="AF64" s="86">
        <f t="shared" si="71"/>
        <v>533182.05038586329</v>
      </c>
      <c r="AG64" s="92">
        <f t="shared" si="43"/>
        <v>0</v>
      </c>
      <c r="AH64" s="92">
        <f t="shared" si="44"/>
        <v>1</v>
      </c>
      <c r="AI64" s="86">
        <f t="shared" si="45"/>
        <v>7747.4760000000006</v>
      </c>
      <c r="AJ64" s="201"/>
      <c r="AK64" s="86">
        <f t="shared" si="72"/>
        <v>525768.75314505701</v>
      </c>
      <c r="AL64" s="93">
        <f t="shared" si="73"/>
        <v>665777.91109354596</v>
      </c>
      <c r="AM64" s="93">
        <f t="shared" si="5"/>
        <v>477971.59376823367</v>
      </c>
      <c r="AN64" s="94">
        <f t="shared" si="46"/>
        <v>0</v>
      </c>
      <c r="AO64" s="95"/>
      <c r="AP64" s="86">
        <f t="shared" si="47"/>
        <v>7830.1667946465595</v>
      </c>
      <c r="AQ64" s="86">
        <f t="shared" si="74"/>
        <v>531380.41764042235</v>
      </c>
      <c r="AR64" s="92">
        <f t="shared" si="48"/>
        <v>0</v>
      </c>
      <c r="AS64" s="92">
        <f t="shared" si="49"/>
        <v>1</v>
      </c>
      <c r="AT64" s="86">
        <f t="shared" si="50"/>
        <v>7747.4760000000006</v>
      </c>
      <c r="AU64" s="86">
        <f t="shared" si="75"/>
        <v>525768.75314505701</v>
      </c>
      <c r="AV64" s="93">
        <f t="shared" si="76"/>
        <v>0</v>
      </c>
      <c r="AW64" s="93">
        <f t="shared" si="9"/>
        <v>-47797.159376823343</v>
      </c>
      <c r="AX64" s="94">
        <f t="shared" si="10"/>
        <v>1</v>
      </c>
      <c r="AY64" s="92">
        <f t="shared" si="11"/>
        <v>1</v>
      </c>
      <c r="AZ64" s="95"/>
      <c r="BA64" s="86">
        <f t="shared" si="51"/>
        <v>7747.4760000000006</v>
      </c>
      <c r="BB64" s="86">
        <f t="shared" si="77"/>
        <v>525768.75314505701</v>
      </c>
      <c r="BC64" s="92">
        <f t="shared" si="52"/>
        <v>0</v>
      </c>
      <c r="BD64" s="92">
        <f t="shared" si="53"/>
        <v>1</v>
      </c>
      <c r="BE64" s="86">
        <f t="shared" si="54"/>
        <v>7747.4760000000006</v>
      </c>
      <c r="BF64" s="86">
        <f t="shared" si="78"/>
        <v>525768.75314505701</v>
      </c>
      <c r="BG64" s="93">
        <f t="shared" si="79"/>
        <v>0</v>
      </c>
      <c r="BH64" s="93">
        <f t="shared" si="15"/>
        <v>-47797.159376823343</v>
      </c>
      <c r="BI64" s="94">
        <f t="shared" si="16"/>
        <v>1</v>
      </c>
      <c r="BJ64" s="92">
        <f t="shared" si="17"/>
        <v>0</v>
      </c>
      <c r="BK64" s="95"/>
      <c r="BL64" s="86">
        <f t="shared" si="55"/>
        <v>7747.4760000000006</v>
      </c>
      <c r="BM64" s="86">
        <f t="shared" si="80"/>
        <v>525768.75314505701</v>
      </c>
      <c r="BN64" s="92">
        <f t="shared" si="56"/>
        <v>0</v>
      </c>
      <c r="BO64" s="92">
        <f t="shared" si="57"/>
        <v>1</v>
      </c>
      <c r="BP64" s="86">
        <f t="shared" si="58"/>
        <v>7747.4760000000006</v>
      </c>
      <c r="BQ64" s="86">
        <f t="shared" si="81"/>
        <v>525768.75314505701</v>
      </c>
      <c r="BR64" s="93">
        <f t="shared" si="82"/>
        <v>0</v>
      </c>
      <c r="BS64" s="93">
        <f t="shared" si="21"/>
        <v>-47797.159376823343</v>
      </c>
      <c r="BT64" s="94">
        <f t="shared" si="22"/>
        <v>1</v>
      </c>
      <c r="BU64" s="92">
        <f t="shared" si="23"/>
        <v>0</v>
      </c>
      <c r="BV64" s="95"/>
      <c r="BW64" s="86">
        <f t="shared" si="59"/>
        <v>7747.4760000000006</v>
      </c>
      <c r="BX64" s="86">
        <f t="shared" si="83"/>
        <v>525768.75314505701</v>
      </c>
      <c r="BY64" s="92">
        <f t="shared" si="60"/>
        <v>0</v>
      </c>
      <c r="BZ64" s="92">
        <f t="shared" si="61"/>
        <v>1</v>
      </c>
      <c r="CA64" s="86">
        <f t="shared" si="62"/>
        <v>7747.4760000000006</v>
      </c>
      <c r="CB64" s="86">
        <f t="shared" si="84"/>
        <v>525768.75314505701</v>
      </c>
      <c r="CC64" s="96">
        <f t="shared" si="85"/>
        <v>0</v>
      </c>
      <c r="CD64" s="96">
        <f t="shared" si="27"/>
        <v>-47797.159376823343</v>
      </c>
      <c r="CE64" s="94">
        <f t="shared" si="28"/>
        <v>1</v>
      </c>
      <c r="CF64" s="92">
        <f t="shared" si="29"/>
        <v>0</v>
      </c>
      <c r="CG64" s="67"/>
      <c r="CH64" s="86">
        <f t="shared" si="30"/>
        <v>7839.7217179234149</v>
      </c>
      <c r="CI64" s="86">
        <f t="shared" si="86"/>
        <v>532028.84560556477</v>
      </c>
      <c r="CJ64" s="92">
        <f t="shared" si="63"/>
        <v>0</v>
      </c>
      <c r="CK64" s="92">
        <f t="shared" si="64"/>
        <v>1</v>
      </c>
      <c r="CL64" s="86">
        <f t="shared" si="65"/>
        <v>7747.4760000000006</v>
      </c>
      <c r="CM64" s="86">
        <f t="shared" si="87"/>
        <v>525768.75314505701</v>
      </c>
      <c r="CN64" s="97">
        <f t="shared" si="33"/>
        <v>1.1000000000000001</v>
      </c>
      <c r="CO64" s="554">
        <f t="shared" si="88"/>
        <v>61305</v>
      </c>
      <c r="CP64" s="153"/>
      <c r="CQ64" s="153">
        <f t="shared" si="89"/>
        <v>7979.9</v>
      </c>
      <c r="CR64" s="353"/>
      <c r="CS64" s="391" t="str">
        <f>VLOOKUP(A64,Characteristics!A57:M140,13,FALSE)</f>
        <v>CAH</v>
      </c>
      <c r="CT64" s="206">
        <f>VLOOKUP(A64,Characteristics!A57:C140,3,FALSE)</f>
        <v>1</v>
      </c>
      <c r="CU64" s="557" t="str">
        <f t="shared" si="66"/>
        <v/>
      </c>
      <c r="CV64" s="557">
        <f t="shared" si="67"/>
        <v>7979.9</v>
      </c>
    </row>
    <row r="65" spans="1:100" s="125" customFormat="1" x14ac:dyDescent="0.3">
      <c r="A65" s="199">
        <v>61306</v>
      </c>
      <c r="B65" s="139"/>
      <c r="C65" s="558">
        <f>VLOOKUP($A65,'Fed Bs Rt+IME+GME+VBP+RAA+HAC'!$B$5:$AG$88,19,FALSE)</f>
        <v>6859.53</v>
      </c>
      <c r="D65" s="458">
        <f>VLOOKUP($A65,'Fed Bs Rt+IME+GME+VBP+RAA+HAC'!$B$5:$AG$88,25,FALSE)</f>
        <v>0</v>
      </c>
      <c r="E65" s="458">
        <f>VLOOKUP($A65,'Fed Bs Rt+IME+GME+VBP+RAA+HAC'!$B$5:$AG$88,29,FALSE)</f>
        <v>0</v>
      </c>
      <c r="F65" s="458">
        <f>VLOOKUP($A65,'Fed Bs Rt+IME+GME+VBP+RAA+HAC'!$B$5:$AG$88,27,FALSE)</f>
        <v>0</v>
      </c>
      <c r="G65" s="458">
        <f>VLOOKUP($A65,'Fed Bs Rt+IME+GME+VBP+RAA+HAC'!$B$5:$AG$88,32,FALSE)</f>
        <v>0</v>
      </c>
      <c r="H65" s="205">
        <f t="shared" si="36"/>
        <v>0</v>
      </c>
      <c r="I65" s="458">
        <f>VLOOKUP(A65,'Fed Bs Rt+IME+GME+VBP+RAA+HAC'!$B$5:$U$88,20,FALSE)</f>
        <v>0</v>
      </c>
      <c r="J65" s="459">
        <f>IF(Characteristics!M58="CAH",+C65*J$4,0)</f>
        <v>1714.8824999999999</v>
      </c>
      <c r="K65" s="459">
        <f>IF(OR(Characteristics!M58="SCH",Characteristics!M58="MDH"),+C65*K$4,0)</f>
        <v>0</v>
      </c>
      <c r="L65" s="460">
        <f>IF(OR(J65&gt;0,K65&gt;0,M65&gt;0),0,IF(VLOOKUP(A65,Characteristics!A:H,8,FALSE)&lt;=L$6,L$4*C65,IF(VLOOKUP(A65,Characteristics!A:H,8,FALSE)&gt;=L$5,0,(VLOOKUP(A65,Characteristics!A:H,8,FALSE)-L$5)/(L$6-L$5)*L$4*C65)))</f>
        <v>0</v>
      </c>
      <c r="M65" s="541">
        <f>IF(VLOOKUP($A65,Characteristics!$A:$E,3,FALSE)=2,M$4*C65,0)</f>
        <v>0</v>
      </c>
      <c r="N65" s="461">
        <f>IF(VLOOKUP($A65,Characteristics!$A:$K,6,FALSE)&gt;=N$5,N$4*C65,IF(VLOOKUP($A65,Characteristics!$A:$K,6,FALSE)&lt;=N$6,0,(VLOOKUP($A65,Characteristics!$A:$K,6,FALSE)-N$6)/(N$5-N$6)*N$4*C65))</f>
        <v>0</v>
      </c>
      <c r="O65" s="461">
        <f>IF(VLOOKUP($A65,Characteristics!$A:$K,11,FALSE)&lt;=O$6,O$4*C65,IF(VLOOKUP($A65,Characteristics!$A:$K,11,FALSE)&gt;=O$5,0,(VLOOKUP($A65,Characteristics!$A:$K,11,FALSE)-O$5)/(O$6-O$5)*O$4*C65))</f>
        <v>1371.9059999999999</v>
      </c>
      <c r="P65" s="205">
        <f t="shared" si="37"/>
        <v>9946.3185000000012</v>
      </c>
      <c r="Q65" s="205"/>
      <c r="R65" s="86">
        <v>6905.06</v>
      </c>
      <c r="S65" s="87">
        <f t="shared" si="68"/>
        <v>7043.16</v>
      </c>
      <c r="T65" s="471"/>
      <c r="U65" s="86">
        <f t="shared" si="69"/>
        <v>287581.76459144166</v>
      </c>
      <c r="V65" s="89">
        <v>41.488400000000006</v>
      </c>
      <c r="W65" s="90">
        <v>0.98416315789473696</v>
      </c>
      <c r="X65" s="91">
        <f t="shared" si="70"/>
        <v>406121.65922945121</v>
      </c>
      <c r="Y65" s="196"/>
      <c r="Z65" s="86">
        <f t="shared" si="39"/>
        <v>7043.16</v>
      </c>
      <c r="AA65" s="86">
        <f t="shared" si="40"/>
        <v>6338.8440000000001</v>
      </c>
      <c r="AB65" s="86">
        <f t="shared" si="41"/>
        <v>7747.4760000000006</v>
      </c>
      <c r="AC65" s="469"/>
      <c r="AD65" s="100"/>
      <c r="AE65" s="86">
        <f t="shared" si="42"/>
        <v>7965.4167001580081</v>
      </c>
      <c r="AF65" s="86">
        <f t="shared" si="71"/>
        <v>325238.75509538024</v>
      </c>
      <c r="AG65" s="92">
        <f t="shared" si="43"/>
        <v>0</v>
      </c>
      <c r="AH65" s="92">
        <f t="shared" si="44"/>
        <v>1</v>
      </c>
      <c r="AI65" s="86">
        <f t="shared" si="45"/>
        <v>7747.4760000000006</v>
      </c>
      <c r="AJ65" s="201"/>
      <c r="AK65" s="86">
        <f t="shared" si="72"/>
        <v>316339.94105058582</v>
      </c>
      <c r="AL65" s="93">
        <f t="shared" si="73"/>
        <v>406121.65922945121</v>
      </c>
      <c r="AM65" s="93">
        <f t="shared" si="5"/>
        <v>287581.76459144166</v>
      </c>
      <c r="AN65" s="94">
        <f t="shared" si="46"/>
        <v>0</v>
      </c>
      <c r="AO65" s="95"/>
      <c r="AP65" s="86">
        <f t="shared" si="47"/>
        <v>7938.5013988126229</v>
      </c>
      <c r="AQ65" s="86">
        <f t="shared" si="74"/>
        <v>324139.76687767456</v>
      </c>
      <c r="AR65" s="92">
        <f t="shared" si="48"/>
        <v>0</v>
      </c>
      <c r="AS65" s="92">
        <f t="shared" si="49"/>
        <v>1</v>
      </c>
      <c r="AT65" s="86">
        <f t="shared" si="50"/>
        <v>7747.4760000000006</v>
      </c>
      <c r="AU65" s="86">
        <f t="shared" si="75"/>
        <v>316339.94105058582</v>
      </c>
      <c r="AV65" s="93">
        <f t="shared" si="76"/>
        <v>0</v>
      </c>
      <c r="AW65" s="93">
        <f t="shared" si="9"/>
        <v>-28758.176459144161</v>
      </c>
      <c r="AX65" s="94">
        <f t="shared" si="10"/>
        <v>1</v>
      </c>
      <c r="AY65" s="92">
        <f t="shared" si="11"/>
        <v>1</v>
      </c>
      <c r="AZ65" s="95"/>
      <c r="BA65" s="86">
        <f t="shared" si="51"/>
        <v>7747.4760000000006</v>
      </c>
      <c r="BB65" s="86">
        <f t="shared" si="77"/>
        <v>316339.94105058582</v>
      </c>
      <c r="BC65" s="92">
        <f t="shared" si="52"/>
        <v>0</v>
      </c>
      <c r="BD65" s="92">
        <f t="shared" si="53"/>
        <v>1</v>
      </c>
      <c r="BE65" s="86">
        <f t="shared" si="54"/>
        <v>7747.4760000000006</v>
      </c>
      <c r="BF65" s="86">
        <f t="shared" si="78"/>
        <v>316339.94105058582</v>
      </c>
      <c r="BG65" s="93">
        <f t="shared" si="79"/>
        <v>0</v>
      </c>
      <c r="BH65" s="93">
        <f t="shared" si="15"/>
        <v>-28758.176459144161</v>
      </c>
      <c r="BI65" s="94">
        <f t="shared" si="16"/>
        <v>1</v>
      </c>
      <c r="BJ65" s="92">
        <f t="shared" si="17"/>
        <v>0</v>
      </c>
      <c r="BK65" s="95"/>
      <c r="BL65" s="86">
        <f t="shared" si="55"/>
        <v>7747.4760000000006</v>
      </c>
      <c r="BM65" s="86">
        <f t="shared" si="80"/>
        <v>316339.94105058582</v>
      </c>
      <c r="BN65" s="92">
        <f t="shared" si="56"/>
        <v>0</v>
      </c>
      <c r="BO65" s="92">
        <f t="shared" si="57"/>
        <v>1</v>
      </c>
      <c r="BP65" s="86">
        <f t="shared" si="58"/>
        <v>7747.4760000000006</v>
      </c>
      <c r="BQ65" s="86">
        <f t="shared" si="81"/>
        <v>316339.94105058582</v>
      </c>
      <c r="BR65" s="93">
        <f t="shared" si="82"/>
        <v>0</v>
      </c>
      <c r="BS65" s="93">
        <f t="shared" si="21"/>
        <v>-28758.176459144161</v>
      </c>
      <c r="BT65" s="94">
        <f t="shared" si="22"/>
        <v>1</v>
      </c>
      <c r="BU65" s="92">
        <f t="shared" si="23"/>
        <v>0</v>
      </c>
      <c r="BV65" s="95"/>
      <c r="BW65" s="86">
        <f t="shared" si="59"/>
        <v>7747.4760000000006</v>
      </c>
      <c r="BX65" s="86">
        <f t="shared" si="83"/>
        <v>316339.94105058582</v>
      </c>
      <c r="BY65" s="92">
        <f t="shared" si="60"/>
        <v>0</v>
      </c>
      <c r="BZ65" s="92">
        <f t="shared" si="61"/>
        <v>1</v>
      </c>
      <c r="CA65" s="86">
        <f t="shared" si="62"/>
        <v>7747.4760000000006</v>
      </c>
      <c r="CB65" s="86">
        <f t="shared" si="84"/>
        <v>316339.94105058582</v>
      </c>
      <c r="CC65" s="96">
        <f t="shared" si="85"/>
        <v>0</v>
      </c>
      <c r="CD65" s="96">
        <f t="shared" si="27"/>
        <v>-28758.176459144161</v>
      </c>
      <c r="CE65" s="94">
        <f t="shared" si="28"/>
        <v>1</v>
      </c>
      <c r="CF65" s="92">
        <f t="shared" si="29"/>
        <v>0</v>
      </c>
      <c r="CG65" s="67"/>
      <c r="CH65" s="86">
        <f t="shared" si="30"/>
        <v>7948.1885196349685</v>
      </c>
      <c r="CI65" s="86">
        <f t="shared" si="86"/>
        <v>324535.30514457467</v>
      </c>
      <c r="CJ65" s="92">
        <f t="shared" si="63"/>
        <v>0</v>
      </c>
      <c r="CK65" s="92">
        <f t="shared" si="64"/>
        <v>1</v>
      </c>
      <c r="CL65" s="86">
        <f t="shared" si="65"/>
        <v>7747.4760000000006</v>
      </c>
      <c r="CM65" s="86">
        <f t="shared" si="87"/>
        <v>316339.94105058582</v>
      </c>
      <c r="CN65" s="97">
        <f t="shared" si="33"/>
        <v>1.1000000000000001</v>
      </c>
      <c r="CO65" s="554">
        <f t="shared" si="88"/>
        <v>61306</v>
      </c>
      <c r="CP65" s="153"/>
      <c r="CQ65" s="153">
        <f t="shared" si="89"/>
        <v>7979.9</v>
      </c>
      <c r="CR65" s="353"/>
      <c r="CS65" s="391" t="str">
        <f>VLOOKUP(A65,Characteristics!A58:M141,13,FALSE)</f>
        <v>CAH</v>
      </c>
      <c r="CT65" s="206">
        <f>VLOOKUP(A65,Characteristics!A58:C141,3,FALSE)</f>
        <v>1</v>
      </c>
      <c r="CU65" s="557" t="str">
        <f t="shared" si="66"/>
        <v/>
      </c>
      <c r="CV65" s="557">
        <f t="shared" si="67"/>
        <v>7979.9</v>
      </c>
    </row>
    <row r="66" spans="1:100" s="194" customFormat="1" x14ac:dyDescent="0.3">
      <c r="A66" s="206">
        <v>61307</v>
      </c>
      <c r="B66" s="165"/>
      <c r="C66" s="558">
        <f>VLOOKUP($A66,'Fed Bs Rt+IME+GME+VBP+RAA+HAC'!$B$5:$AG$88,19,FALSE)</f>
        <v>6859.53</v>
      </c>
      <c r="D66" s="458">
        <f>VLOOKUP($A66,'Fed Bs Rt+IME+GME+VBP+RAA+HAC'!$B$5:$AG$88,25,FALSE)</f>
        <v>0</v>
      </c>
      <c r="E66" s="458">
        <f>VLOOKUP($A66,'Fed Bs Rt+IME+GME+VBP+RAA+HAC'!$B$5:$AG$88,29,FALSE)</f>
        <v>0</v>
      </c>
      <c r="F66" s="458">
        <f>VLOOKUP($A66,'Fed Bs Rt+IME+GME+VBP+RAA+HAC'!$B$5:$AG$88,27,FALSE)</f>
        <v>0</v>
      </c>
      <c r="G66" s="458">
        <f>VLOOKUP($A66,'Fed Bs Rt+IME+GME+VBP+RAA+HAC'!$B$5:$AG$88,32,FALSE)</f>
        <v>0</v>
      </c>
      <c r="H66" s="205">
        <f t="shared" si="36"/>
        <v>0</v>
      </c>
      <c r="I66" s="458">
        <f>VLOOKUP(A66,'Fed Bs Rt+IME+GME+VBP+RAA+HAC'!$B$5:$U$88,20,FALSE)</f>
        <v>0</v>
      </c>
      <c r="J66" s="459">
        <f>IF(Characteristics!M59="CAH",+C66*J$4,0)</f>
        <v>1714.8824999999999</v>
      </c>
      <c r="K66" s="459">
        <f>IF(OR(Characteristics!M59="SCH",Characteristics!M59="MDH"),+C66*K$4,0)</f>
        <v>0</v>
      </c>
      <c r="L66" s="460">
        <f>IF(OR(J66&gt;0,K66&gt;0,M66&gt;0),0,IF(VLOOKUP(A66,Characteristics!A:H,8,FALSE)&lt;=L$6,L$4*C66,IF(VLOOKUP(A66,Characteristics!A:H,8,FALSE)&gt;=L$5,0,(VLOOKUP(A66,Characteristics!A:H,8,FALSE)-L$5)/(L$6-L$5)*L$4*C66)))</f>
        <v>0</v>
      </c>
      <c r="M66" s="541">
        <f>IF(VLOOKUP($A66,Characteristics!$A:$E,3,FALSE)=2,M$4*C66,0)</f>
        <v>0</v>
      </c>
      <c r="N66" s="461">
        <f>IF(VLOOKUP($A66,Characteristics!$A:$K,6,FALSE)&gt;=N$5,N$4*C66,IF(VLOOKUP($A66,Characteristics!$A:$K,6,FALSE)&lt;=N$6,0,(VLOOKUP($A66,Characteristics!$A:$K,6,FALSE)-N$6)/(N$5-N$6)*N$4*C66))</f>
        <v>0</v>
      </c>
      <c r="O66" s="461">
        <f>IF(VLOOKUP($A66,Characteristics!$A:$K,11,FALSE)&lt;=O$6,O$4*C66,IF(VLOOKUP($A66,Characteristics!$A:$K,11,FALSE)&gt;=O$5,0,(VLOOKUP($A66,Characteristics!$A:$K,11,FALSE)-O$5)/(O$6-O$5)*O$4*C66))</f>
        <v>1371.9059999999999</v>
      </c>
      <c r="P66" s="205">
        <f t="shared" si="37"/>
        <v>9946.3185000000012</v>
      </c>
      <c r="Q66" s="205"/>
      <c r="R66" s="86">
        <v>6905.06</v>
      </c>
      <c r="S66" s="87">
        <f t="shared" si="68"/>
        <v>7043.16</v>
      </c>
      <c r="T66" s="471"/>
      <c r="U66" s="86">
        <f t="shared" si="69"/>
        <v>148339.51433999999</v>
      </c>
      <c r="V66" s="89">
        <v>30</v>
      </c>
      <c r="W66" s="90">
        <v>0.70204999999999995</v>
      </c>
      <c r="X66" s="91">
        <f t="shared" si="70"/>
        <v>209484.38708775002</v>
      </c>
      <c r="Y66" s="196"/>
      <c r="Z66" s="86">
        <f t="shared" si="39"/>
        <v>7043.16</v>
      </c>
      <c r="AA66" s="86">
        <f t="shared" si="40"/>
        <v>6338.8440000000001</v>
      </c>
      <c r="AB66" s="86">
        <f t="shared" si="41"/>
        <v>7747.4760000000006</v>
      </c>
      <c r="AC66" s="469"/>
      <c r="AD66" s="100"/>
      <c r="AE66" s="86">
        <f t="shared" si="42"/>
        <v>7965.4167001580081</v>
      </c>
      <c r="AF66" s="86">
        <f t="shared" si="71"/>
        <v>167763.62383037788</v>
      </c>
      <c r="AG66" s="92">
        <f t="shared" si="43"/>
        <v>0</v>
      </c>
      <c r="AH66" s="92">
        <f t="shared" si="44"/>
        <v>1</v>
      </c>
      <c r="AI66" s="86">
        <f t="shared" si="45"/>
        <v>7747.4760000000006</v>
      </c>
      <c r="AJ66" s="201"/>
      <c r="AK66" s="86">
        <f t="shared" si="72"/>
        <v>163173.46577400001</v>
      </c>
      <c r="AL66" s="93">
        <f t="shared" si="73"/>
        <v>209484.38708775002</v>
      </c>
      <c r="AM66" s="93">
        <f t="shared" si="5"/>
        <v>148339.51433999999</v>
      </c>
      <c r="AN66" s="94">
        <f t="shared" si="46"/>
        <v>0</v>
      </c>
      <c r="AO66" s="95"/>
      <c r="AP66" s="86">
        <f t="shared" si="47"/>
        <v>7938.5013988126229</v>
      </c>
      <c r="AQ66" s="86">
        <f t="shared" si="74"/>
        <v>167196.74721109204</v>
      </c>
      <c r="AR66" s="92">
        <f t="shared" si="48"/>
        <v>0</v>
      </c>
      <c r="AS66" s="92">
        <f t="shared" si="49"/>
        <v>1</v>
      </c>
      <c r="AT66" s="86">
        <f t="shared" si="50"/>
        <v>7747.4760000000006</v>
      </c>
      <c r="AU66" s="86">
        <f t="shared" si="75"/>
        <v>163173.46577400001</v>
      </c>
      <c r="AV66" s="93">
        <f t="shared" si="76"/>
        <v>0</v>
      </c>
      <c r="AW66" s="93">
        <f t="shared" si="9"/>
        <v>-14833.951434000017</v>
      </c>
      <c r="AX66" s="94">
        <f t="shared" si="10"/>
        <v>1</v>
      </c>
      <c r="AY66" s="92">
        <f t="shared" si="11"/>
        <v>1</v>
      </c>
      <c r="AZ66" s="95"/>
      <c r="BA66" s="86">
        <f t="shared" si="51"/>
        <v>7747.4760000000006</v>
      </c>
      <c r="BB66" s="86">
        <f t="shared" si="77"/>
        <v>163173.46577400001</v>
      </c>
      <c r="BC66" s="92">
        <f t="shared" si="52"/>
        <v>0</v>
      </c>
      <c r="BD66" s="92">
        <f t="shared" si="53"/>
        <v>1</v>
      </c>
      <c r="BE66" s="86">
        <f t="shared" si="54"/>
        <v>7747.4760000000006</v>
      </c>
      <c r="BF66" s="86">
        <f t="shared" si="78"/>
        <v>163173.46577400001</v>
      </c>
      <c r="BG66" s="93">
        <f t="shared" si="79"/>
        <v>0</v>
      </c>
      <c r="BH66" s="93">
        <f t="shared" si="15"/>
        <v>-14833.951434000017</v>
      </c>
      <c r="BI66" s="94">
        <f t="shared" si="16"/>
        <v>1</v>
      </c>
      <c r="BJ66" s="92">
        <f t="shared" si="17"/>
        <v>0</v>
      </c>
      <c r="BK66" s="95"/>
      <c r="BL66" s="86">
        <f t="shared" si="55"/>
        <v>7747.4760000000006</v>
      </c>
      <c r="BM66" s="86">
        <f t="shared" si="80"/>
        <v>163173.46577400001</v>
      </c>
      <c r="BN66" s="92">
        <f t="shared" si="56"/>
        <v>0</v>
      </c>
      <c r="BO66" s="92">
        <f t="shared" si="57"/>
        <v>1</v>
      </c>
      <c r="BP66" s="86">
        <f t="shared" si="58"/>
        <v>7747.4760000000006</v>
      </c>
      <c r="BQ66" s="86">
        <f t="shared" si="81"/>
        <v>163173.46577400001</v>
      </c>
      <c r="BR66" s="93">
        <f t="shared" si="82"/>
        <v>0</v>
      </c>
      <c r="BS66" s="93">
        <f t="shared" si="21"/>
        <v>-14833.951434000017</v>
      </c>
      <c r="BT66" s="94">
        <f t="shared" si="22"/>
        <v>1</v>
      </c>
      <c r="BU66" s="92">
        <f t="shared" si="23"/>
        <v>0</v>
      </c>
      <c r="BV66" s="95"/>
      <c r="BW66" s="86">
        <f t="shared" si="59"/>
        <v>7747.4760000000006</v>
      </c>
      <c r="BX66" s="86">
        <f t="shared" si="83"/>
        <v>163173.46577400001</v>
      </c>
      <c r="BY66" s="92">
        <f t="shared" si="60"/>
        <v>0</v>
      </c>
      <c r="BZ66" s="92">
        <f t="shared" si="61"/>
        <v>1</v>
      </c>
      <c r="CA66" s="86">
        <f t="shared" si="62"/>
        <v>7747.4760000000006</v>
      </c>
      <c r="CB66" s="86">
        <f t="shared" si="84"/>
        <v>163173.46577400001</v>
      </c>
      <c r="CC66" s="96">
        <f t="shared" si="85"/>
        <v>0</v>
      </c>
      <c r="CD66" s="96">
        <f t="shared" si="27"/>
        <v>-14833.951434000017</v>
      </c>
      <c r="CE66" s="94">
        <f t="shared" si="28"/>
        <v>1</v>
      </c>
      <c r="CF66" s="92">
        <f t="shared" si="29"/>
        <v>0</v>
      </c>
      <c r="CG66" s="67"/>
      <c r="CH66" s="86">
        <f t="shared" si="30"/>
        <v>7948.1885196349685</v>
      </c>
      <c r="CI66" s="86">
        <f t="shared" si="86"/>
        <v>167400.77250629186</v>
      </c>
      <c r="CJ66" s="92">
        <f t="shared" si="63"/>
        <v>0</v>
      </c>
      <c r="CK66" s="92">
        <f t="shared" si="64"/>
        <v>1</v>
      </c>
      <c r="CL66" s="86">
        <f t="shared" si="65"/>
        <v>7747.4760000000006</v>
      </c>
      <c r="CM66" s="86">
        <f t="shared" si="87"/>
        <v>163173.46577400001</v>
      </c>
      <c r="CN66" s="97">
        <f t="shared" si="33"/>
        <v>1.1000000000000001</v>
      </c>
      <c r="CO66" s="554">
        <f t="shared" si="88"/>
        <v>61307</v>
      </c>
      <c r="CP66" s="153"/>
      <c r="CQ66" s="153">
        <f t="shared" si="89"/>
        <v>7979.9</v>
      </c>
      <c r="CR66" s="353"/>
      <c r="CS66" s="391" t="str">
        <f>VLOOKUP(A66,Characteristics!A59:M142,13,FALSE)</f>
        <v>CAH</v>
      </c>
      <c r="CT66" s="206">
        <f>VLOOKUP(A66,Characteristics!A59:C142,3,FALSE)</f>
        <v>1</v>
      </c>
      <c r="CU66" s="557" t="str">
        <f t="shared" si="66"/>
        <v/>
      </c>
      <c r="CV66" s="557">
        <f t="shared" si="67"/>
        <v>7979.9</v>
      </c>
    </row>
    <row r="67" spans="1:100" s="194" customFormat="1" x14ac:dyDescent="0.3">
      <c r="A67" s="206">
        <v>61308</v>
      </c>
      <c r="B67" s="165"/>
      <c r="C67" s="558">
        <f>VLOOKUP($A67,'Fed Bs Rt+IME+GME+VBP+RAA+HAC'!$B$5:$AG$88,19,FALSE)</f>
        <v>6859.53</v>
      </c>
      <c r="D67" s="458">
        <f>VLOOKUP($A67,'Fed Bs Rt+IME+GME+VBP+RAA+HAC'!$B$5:$AG$88,25,FALSE)</f>
        <v>0</v>
      </c>
      <c r="E67" s="458">
        <f>VLOOKUP($A67,'Fed Bs Rt+IME+GME+VBP+RAA+HAC'!$B$5:$AG$88,29,FALSE)</f>
        <v>0</v>
      </c>
      <c r="F67" s="458">
        <f>VLOOKUP($A67,'Fed Bs Rt+IME+GME+VBP+RAA+HAC'!$B$5:$AG$88,27,FALSE)</f>
        <v>0</v>
      </c>
      <c r="G67" s="458">
        <f>VLOOKUP($A67,'Fed Bs Rt+IME+GME+VBP+RAA+HAC'!$B$5:$AG$88,32,FALSE)</f>
        <v>0</v>
      </c>
      <c r="H67" s="205">
        <f t="shared" si="36"/>
        <v>0</v>
      </c>
      <c r="I67" s="458">
        <f>VLOOKUP(A67,'Fed Bs Rt+IME+GME+VBP+RAA+HAC'!$B$5:$U$88,20,FALSE)</f>
        <v>0</v>
      </c>
      <c r="J67" s="459">
        <f>IF(Characteristics!M60="CAH",+C67*J$4,0)</f>
        <v>1714.8824999999999</v>
      </c>
      <c r="K67" s="459">
        <f>IF(OR(Characteristics!M60="SCH",Characteristics!M60="MDH"),+C67*K$4,0)</f>
        <v>0</v>
      </c>
      <c r="L67" s="460">
        <f>IF(OR(J67&gt;0,K67&gt;0,M67&gt;0),0,IF(VLOOKUP(A67,Characteristics!A:H,8,FALSE)&lt;=L$6,L$4*C67,IF(VLOOKUP(A67,Characteristics!A:H,8,FALSE)&gt;=L$5,0,(VLOOKUP(A67,Characteristics!A:H,8,FALSE)-L$5)/(L$6-L$5)*L$4*C67)))</f>
        <v>0</v>
      </c>
      <c r="M67" s="541">
        <f>IF(VLOOKUP($A67,Characteristics!$A:$E,3,FALSE)=2,M$4*C67,0)</f>
        <v>0</v>
      </c>
      <c r="N67" s="461">
        <f>IF(VLOOKUP($A67,Characteristics!$A:$K,6,FALSE)&gt;=N$5,N$4*C67,IF(VLOOKUP($A67,Characteristics!$A:$K,6,FALSE)&lt;=N$6,0,(VLOOKUP($A67,Characteristics!$A:$K,6,FALSE)-N$6)/(N$5-N$6)*N$4*C67))</f>
        <v>0</v>
      </c>
      <c r="O67" s="461">
        <f>IF(VLOOKUP($A67,Characteristics!$A:$K,11,FALSE)&lt;=O$6,O$4*C67,IF(VLOOKUP($A67,Characteristics!$A:$K,11,FALSE)&gt;=O$5,0,(VLOOKUP($A67,Characteristics!$A:$K,11,FALSE)-O$5)/(O$6-O$5)*O$4*C67))</f>
        <v>0</v>
      </c>
      <c r="P67" s="205">
        <f t="shared" si="37"/>
        <v>8574.4125000000004</v>
      </c>
      <c r="Q67" s="205"/>
      <c r="R67" s="86">
        <v>6905.06</v>
      </c>
      <c r="S67" s="87">
        <f t="shared" si="68"/>
        <v>7043.16</v>
      </c>
      <c r="T67" s="471"/>
      <c r="U67" s="86">
        <f t="shared" si="69"/>
        <v>455346.89344092004</v>
      </c>
      <c r="V67" s="89">
        <v>64.416200000000003</v>
      </c>
      <c r="W67" s="90">
        <v>1.0036440677966103</v>
      </c>
      <c r="X67" s="91">
        <f t="shared" si="70"/>
        <v>554343.80234951258</v>
      </c>
      <c r="Y67" s="196"/>
      <c r="Z67" s="86">
        <f t="shared" si="39"/>
        <v>7043.16</v>
      </c>
      <c r="AA67" s="86">
        <f t="shared" si="40"/>
        <v>6338.8440000000001</v>
      </c>
      <c r="AB67" s="86">
        <f t="shared" si="41"/>
        <v>7747.4760000000006</v>
      </c>
      <c r="AC67" s="469"/>
      <c r="AD67" s="100"/>
      <c r="AE67" s="86">
        <f t="shared" si="42"/>
        <v>6866.7385346189722</v>
      </c>
      <c r="AF67" s="86">
        <f t="shared" si="71"/>
        <v>443941.08039712359</v>
      </c>
      <c r="AG67" s="92">
        <f t="shared" si="43"/>
        <v>0</v>
      </c>
      <c r="AH67" s="92">
        <f t="shared" si="44"/>
        <v>0</v>
      </c>
      <c r="AI67" s="86">
        <f t="shared" si="45"/>
        <v>6866.7385346189722</v>
      </c>
      <c r="AJ67" s="201"/>
      <c r="AK67" s="86">
        <f t="shared" si="72"/>
        <v>443941.08039712359</v>
      </c>
      <c r="AL67" s="93">
        <f t="shared" si="73"/>
        <v>554343.80234951258</v>
      </c>
      <c r="AM67" s="93">
        <f t="shared" si="5"/>
        <v>455346.89344092004</v>
      </c>
      <c r="AN67" s="94">
        <f t="shared" si="46"/>
        <v>0</v>
      </c>
      <c r="AO67" s="95"/>
      <c r="AP67" s="86">
        <f t="shared" si="47"/>
        <v>6843.5356886315703</v>
      </c>
      <c r="AQ67" s="86">
        <f t="shared" si="74"/>
        <v>442440.99466297135</v>
      </c>
      <c r="AR67" s="92">
        <f t="shared" si="48"/>
        <v>0</v>
      </c>
      <c r="AS67" s="92">
        <f t="shared" si="49"/>
        <v>0</v>
      </c>
      <c r="AT67" s="86">
        <f t="shared" si="50"/>
        <v>6843.5356886315703</v>
      </c>
      <c r="AU67" s="86">
        <f t="shared" si="75"/>
        <v>442440.99466297135</v>
      </c>
      <c r="AV67" s="93">
        <f t="shared" si="76"/>
        <v>554343.80234951258</v>
      </c>
      <c r="AW67" s="93">
        <f t="shared" si="9"/>
        <v>455346.89344092004</v>
      </c>
      <c r="AX67" s="94">
        <f t="shared" si="10"/>
        <v>0</v>
      </c>
      <c r="AY67" s="92">
        <f t="shared" si="11"/>
        <v>0</v>
      </c>
      <c r="AZ67" s="95"/>
      <c r="BA67" s="86">
        <f t="shared" si="51"/>
        <v>6851.8865683926606</v>
      </c>
      <c r="BB67" s="86">
        <f t="shared" si="77"/>
        <v>442980.88686430018</v>
      </c>
      <c r="BC67" s="92">
        <f t="shared" si="52"/>
        <v>0</v>
      </c>
      <c r="BD67" s="92">
        <f t="shared" si="53"/>
        <v>0</v>
      </c>
      <c r="BE67" s="86">
        <f t="shared" si="54"/>
        <v>6851.8865683926606</v>
      </c>
      <c r="BF67" s="86">
        <f t="shared" si="78"/>
        <v>442980.88686430018</v>
      </c>
      <c r="BG67" s="93">
        <f t="shared" si="79"/>
        <v>554343.80234951258</v>
      </c>
      <c r="BH67" s="93">
        <f t="shared" si="15"/>
        <v>455346.89344092004</v>
      </c>
      <c r="BI67" s="94">
        <f t="shared" si="16"/>
        <v>0</v>
      </c>
      <c r="BJ67" s="92">
        <f t="shared" si="17"/>
        <v>0</v>
      </c>
      <c r="BK67" s="95"/>
      <c r="BL67" s="86">
        <f t="shared" si="55"/>
        <v>6851.8866548577307</v>
      </c>
      <c r="BM67" s="86">
        <f t="shared" si="80"/>
        <v>442980.89245434798</v>
      </c>
      <c r="BN67" s="92">
        <f t="shared" si="56"/>
        <v>0</v>
      </c>
      <c r="BO67" s="92">
        <f t="shared" si="57"/>
        <v>0</v>
      </c>
      <c r="BP67" s="86">
        <f t="shared" si="58"/>
        <v>6851.8866548577307</v>
      </c>
      <c r="BQ67" s="86">
        <f t="shared" si="81"/>
        <v>442980.89245434798</v>
      </c>
      <c r="BR67" s="93">
        <f t="shared" si="82"/>
        <v>554343.80234951258</v>
      </c>
      <c r="BS67" s="93">
        <f t="shared" si="21"/>
        <v>455346.89344092004</v>
      </c>
      <c r="BT67" s="94">
        <f t="shared" si="22"/>
        <v>0</v>
      </c>
      <c r="BU67" s="92">
        <f t="shared" si="23"/>
        <v>0</v>
      </c>
      <c r="BV67" s="95"/>
      <c r="BW67" s="86">
        <f t="shared" si="59"/>
        <v>6851.8866548577307</v>
      </c>
      <c r="BX67" s="86">
        <f t="shared" si="83"/>
        <v>442980.89245434798</v>
      </c>
      <c r="BY67" s="92">
        <f t="shared" si="60"/>
        <v>0</v>
      </c>
      <c r="BZ67" s="92">
        <f t="shared" si="61"/>
        <v>0</v>
      </c>
      <c r="CA67" s="86">
        <f t="shared" si="62"/>
        <v>6851.8866548577307</v>
      </c>
      <c r="CB67" s="86">
        <f t="shared" si="84"/>
        <v>442980.89245434798</v>
      </c>
      <c r="CC67" s="96">
        <f t="shared" si="85"/>
        <v>554343.80234951258</v>
      </c>
      <c r="CD67" s="96">
        <f t="shared" si="27"/>
        <v>455346.89344092004</v>
      </c>
      <c r="CE67" s="94">
        <f t="shared" si="28"/>
        <v>0</v>
      </c>
      <c r="CF67" s="92">
        <f t="shared" si="29"/>
        <v>0</v>
      </c>
      <c r="CG67" s="67"/>
      <c r="CH67" s="86">
        <f t="shared" si="30"/>
        <v>6851.8866548577307</v>
      </c>
      <c r="CI67" s="86">
        <f t="shared" si="86"/>
        <v>442980.89245434798</v>
      </c>
      <c r="CJ67" s="92">
        <f t="shared" si="63"/>
        <v>0</v>
      </c>
      <c r="CK67" s="92">
        <f t="shared" si="64"/>
        <v>0</v>
      </c>
      <c r="CL67" s="86">
        <f t="shared" si="65"/>
        <v>6851.8866548577307</v>
      </c>
      <c r="CM67" s="86">
        <f t="shared" si="87"/>
        <v>442980.89245434798</v>
      </c>
      <c r="CN67" s="97">
        <f t="shared" si="33"/>
        <v>0.97284268067994062</v>
      </c>
      <c r="CO67" s="554">
        <f t="shared" si="88"/>
        <v>61308</v>
      </c>
      <c r="CP67" s="153"/>
      <c r="CQ67" s="153">
        <f t="shared" si="89"/>
        <v>7057.44</v>
      </c>
      <c r="CR67" s="353"/>
      <c r="CS67" s="391" t="str">
        <f>VLOOKUP(A67,Characteristics!A60:M143,13,FALSE)</f>
        <v>CAH</v>
      </c>
      <c r="CT67" s="206">
        <f>VLOOKUP(A67,Characteristics!A60:C143,3,FALSE)</f>
        <v>1</v>
      </c>
      <c r="CU67" s="557" t="str">
        <f t="shared" si="66"/>
        <v/>
      </c>
      <c r="CV67" s="557">
        <f t="shared" si="67"/>
        <v>7057.44</v>
      </c>
    </row>
    <row r="68" spans="1:100" s="125" customFormat="1" x14ac:dyDescent="0.3">
      <c r="A68" s="206">
        <v>61309</v>
      </c>
      <c r="B68" s="165"/>
      <c r="C68" s="558">
        <f>VLOOKUP($A68,'Fed Bs Rt+IME+GME+VBP+RAA+HAC'!$B$5:$AG$88,19,FALSE)</f>
        <v>6859.53</v>
      </c>
      <c r="D68" s="462">
        <f>VLOOKUP($A68,'Fed Bs Rt+IME+GME+VBP+RAA+HAC'!$B$5:$AG$88,25,FALSE)</f>
        <v>375.11</v>
      </c>
      <c r="E68" s="458">
        <f>VLOOKUP($A68,'Fed Bs Rt+IME+GME+VBP+RAA+HAC'!$B$5:$AG$88,29,FALSE)</f>
        <v>0</v>
      </c>
      <c r="F68" s="458">
        <f>VLOOKUP($A68,'Fed Bs Rt+IME+GME+VBP+RAA+HAC'!$B$5:$AG$88,27,FALSE)</f>
        <v>0</v>
      </c>
      <c r="G68" s="458">
        <f>VLOOKUP($A68,'Fed Bs Rt+IME+GME+VBP+RAA+HAC'!$B$5:$AG$88,32,FALSE)</f>
        <v>0</v>
      </c>
      <c r="H68" s="205">
        <f t="shared" si="36"/>
        <v>375.11</v>
      </c>
      <c r="I68" s="458">
        <f>VLOOKUP(A68,'Fed Bs Rt+IME+GME+VBP+RAA+HAC'!$B$5:$U$88,20,FALSE)</f>
        <v>17.81961164547425</v>
      </c>
      <c r="J68" s="459">
        <f>IF(Characteristics!M61="CAH",+C68*J$4,0)</f>
        <v>1714.8824999999999</v>
      </c>
      <c r="K68" s="459">
        <f>IF(OR(Characteristics!M61="SCH",Characteristics!M61="MDH"),+C68*K$4,0)</f>
        <v>0</v>
      </c>
      <c r="L68" s="460">
        <f>IF(OR(J68&gt;0,K68&gt;0,M68&gt;0),0,IF(VLOOKUP(A68,Characteristics!A:H,8,FALSE)&lt;=L$6,L$4*C68,IF(VLOOKUP(A68,Characteristics!A:H,8,FALSE)&gt;=L$5,0,(VLOOKUP(A68,Characteristics!A:H,8,FALSE)-L$5)/(L$6-L$5)*L$4*C68)))</f>
        <v>0</v>
      </c>
      <c r="M68" s="541">
        <f>IF(VLOOKUP($A68,Characteristics!$A:$E,3,FALSE)=2,M$4*C68,0)</f>
        <v>0</v>
      </c>
      <c r="N68" s="461">
        <f>IF(VLOOKUP($A68,Characteristics!$A:$K,6,FALSE)&gt;=N$5,N$4*C68,IF(VLOOKUP($A68,Characteristics!$A:$K,6,FALSE)&lt;=N$6,0,(VLOOKUP($A68,Characteristics!$A:$K,6,FALSE)-N$6)/(N$5-N$6)*N$4*C68))</f>
        <v>0</v>
      </c>
      <c r="O68" s="461">
        <f>IF(VLOOKUP($A68,Characteristics!$A:$K,11,FALSE)&lt;=O$6,O$4*C68,IF(VLOOKUP($A68,Characteristics!$A:$K,11,FALSE)&gt;=O$5,0,(VLOOKUP($A68,Characteristics!$A:$K,11,FALSE)-O$5)/(O$6-O$5)*O$4*C68))</f>
        <v>774.02717886276605</v>
      </c>
      <c r="P68" s="205">
        <f t="shared" si="37"/>
        <v>9741.3692905082389</v>
      </c>
      <c r="Q68" s="205"/>
      <c r="R68" s="86">
        <v>6966.18</v>
      </c>
      <c r="S68" s="87">
        <f t="shared" si="68"/>
        <v>7105.5</v>
      </c>
      <c r="T68" s="471"/>
      <c r="U68" s="86">
        <f t="shared" si="69"/>
        <v>660076.55866593006</v>
      </c>
      <c r="V68" s="89">
        <v>169.22900000000001</v>
      </c>
      <c r="W68" s="90">
        <v>0.54893999999999998</v>
      </c>
      <c r="X68" s="91">
        <f t="shared" si="70"/>
        <v>904939.76750019717</v>
      </c>
      <c r="Y68" s="196"/>
      <c r="Z68" s="86">
        <f t="shared" si="39"/>
        <v>7105.5</v>
      </c>
      <c r="AA68" s="86">
        <f t="shared" si="40"/>
        <v>6394.95</v>
      </c>
      <c r="AB68" s="86">
        <f t="shared" si="41"/>
        <v>7816.05</v>
      </c>
      <c r="AC68" s="469"/>
      <c r="AD68" s="101"/>
      <c r="AE68" s="86">
        <f t="shared" si="42"/>
        <v>7801.2850311419934</v>
      </c>
      <c r="AF68" s="86">
        <f t="shared" si="71"/>
        <v>724712.59960991342</v>
      </c>
      <c r="AG68" s="92">
        <f t="shared" si="43"/>
        <v>0</v>
      </c>
      <c r="AH68" s="92">
        <f t="shared" si="44"/>
        <v>0</v>
      </c>
      <c r="AI68" s="86">
        <f t="shared" si="45"/>
        <v>7801.2850311419934</v>
      </c>
      <c r="AJ68" s="201"/>
      <c r="AK68" s="86">
        <f t="shared" si="72"/>
        <v>724712.59960991342</v>
      </c>
      <c r="AL68" s="93">
        <f t="shared" si="73"/>
        <v>904939.76750019717</v>
      </c>
      <c r="AM68" s="93">
        <f t="shared" si="5"/>
        <v>660076.55866593006</v>
      </c>
      <c r="AN68" s="94">
        <f t="shared" si="46"/>
        <v>0</v>
      </c>
      <c r="AO68" s="95"/>
      <c r="AP68" s="86">
        <f t="shared" si="47"/>
        <v>7774.9243339683899</v>
      </c>
      <c r="AQ68" s="86">
        <f t="shared" si="74"/>
        <v>722263.78133190528</v>
      </c>
      <c r="AR68" s="92">
        <f t="shared" si="48"/>
        <v>0</v>
      </c>
      <c r="AS68" s="92">
        <f t="shared" si="49"/>
        <v>0</v>
      </c>
      <c r="AT68" s="86">
        <f t="shared" si="50"/>
        <v>7774.9243339683899</v>
      </c>
      <c r="AU68" s="86">
        <f t="shared" si="75"/>
        <v>722263.78133190528</v>
      </c>
      <c r="AV68" s="93">
        <f t="shared" si="76"/>
        <v>904939.76750019717</v>
      </c>
      <c r="AW68" s="93">
        <f t="shared" si="9"/>
        <v>660076.55866593006</v>
      </c>
      <c r="AX68" s="94">
        <f t="shared" si="10"/>
        <v>0</v>
      </c>
      <c r="AY68" s="92">
        <f t="shared" si="11"/>
        <v>0</v>
      </c>
      <c r="AZ68" s="95"/>
      <c r="BA68" s="86">
        <f t="shared" si="51"/>
        <v>7784.4117482551883</v>
      </c>
      <c r="BB68" s="86">
        <f t="shared" si="77"/>
        <v>723145.12955132243</v>
      </c>
      <c r="BC68" s="92">
        <f t="shared" si="52"/>
        <v>0</v>
      </c>
      <c r="BD68" s="92">
        <f t="shared" si="53"/>
        <v>0</v>
      </c>
      <c r="BE68" s="86">
        <f t="shared" si="54"/>
        <v>7784.4117482551883</v>
      </c>
      <c r="BF68" s="86">
        <f t="shared" si="78"/>
        <v>723145.12955132243</v>
      </c>
      <c r="BG68" s="93">
        <f t="shared" si="79"/>
        <v>904939.76750019717</v>
      </c>
      <c r="BH68" s="93">
        <f t="shared" si="15"/>
        <v>660076.55866593006</v>
      </c>
      <c r="BI68" s="94">
        <f t="shared" si="16"/>
        <v>0</v>
      </c>
      <c r="BJ68" s="92">
        <f t="shared" si="17"/>
        <v>0</v>
      </c>
      <c r="BK68" s="95"/>
      <c r="BL68" s="86">
        <f t="shared" si="55"/>
        <v>7784.4118464879457</v>
      </c>
      <c r="BM68" s="86">
        <f t="shared" si="80"/>
        <v>723145.13867680822</v>
      </c>
      <c r="BN68" s="92">
        <f t="shared" si="56"/>
        <v>0</v>
      </c>
      <c r="BO68" s="92">
        <f t="shared" si="57"/>
        <v>0</v>
      </c>
      <c r="BP68" s="86">
        <f t="shared" si="58"/>
        <v>7784.4118464879457</v>
      </c>
      <c r="BQ68" s="86">
        <f t="shared" si="81"/>
        <v>723145.13867680822</v>
      </c>
      <c r="BR68" s="93">
        <f t="shared" si="82"/>
        <v>904939.76750019717</v>
      </c>
      <c r="BS68" s="93">
        <f t="shared" si="21"/>
        <v>660076.55866593006</v>
      </c>
      <c r="BT68" s="94">
        <f t="shared" si="22"/>
        <v>0</v>
      </c>
      <c r="BU68" s="92">
        <f t="shared" si="23"/>
        <v>0</v>
      </c>
      <c r="BV68" s="95"/>
      <c r="BW68" s="86">
        <f t="shared" si="59"/>
        <v>7784.4118464879457</v>
      </c>
      <c r="BX68" s="86">
        <f t="shared" si="83"/>
        <v>723145.13867680822</v>
      </c>
      <c r="BY68" s="92">
        <f t="shared" si="60"/>
        <v>0</v>
      </c>
      <c r="BZ68" s="92">
        <f t="shared" si="61"/>
        <v>0</v>
      </c>
      <c r="CA68" s="86">
        <f t="shared" si="62"/>
        <v>7784.4118464879457</v>
      </c>
      <c r="CB68" s="86">
        <f t="shared" si="84"/>
        <v>723145.13867680822</v>
      </c>
      <c r="CC68" s="96">
        <f t="shared" si="85"/>
        <v>904939.76750019717</v>
      </c>
      <c r="CD68" s="96">
        <f t="shared" si="27"/>
        <v>660076.55866593006</v>
      </c>
      <c r="CE68" s="94">
        <f t="shared" si="28"/>
        <v>0</v>
      </c>
      <c r="CF68" s="92">
        <f t="shared" si="29"/>
        <v>0</v>
      </c>
      <c r="CG68" s="67"/>
      <c r="CH68" s="86">
        <f t="shared" si="30"/>
        <v>7784.4118464879457</v>
      </c>
      <c r="CI68" s="86">
        <f t="shared" si="86"/>
        <v>723145.13867680822</v>
      </c>
      <c r="CJ68" s="92">
        <f t="shared" si="63"/>
        <v>0</v>
      </c>
      <c r="CK68" s="92">
        <f t="shared" si="64"/>
        <v>0</v>
      </c>
      <c r="CL68" s="86">
        <f t="shared" si="65"/>
        <v>7784.4118464879457</v>
      </c>
      <c r="CM68" s="86">
        <f t="shared" si="87"/>
        <v>723145.13867680822</v>
      </c>
      <c r="CN68" s="97">
        <f t="shared" si="33"/>
        <v>1.0955473712600021</v>
      </c>
      <c r="CO68" s="554">
        <f t="shared" si="88"/>
        <v>61309</v>
      </c>
      <c r="CP68" s="153"/>
      <c r="CQ68" s="153">
        <f t="shared" si="89"/>
        <v>8017.94</v>
      </c>
      <c r="CR68" s="353"/>
      <c r="CS68" s="391" t="str">
        <f>VLOOKUP(A68,Characteristics!A61:M144,13,FALSE)</f>
        <v>CAH</v>
      </c>
      <c r="CT68" s="206">
        <f>VLOOKUP(A68,Characteristics!A61:C144,3,FALSE)</f>
        <v>1</v>
      </c>
      <c r="CU68" s="557" t="str">
        <f t="shared" si="66"/>
        <v/>
      </c>
      <c r="CV68" s="557">
        <f t="shared" si="67"/>
        <v>8017.94</v>
      </c>
    </row>
    <row r="69" spans="1:100" s="125" customFormat="1" x14ac:dyDescent="0.3">
      <c r="A69" s="199">
        <v>61310</v>
      </c>
      <c r="B69" s="139"/>
      <c r="C69" s="558">
        <f>VLOOKUP($A69,'Fed Bs Rt+IME+GME+VBP+RAA+HAC'!$B$5:$AG$88,19,FALSE)</f>
        <v>6859.53</v>
      </c>
      <c r="D69" s="458">
        <f>VLOOKUP($A69,'Fed Bs Rt+IME+GME+VBP+RAA+HAC'!$B$5:$AG$88,25,FALSE)</f>
        <v>0</v>
      </c>
      <c r="E69" s="458">
        <f>VLOOKUP($A69,'Fed Bs Rt+IME+GME+VBP+RAA+HAC'!$B$5:$AG$88,29,FALSE)</f>
        <v>0</v>
      </c>
      <c r="F69" s="458">
        <f>VLOOKUP($A69,'Fed Bs Rt+IME+GME+VBP+RAA+HAC'!$B$5:$AG$88,27,FALSE)</f>
        <v>0</v>
      </c>
      <c r="G69" s="458">
        <f>VLOOKUP($A69,'Fed Bs Rt+IME+GME+VBP+RAA+HAC'!$B$5:$AG$88,32,FALSE)</f>
        <v>0</v>
      </c>
      <c r="H69" s="205">
        <f t="shared" si="36"/>
        <v>0</v>
      </c>
      <c r="I69" s="458">
        <f>VLOOKUP(A69,'Fed Bs Rt+IME+GME+VBP+RAA+HAC'!$B$5:$U$88,20,FALSE)</f>
        <v>0</v>
      </c>
      <c r="J69" s="459">
        <f>IF(Characteristics!M62="CAH",+C69*J$4,0)</f>
        <v>1714.8824999999999</v>
      </c>
      <c r="K69" s="459">
        <f>IF(OR(Characteristics!M62="SCH",Characteristics!M62="MDH"),+C69*K$4,0)</f>
        <v>0</v>
      </c>
      <c r="L69" s="460">
        <f>IF(OR(J69&gt;0,K69&gt;0,M69&gt;0),0,IF(VLOOKUP(A69,Characteristics!A:H,8,FALSE)&lt;=L$6,L$4*C69,IF(VLOOKUP(A69,Characteristics!A:H,8,FALSE)&gt;=L$5,0,(VLOOKUP(A69,Characteristics!A:H,8,FALSE)-L$5)/(L$6-L$5)*L$4*C69)))</f>
        <v>0</v>
      </c>
      <c r="M69" s="541">
        <f>IF(VLOOKUP($A69,Characteristics!$A:$E,3,FALSE)=2,M$4*C69,0)</f>
        <v>0</v>
      </c>
      <c r="N69" s="461">
        <f>IF(VLOOKUP($A69,Characteristics!$A:$K,6,FALSE)&gt;=N$5,N$4*C69,IF(VLOOKUP($A69,Characteristics!$A:$K,6,FALSE)&lt;=N$6,0,(VLOOKUP($A69,Characteristics!$A:$K,6,FALSE)-N$6)/(N$5-N$6)*N$4*C69))</f>
        <v>0</v>
      </c>
      <c r="O69" s="461">
        <f>IF(VLOOKUP($A69,Characteristics!$A:$K,11,FALSE)&lt;=O$6,O$4*C69,IF(VLOOKUP($A69,Characteristics!$A:$K,11,FALSE)&gt;=O$5,0,(VLOOKUP($A69,Characteristics!$A:$K,11,FALSE)-O$5)/(O$6-O$5)*O$4*C69))</f>
        <v>0</v>
      </c>
      <c r="P69" s="205">
        <f t="shared" si="37"/>
        <v>8574.4125000000004</v>
      </c>
      <c r="Q69" s="205"/>
      <c r="R69" s="86">
        <v>6967.02</v>
      </c>
      <c r="S69" s="87">
        <f t="shared" si="68"/>
        <v>7106.36</v>
      </c>
      <c r="T69" s="471"/>
      <c r="U69" s="86">
        <f t="shared" si="69"/>
        <v>151763.42416000002</v>
      </c>
      <c r="V69" s="89">
        <v>30</v>
      </c>
      <c r="W69" s="90">
        <v>0.71186666666666676</v>
      </c>
      <c r="X69" s="91">
        <f t="shared" si="70"/>
        <v>183115.15335000004</v>
      </c>
      <c r="Y69" s="196"/>
      <c r="Z69" s="86">
        <f t="shared" si="39"/>
        <v>7106.36</v>
      </c>
      <c r="AA69" s="86">
        <f t="shared" si="40"/>
        <v>6395.7240000000002</v>
      </c>
      <c r="AB69" s="86">
        <f t="shared" si="41"/>
        <v>7816.9960000000001</v>
      </c>
      <c r="AC69" s="469"/>
      <c r="AD69" s="100"/>
      <c r="AE69" s="86">
        <f t="shared" si="42"/>
        <v>6866.7385346189722</v>
      </c>
      <c r="AF69" s="86">
        <f t="shared" si="71"/>
        <v>146646.06814532279</v>
      </c>
      <c r="AG69" s="92">
        <f t="shared" si="43"/>
        <v>0</v>
      </c>
      <c r="AH69" s="92">
        <f t="shared" si="44"/>
        <v>0</v>
      </c>
      <c r="AI69" s="86">
        <f t="shared" si="45"/>
        <v>6866.7385346189722</v>
      </c>
      <c r="AJ69" s="201"/>
      <c r="AK69" s="86">
        <f t="shared" si="72"/>
        <v>146646.06814532279</v>
      </c>
      <c r="AL69" s="93">
        <f t="shared" si="73"/>
        <v>183115.15335000004</v>
      </c>
      <c r="AM69" s="93">
        <f t="shared" si="5"/>
        <v>151763.42416000002</v>
      </c>
      <c r="AN69" s="94">
        <f t="shared" si="46"/>
        <v>0</v>
      </c>
      <c r="AO69" s="95"/>
      <c r="AP69" s="86">
        <f t="shared" si="47"/>
        <v>6843.5356886315703</v>
      </c>
      <c r="AQ69" s="86">
        <f t="shared" si="74"/>
        <v>146150.54816641583</v>
      </c>
      <c r="AR69" s="92">
        <f t="shared" si="48"/>
        <v>0</v>
      </c>
      <c r="AS69" s="92">
        <f t="shared" si="49"/>
        <v>0</v>
      </c>
      <c r="AT69" s="86">
        <f t="shared" si="50"/>
        <v>6843.5356886315703</v>
      </c>
      <c r="AU69" s="86">
        <f t="shared" si="75"/>
        <v>146150.54816641583</v>
      </c>
      <c r="AV69" s="93">
        <f t="shared" si="76"/>
        <v>183115.15335000004</v>
      </c>
      <c r="AW69" s="93">
        <f t="shared" si="9"/>
        <v>151763.42416000002</v>
      </c>
      <c r="AX69" s="94">
        <f t="shared" si="10"/>
        <v>0</v>
      </c>
      <c r="AY69" s="92">
        <f t="shared" si="11"/>
        <v>0</v>
      </c>
      <c r="AZ69" s="95"/>
      <c r="BA69" s="86">
        <f t="shared" si="51"/>
        <v>6851.8865683926606</v>
      </c>
      <c r="BB69" s="86">
        <f t="shared" si="77"/>
        <v>146328.88955459368</v>
      </c>
      <c r="BC69" s="92">
        <f t="shared" si="52"/>
        <v>0</v>
      </c>
      <c r="BD69" s="92">
        <f t="shared" si="53"/>
        <v>0</v>
      </c>
      <c r="BE69" s="86">
        <f t="shared" si="54"/>
        <v>6851.8865683926606</v>
      </c>
      <c r="BF69" s="86">
        <f t="shared" si="78"/>
        <v>146328.88955459368</v>
      </c>
      <c r="BG69" s="93">
        <f t="shared" si="79"/>
        <v>183115.15335000004</v>
      </c>
      <c r="BH69" s="93">
        <f t="shared" si="15"/>
        <v>151763.42416000002</v>
      </c>
      <c r="BI69" s="94">
        <f t="shared" si="16"/>
        <v>0</v>
      </c>
      <c r="BJ69" s="92">
        <f t="shared" si="17"/>
        <v>0</v>
      </c>
      <c r="BK69" s="95"/>
      <c r="BL69" s="86">
        <f t="shared" si="55"/>
        <v>6851.8866548577307</v>
      </c>
      <c r="BM69" s="86">
        <f t="shared" si="80"/>
        <v>146328.89140114171</v>
      </c>
      <c r="BN69" s="92">
        <f t="shared" si="56"/>
        <v>0</v>
      </c>
      <c r="BO69" s="92">
        <f t="shared" si="57"/>
        <v>0</v>
      </c>
      <c r="BP69" s="86">
        <f t="shared" si="58"/>
        <v>6851.8866548577307</v>
      </c>
      <c r="BQ69" s="86">
        <f t="shared" si="81"/>
        <v>146328.89140114171</v>
      </c>
      <c r="BR69" s="93">
        <f t="shared" si="82"/>
        <v>183115.15335000004</v>
      </c>
      <c r="BS69" s="93">
        <f t="shared" si="21"/>
        <v>151763.42416000002</v>
      </c>
      <c r="BT69" s="94">
        <f t="shared" si="22"/>
        <v>0</v>
      </c>
      <c r="BU69" s="92">
        <f t="shared" si="23"/>
        <v>0</v>
      </c>
      <c r="BV69" s="95"/>
      <c r="BW69" s="86">
        <f t="shared" si="59"/>
        <v>6851.8866548577307</v>
      </c>
      <c r="BX69" s="86">
        <f t="shared" si="83"/>
        <v>146328.89140114171</v>
      </c>
      <c r="BY69" s="92">
        <f t="shared" si="60"/>
        <v>0</v>
      </c>
      <c r="BZ69" s="92">
        <f t="shared" si="61"/>
        <v>0</v>
      </c>
      <c r="CA69" s="86">
        <f t="shared" si="62"/>
        <v>6851.8866548577307</v>
      </c>
      <c r="CB69" s="86">
        <f t="shared" si="84"/>
        <v>146328.89140114171</v>
      </c>
      <c r="CC69" s="96">
        <f t="shared" si="85"/>
        <v>183115.15335000004</v>
      </c>
      <c r="CD69" s="96">
        <f t="shared" si="27"/>
        <v>151763.42416000002</v>
      </c>
      <c r="CE69" s="94">
        <f t="shared" si="28"/>
        <v>0</v>
      </c>
      <c r="CF69" s="92">
        <f t="shared" si="29"/>
        <v>0</v>
      </c>
      <c r="CG69" s="67"/>
      <c r="CH69" s="86">
        <f t="shared" si="30"/>
        <v>6851.8866548577307</v>
      </c>
      <c r="CI69" s="86">
        <f t="shared" si="86"/>
        <v>146328.89140114171</v>
      </c>
      <c r="CJ69" s="92">
        <f t="shared" si="63"/>
        <v>0</v>
      </c>
      <c r="CK69" s="92">
        <f t="shared" si="64"/>
        <v>0</v>
      </c>
      <c r="CL69" s="86">
        <f t="shared" si="65"/>
        <v>6851.8866548577307</v>
      </c>
      <c r="CM69" s="86">
        <f t="shared" si="87"/>
        <v>146328.89140114171</v>
      </c>
      <c r="CN69" s="97">
        <f t="shared" si="33"/>
        <v>0.96419076079142219</v>
      </c>
      <c r="CO69" s="554">
        <f t="shared" si="88"/>
        <v>61310</v>
      </c>
      <c r="CP69" s="153"/>
      <c r="CQ69" s="153">
        <f t="shared" si="89"/>
        <v>7057.44</v>
      </c>
      <c r="CR69" s="353"/>
      <c r="CS69" s="391" t="str">
        <f>VLOOKUP(A69,Characteristics!A62:M145,13,FALSE)</f>
        <v>CAH</v>
      </c>
      <c r="CT69" s="206">
        <f>VLOOKUP(A69,Characteristics!A62:C145,3,FALSE)</f>
        <v>1</v>
      </c>
      <c r="CU69" s="557" t="str">
        <f t="shared" si="66"/>
        <v/>
      </c>
      <c r="CV69" s="557">
        <f t="shared" si="67"/>
        <v>7057.44</v>
      </c>
    </row>
    <row r="70" spans="1:100" s="125" customFormat="1" x14ac:dyDescent="0.3">
      <c r="A70" s="199">
        <v>61311</v>
      </c>
      <c r="B70" s="139"/>
      <c r="C70" s="558">
        <f>VLOOKUP($A70,'Fed Bs Rt+IME+GME+VBP+RAA+HAC'!$B$5:$AG$88,19,FALSE)</f>
        <v>6859.53</v>
      </c>
      <c r="D70" s="458">
        <f>VLOOKUP($A70,'Fed Bs Rt+IME+GME+VBP+RAA+HAC'!$B$5:$AG$88,25,FALSE)</f>
        <v>0</v>
      </c>
      <c r="E70" s="458">
        <f>VLOOKUP($A70,'Fed Bs Rt+IME+GME+VBP+RAA+HAC'!$B$5:$AG$88,29,FALSE)</f>
        <v>0</v>
      </c>
      <c r="F70" s="458">
        <f>VLOOKUP($A70,'Fed Bs Rt+IME+GME+VBP+RAA+HAC'!$B$5:$AG$88,27,FALSE)</f>
        <v>0</v>
      </c>
      <c r="G70" s="458">
        <f>VLOOKUP($A70,'Fed Bs Rt+IME+GME+VBP+RAA+HAC'!$B$5:$AG$88,32,FALSE)</f>
        <v>0</v>
      </c>
      <c r="H70" s="205">
        <f t="shared" si="36"/>
        <v>0</v>
      </c>
      <c r="I70" s="458">
        <f>VLOOKUP(A70,'Fed Bs Rt+IME+GME+VBP+RAA+HAC'!$B$5:$U$88,20,FALSE)</f>
        <v>0</v>
      </c>
      <c r="J70" s="459">
        <f>IF(Characteristics!M63="CAH",+C70*J$4,0)</f>
        <v>1714.8824999999999</v>
      </c>
      <c r="K70" s="459">
        <f>IF(OR(Characteristics!M63="SCH",Characteristics!M63="MDH"),+C70*K$4,0)</f>
        <v>0</v>
      </c>
      <c r="L70" s="460">
        <f>IF(OR(J70&gt;0,K70&gt;0,M70&gt;0),0,IF(VLOOKUP(A70,Characteristics!A:H,8,FALSE)&lt;=L$6,L$4*C70,IF(VLOOKUP(A70,Characteristics!A:H,8,FALSE)&gt;=L$5,0,(VLOOKUP(A70,Characteristics!A:H,8,FALSE)-L$5)/(L$6-L$5)*L$4*C70)))</f>
        <v>0</v>
      </c>
      <c r="M70" s="541">
        <f>IF(VLOOKUP($A70,Characteristics!$A:$E,3,FALSE)=2,M$4*C70,0)</f>
        <v>0</v>
      </c>
      <c r="N70" s="461">
        <f>IF(VLOOKUP($A70,Characteristics!$A:$K,6,FALSE)&gt;=N$5,N$4*C70,IF(VLOOKUP($A70,Characteristics!$A:$K,6,FALSE)&lt;=N$6,0,(VLOOKUP($A70,Characteristics!$A:$K,6,FALSE)-N$6)/(N$5-N$6)*N$4*C70))</f>
        <v>0</v>
      </c>
      <c r="O70" s="461">
        <f>IF(VLOOKUP($A70,Characteristics!$A:$K,11,FALSE)&lt;=O$6,O$4*C70,IF(VLOOKUP($A70,Characteristics!$A:$K,11,FALSE)&gt;=O$5,0,(VLOOKUP($A70,Characteristics!$A:$K,11,FALSE)-O$5)/(O$6-O$5)*O$4*C70))</f>
        <v>366.84446678582981</v>
      </c>
      <c r="P70" s="205">
        <f t="shared" si="37"/>
        <v>8941.2569667858297</v>
      </c>
      <c r="Q70" s="205"/>
      <c r="R70" s="86">
        <v>6905.06</v>
      </c>
      <c r="S70" s="87">
        <f t="shared" si="68"/>
        <v>7043.16</v>
      </c>
      <c r="T70" s="471"/>
      <c r="U70" s="86">
        <f t="shared" si="69"/>
        <v>687265.06675395602</v>
      </c>
      <c r="V70" s="89">
        <v>89.527600000000007</v>
      </c>
      <c r="W70" s="90">
        <v>1.0899329268292683</v>
      </c>
      <c r="X70" s="91">
        <f t="shared" si="70"/>
        <v>872479.62081542064</v>
      </c>
      <c r="Y70" s="196"/>
      <c r="Z70" s="86">
        <f t="shared" si="39"/>
        <v>7043.16</v>
      </c>
      <c r="AA70" s="86">
        <f t="shared" si="40"/>
        <v>6338.8440000000001</v>
      </c>
      <c r="AB70" s="86">
        <f t="shared" si="41"/>
        <v>7747.4760000000006</v>
      </c>
      <c r="AC70" s="469"/>
      <c r="AD70" s="100"/>
      <c r="AE70" s="86">
        <f t="shared" si="42"/>
        <v>7160.5225153045294</v>
      </c>
      <c r="AF70" s="86">
        <f t="shared" si="71"/>
        <v>698717.19291823171</v>
      </c>
      <c r="AG70" s="92">
        <f t="shared" si="43"/>
        <v>0</v>
      </c>
      <c r="AH70" s="92">
        <f t="shared" si="44"/>
        <v>0</v>
      </c>
      <c r="AI70" s="86">
        <f t="shared" si="45"/>
        <v>7160.5225153045294</v>
      </c>
      <c r="AJ70" s="201"/>
      <c r="AK70" s="86">
        <f t="shared" si="72"/>
        <v>698717.19291823171</v>
      </c>
      <c r="AL70" s="93">
        <f t="shared" si="73"/>
        <v>872479.62081542064</v>
      </c>
      <c r="AM70" s="93">
        <f t="shared" si="5"/>
        <v>687265.06675395602</v>
      </c>
      <c r="AN70" s="94">
        <f t="shared" si="46"/>
        <v>0</v>
      </c>
      <c r="AO70" s="95"/>
      <c r="AP70" s="86">
        <f t="shared" si="47"/>
        <v>7136.3269674073281</v>
      </c>
      <c r="AQ70" s="86">
        <f t="shared" si="74"/>
        <v>696356.21363610285</v>
      </c>
      <c r="AR70" s="92">
        <f t="shared" si="48"/>
        <v>0</v>
      </c>
      <c r="AS70" s="92">
        <f t="shared" si="49"/>
        <v>0</v>
      </c>
      <c r="AT70" s="86">
        <f t="shared" si="50"/>
        <v>7136.3269674073281</v>
      </c>
      <c r="AU70" s="86">
        <f t="shared" si="75"/>
        <v>696356.21363610285</v>
      </c>
      <c r="AV70" s="93">
        <f t="shared" si="76"/>
        <v>872479.62081542064</v>
      </c>
      <c r="AW70" s="93">
        <f t="shared" si="9"/>
        <v>687265.06675395602</v>
      </c>
      <c r="AX70" s="94">
        <f t="shared" si="10"/>
        <v>0</v>
      </c>
      <c r="AY70" s="92">
        <f t="shared" si="11"/>
        <v>0</v>
      </c>
      <c r="AZ70" s="95"/>
      <c r="BA70" s="86">
        <f t="shared" si="51"/>
        <v>7145.0351280938639</v>
      </c>
      <c r="BB70" s="86">
        <f t="shared" si="77"/>
        <v>697205.94793654978</v>
      </c>
      <c r="BC70" s="92">
        <f t="shared" si="52"/>
        <v>0</v>
      </c>
      <c r="BD70" s="92">
        <f t="shared" si="53"/>
        <v>0</v>
      </c>
      <c r="BE70" s="86">
        <f t="shared" si="54"/>
        <v>7145.0351280938639</v>
      </c>
      <c r="BF70" s="86">
        <f t="shared" si="78"/>
        <v>697205.94793654978</v>
      </c>
      <c r="BG70" s="93">
        <f t="shared" si="79"/>
        <v>872479.62081542064</v>
      </c>
      <c r="BH70" s="93">
        <f t="shared" si="15"/>
        <v>687265.06675395602</v>
      </c>
      <c r="BI70" s="94">
        <f t="shared" si="16"/>
        <v>0</v>
      </c>
      <c r="BJ70" s="92">
        <f t="shared" si="17"/>
        <v>0</v>
      </c>
      <c r="BK70" s="95"/>
      <c r="BL70" s="86">
        <f t="shared" si="55"/>
        <v>7145.0352182582237</v>
      </c>
      <c r="BM70" s="86">
        <f t="shared" si="80"/>
        <v>697205.95673470502</v>
      </c>
      <c r="BN70" s="92">
        <f t="shared" si="56"/>
        <v>0</v>
      </c>
      <c r="BO70" s="92">
        <f t="shared" si="57"/>
        <v>0</v>
      </c>
      <c r="BP70" s="86">
        <f t="shared" si="58"/>
        <v>7145.0352182582237</v>
      </c>
      <c r="BQ70" s="86">
        <f t="shared" si="81"/>
        <v>697205.95673470502</v>
      </c>
      <c r="BR70" s="93">
        <f t="shared" si="82"/>
        <v>872479.62081542064</v>
      </c>
      <c r="BS70" s="93">
        <f t="shared" si="21"/>
        <v>687265.06675395602</v>
      </c>
      <c r="BT70" s="94">
        <f t="shared" si="22"/>
        <v>0</v>
      </c>
      <c r="BU70" s="92">
        <f t="shared" si="23"/>
        <v>0</v>
      </c>
      <c r="BV70" s="95"/>
      <c r="BW70" s="86">
        <f t="shared" si="59"/>
        <v>7145.0352182582237</v>
      </c>
      <c r="BX70" s="86">
        <f t="shared" si="83"/>
        <v>697205.95673470502</v>
      </c>
      <c r="BY70" s="92">
        <f t="shared" si="60"/>
        <v>0</v>
      </c>
      <c r="BZ70" s="92">
        <f t="shared" si="61"/>
        <v>0</v>
      </c>
      <c r="CA70" s="86">
        <f t="shared" si="62"/>
        <v>7145.0352182582237</v>
      </c>
      <c r="CB70" s="86">
        <f t="shared" si="84"/>
        <v>697205.95673470502</v>
      </c>
      <c r="CC70" s="96">
        <f t="shared" si="85"/>
        <v>872479.62081542064</v>
      </c>
      <c r="CD70" s="96">
        <f t="shared" si="27"/>
        <v>687265.06675395602</v>
      </c>
      <c r="CE70" s="94">
        <f t="shared" si="28"/>
        <v>0</v>
      </c>
      <c r="CF70" s="92">
        <f t="shared" si="29"/>
        <v>0</v>
      </c>
      <c r="CG70" s="67"/>
      <c r="CH70" s="86">
        <f t="shared" si="30"/>
        <v>7145.0352182582237</v>
      </c>
      <c r="CI70" s="86">
        <f t="shared" si="86"/>
        <v>697205.95673470502</v>
      </c>
      <c r="CJ70" s="92">
        <f t="shared" si="63"/>
        <v>0</v>
      </c>
      <c r="CK70" s="92">
        <f t="shared" si="64"/>
        <v>0</v>
      </c>
      <c r="CL70" s="86">
        <f t="shared" si="65"/>
        <v>7145.0352182582237</v>
      </c>
      <c r="CM70" s="86">
        <f t="shared" si="87"/>
        <v>697205.95673470502</v>
      </c>
      <c r="CN70" s="97">
        <f t="shared" si="33"/>
        <v>1.0144644191326371</v>
      </c>
      <c r="CO70" s="554">
        <f t="shared" si="88"/>
        <v>61311</v>
      </c>
      <c r="CP70" s="153"/>
      <c r="CQ70" s="153">
        <f t="shared" si="89"/>
        <v>7359.39</v>
      </c>
      <c r="CR70" s="353"/>
      <c r="CS70" s="391" t="str">
        <f>VLOOKUP(A70,Characteristics!A63:M146,13,FALSE)</f>
        <v>CAH</v>
      </c>
      <c r="CT70" s="206">
        <f>VLOOKUP(A70,Characteristics!A63:C146,3,FALSE)</f>
        <v>1</v>
      </c>
      <c r="CU70" s="557" t="str">
        <f t="shared" si="66"/>
        <v/>
      </c>
      <c r="CV70" s="557">
        <f t="shared" si="67"/>
        <v>7359.39</v>
      </c>
    </row>
    <row r="71" spans="1:100" s="125" customFormat="1" x14ac:dyDescent="0.3">
      <c r="A71" s="199">
        <v>61312</v>
      </c>
      <c r="B71" s="139"/>
      <c r="C71" s="558">
        <f>VLOOKUP($A71,'Fed Bs Rt+IME+GME+VBP+RAA+HAC'!$B$5:$AG$88,19,FALSE)</f>
        <v>6859.53</v>
      </c>
      <c r="D71" s="458">
        <f>VLOOKUP($A71,'Fed Bs Rt+IME+GME+VBP+RAA+HAC'!$B$5:$AG$88,25,FALSE)</f>
        <v>0</v>
      </c>
      <c r="E71" s="458">
        <f>VLOOKUP($A71,'Fed Bs Rt+IME+GME+VBP+RAA+HAC'!$B$5:$AG$88,29,FALSE)</f>
        <v>0</v>
      </c>
      <c r="F71" s="458">
        <f>VLOOKUP($A71,'Fed Bs Rt+IME+GME+VBP+RAA+HAC'!$B$5:$AG$88,27,FALSE)</f>
        <v>0</v>
      </c>
      <c r="G71" s="458">
        <f>VLOOKUP($A71,'Fed Bs Rt+IME+GME+VBP+RAA+HAC'!$B$5:$AG$88,32,FALSE)</f>
        <v>0</v>
      </c>
      <c r="H71" s="205">
        <f t="shared" si="36"/>
        <v>0</v>
      </c>
      <c r="I71" s="458">
        <f>VLOOKUP(A71,'Fed Bs Rt+IME+GME+VBP+RAA+HAC'!$B$5:$U$88,20,FALSE)</f>
        <v>0</v>
      </c>
      <c r="J71" s="459">
        <f>IF(Characteristics!M64="CAH",+C71*J$4,0)</f>
        <v>1714.8824999999999</v>
      </c>
      <c r="K71" s="459">
        <f>IF(OR(Characteristics!M64="SCH",Characteristics!M64="MDH"),+C71*K$4,0)</f>
        <v>0</v>
      </c>
      <c r="L71" s="460">
        <f>IF(OR(J71&gt;0,K71&gt;0,M71&gt;0),0,IF(VLOOKUP(A71,Characteristics!A:H,8,FALSE)&lt;=L$6,L$4*C71,IF(VLOOKUP(A71,Characteristics!A:H,8,FALSE)&gt;=L$5,0,(VLOOKUP(A71,Characteristics!A:H,8,FALSE)-L$5)/(L$6-L$5)*L$4*C71)))</f>
        <v>0</v>
      </c>
      <c r="M71" s="541">
        <f>IF(VLOOKUP($A71,Characteristics!$A:$E,3,FALSE)=2,M$4*C71,0)</f>
        <v>0</v>
      </c>
      <c r="N71" s="461">
        <f>IF(VLOOKUP($A71,Characteristics!$A:$K,6,FALSE)&gt;=N$5,N$4*C71,IF(VLOOKUP($A71,Characteristics!$A:$K,6,FALSE)&lt;=N$6,0,(VLOOKUP($A71,Characteristics!$A:$K,6,FALSE)-N$6)/(N$5-N$6)*N$4*C71))</f>
        <v>0</v>
      </c>
      <c r="O71" s="461">
        <f>IF(VLOOKUP($A71,Characteristics!$A:$K,11,FALSE)&lt;=O$6,O$4*C71,IF(VLOOKUP($A71,Characteristics!$A:$K,11,FALSE)&gt;=O$5,0,(VLOOKUP($A71,Characteristics!$A:$K,11,FALSE)-O$5)/(O$6-O$5)*O$4*C71))</f>
        <v>1371.9059999999999</v>
      </c>
      <c r="P71" s="205">
        <f t="shared" si="37"/>
        <v>9946.3185000000012</v>
      </c>
      <c r="Q71" s="205"/>
      <c r="R71" s="86">
        <v>5627.7</v>
      </c>
      <c r="S71" s="87">
        <f t="shared" si="68"/>
        <v>5740.25</v>
      </c>
      <c r="T71" s="471"/>
      <c r="U71" s="86">
        <f t="shared" si="69"/>
        <v>690015.50467203022</v>
      </c>
      <c r="V71" s="89">
        <v>211.80920000000003</v>
      </c>
      <c r="W71" s="90">
        <v>0.56752268041237119</v>
      </c>
      <c r="X71" s="91">
        <f t="shared" si="70"/>
        <v>1195612.3826325075</v>
      </c>
      <c r="Y71" s="196"/>
      <c r="Z71" s="86">
        <f t="shared" si="39"/>
        <v>5740.25</v>
      </c>
      <c r="AA71" s="86">
        <f t="shared" si="40"/>
        <v>5166.2250000000004</v>
      </c>
      <c r="AB71" s="86">
        <f t="shared" si="41"/>
        <v>6314.2750000000005</v>
      </c>
      <c r="AC71" s="469"/>
      <c r="AD71" s="100"/>
      <c r="AE71" s="86">
        <f t="shared" si="42"/>
        <v>7965.4167001580081</v>
      </c>
      <c r="AF71" s="86">
        <f t="shared" si="71"/>
        <v>957495.06106572796</v>
      </c>
      <c r="AG71" s="92">
        <f t="shared" si="43"/>
        <v>0</v>
      </c>
      <c r="AH71" s="92">
        <f t="shared" si="44"/>
        <v>1</v>
      </c>
      <c r="AI71" s="86">
        <f t="shared" si="45"/>
        <v>6314.2750000000005</v>
      </c>
      <c r="AJ71" s="201"/>
      <c r="AK71" s="86">
        <f t="shared" si="72"/>
        <v>759017.05513923324</v>
      </c>
      <c r="AL71" s="93">
        <f t="shared" si="73"/>
        <v>1195612.3826325075</v>
      </c>
      <c r="AM71" s="93">
        <f t="shared" si="5"/>
        <v>690015.50467203022</v>
      </c>
      <c r="AN71" s="94">
        <f t="shared" si="46"/>
        <v>0</v>
      </c>
      <c r="AO71" s="95"/>
      <c r="AP71" s="86">
        <f t="shared" si="47"/>
        <v>7938.5013988126229</v>
      </c>
      <c r="AQ71" s="86">
        <f t="shared" si="74"/>
        <v>954259.66622382461</v>
      </c>
      <c r="AR71" s="92">
        <f t="shared" si="48"/>
        <v>0</v>
      </c>
      <c r="AS71" s="92">
        <f t="shared" si="49"/>
        <v>1</v>
      </c>
      <c r="AT71" s="86">
        <f t="shared" si="50"/>
        <v>6314.2750000000005</v>
      </c>
      <c r="AU71" s="86">
        <f t="shared" si="75"/>
        <v>759017.05513923324</v>
      </c>
      <c r="AV71" s="93">
        <f t="shared" si="76"/>
        <v>0</v>
      </c>
      <c r="AW71" s="93">
        <f t="shared" si="9"/>
        <v>-69001.550467203022</v>
      </c>
      <c r="AX71" s="94">
        <f t="shared" si="10"/>
        <v>1</v>
      </c>
      <c r="AY71" s="92">
        <f t="shared" si="11"/>
        <v>1</v>
      </c>
      <c r="AZ71" s="95"/>
      <c r="BA71" s="86">
        <f t="shared" si="51"/>
        <v>6314.2750000000005</v>
      </c>
      <c r="BB71" s="86">
        <f t="shared" si="77"/>
        <v>759017.05513923324</v>
      </c>
      <c r="BC71" s="92">
        <f t="shared" si="52"/>
        <v>0</v>
      </c>
      <c r="BD71" s="92">
        <f t="shared" si="53"/>
        <v>1</v>
      </c>
      <c r="BE71" s="86">
        <f t="shared" si="54"/>
        <v>6314.2750000000005</v>
      </c>
      <c r="BF71" s="86">
        <f t="shared" si="78"/>
        <v>759017.05513923324</v>
      </c>
      <c r="BG71" s="93">
        <f t="shared" si="79"/>
        <v>0</v>
      </c>
      <c r="BH71" s="93">
        <f t="shared" si="15"/>
        <v>-69001.550467203022</v>
      </c>
      <c r="BI71" s="94">
        <f t="shared" si="16"/>
        <v>1</v>
      </c>
      <c r="BJ71" s="92">
        <f t="shared" si="17"/>
        <v>0</v>
      </c>
      <c r="BK71" s="95"/>
      <c r="BL71" s="86">
        <f t="shared" si="55"/>
        <v>6314.2750000000005</v>
      </c>
      <c r="BM71" s="86">
        <f t="shared" si="80"/>
        <v>759017.05513923324</v>
      </c>
      <c r="BN71" s="92">
        <f t="shared" si="56"/>
        <v>0</v>
      </c>
      <c r="BO71" s="92">
        <f t="shared" si="57"/>
        <v>1</v>
      </c>
      <c r="BP71" s="86">
        <f t="shared" si="58"/>
        <v>6314.2750000000005</v>
      </c>
      <c r="BQ71" s="86">
        <f t="shared" si="81"/>
        <v>759017.05513923324</v>
      </c>
      <c r="BR71" s="93">
        <f t="shared" si="82"/>
        <v>0</v>
      </c>
      <c r="BS71" s="93">
        <f t="shared" si="21"/>
        <v>-69001.550467203022</v>
      </c>
      <c r="BT71" s="94">
        <f t="shared" si="22"/>
        <v>1</v>
      </c>
      <c r="BU71" s="92">
        <f t="shared" si="23"/>
        <v>0</v>
      </c>
      <c r="BV71" s="95"/>
      <c r="BW71" s="86">
        <f t="shared" si="59"/>
        <v>6314.2750000000005</v>
      </c>
      <c r="BX71" s="86">
        <f t="shared" si="83"/>
        <v>759017.05513923324</v>
      </c>
      <c r="BY71" s="92">
        <f t="shared" si="60"/>
        <v>0</v>
      </c>
      <c r="BZ71" s="92">
        <f t="shared" si="61"/>
        <v>1</v>
      </c>
      <c r="CA71" s="86">
        <f t="shared" si="62"/>
        <v>6314.2750000000005</v>
      </c>
      <c r="CB71" s="86">
        <f t="shared" si="84"/>
        <v>759017.05513923324</v>
      </c>
      <c r="CC71" s="96">
        <f t="shared" si="85"/>
        <v>0</v>
      </c>
      <c r="CD71" s="96">
        <f t="shared" si="27"/>
        <v>-69001.550467203022</v>
      </c>
      <c r="CE71" s="94">
        <f t="shared" si="28"/>
        <v>1</v>
      </c>
      <c r="CF71" s="92">
        <f t="shared" si="29"/>
        <v>0</v>
      </c>
      <c r="CG71" s="67"/>
      <c r="CH71" s="86">
        <f t="shared" si="30"/>
        <v>7948.1885196349685</v>
      </c>
      <c r="CI71" s="86">
        <f t="shared" si="86"/>
        <v>955424.12135435897</v>
      </c>
      <c r="CJ71" s="92">
        <f t="shared" si="63"/>
        <v>0</v>
      </c>
      <c r="CK71" s="92">
        <f t="shared" si="64"/>
        <v>1</v>
      </c>
      <c r="CL71" s="86">
        <f t="shared" si="65"/>
        <v>6314.2750000000005</v>
      </c>
      <c r="CM71" s="86">
        <f t="shared" si="87"/>
        <v>759017.05513923324</v>
      </c>
      <c r="CN71" s="97">
        <f t="shared" si="33"/>
        <v>1.1000000000000001</v>
      </c>
      <c r="CO71" s="554">
        <f t="shared" si="88"/>
        <v>61312</v>
      </c>
      <c r="CP71" s="153"/>
      <c r="CQ71" s="153">
        <f t="shared" si="89"/>
        <v>6503.7</v>
      </c>
      <c r="CR71" s="353"/>
      <c r="CS71" s="391" t="str">
        <f>VLOOKUP(A71,Characteristics!A64:M147,13,FALSE)</f>
        <v>CAH</v>
      </c>
      <c r="CT71" s="206">
        <f>VLOOKUP(A71,Characteristics!A64:C147,3,FALSE)</f>
        <v>0</v>
      </c>
      <c r="CU71" s="557">
        <f t="shared" si="66"/>
        <v>6503.7</v>
      </c>
      <c r="CV71" s="557" t="str">
        <f t="shared" si="67"/>
        <v/>
      </c>
    </row>
    <row r="72" spans="1:100" s="125" customFormat="1" x14ac:dyDescent="0.3">
      <c r="A72" s="199">
        <v>61313</v>
      </c>
      <c r="B72" s="139"/>
      <c r="C72" s="558">
        <f>VLOOKUP($A72,'Fed Bs Rt+IME+GME+VBP+RAA+HAC'!$B$5:$AG$88,19,FALSE)</f>
        <v>6859.53</v>
      </c>
      <c r="D72" s="458">
        <f>VLOOKUP($A72,'Fed Bs Rt+IME+GME+VBP+RAA+HAC'!$B$5:$AG$88,25,FALSE)</f>
        <v>0</v>
      </c>
      <c r="E72" s="458">
        <f>VLOOKUP($A72,'Fed Bs Rt+IME+GME+VBP+RAA+HAC'!$B$5:$AG$88,29,FALSE)</f>
        <v>0</v>
      </c>
      <c r="F72" s="458">
        <f>VLOOKUP($A72,'Fed Bs Rt+IME+GME+VBP+RAA+HAC'!$B$5:$AG$88,27,FALSE)</f>
        <v>0</v>
      </c>
      <c r="G72" s="458">
        <f>VLOOKUP($A72,'Fed Bs Rt+IME+GME+VBP+RAA+HAC'!$B$5:$AG$88,32,FALSE)</f>
        <v>0</v>
      </c>
      <c r="H72" s="205">
        <f t="shared" si="36"/>
        <v>0</v>
      </c>
      <c r="I72" s="458">
        <f>VLOOKUP(A72,'Fed Bs Rt+IME+GME+VBP+RAA+HAC'!$B$5:$U$88,20,FALSE)</f>
        <v>0</v>
      </c>
      <c r="J72" s="459">
        <f>IF(Characteristics!M65="CAH",+C72*J$4,0)</f>
        <v>1714.8824999999999</v>
      </c>
      <c r="K72" s="459">
        <f>IF(OR(Characteristics!M65="SCH",Characteristics!M65="MDH"),+C72*K$4,0)</f>
        <v>0</v>
      </c>
      <c r="L72" s="460">
        <f>IF(OR(J72&gt;0,K72&gt;0,M72&gt;0),0,IF(VLOOKUP(A72,Characteristics!A:H,8,FALSE)&lt;=L$6,L$4*C72,IF(VLOOKUP(A72,Characteristics!A:H,8,FALSE)&gt;=L$5,0,(VLOOKUP(A72,Characteristics!A:H,8,FALSE)-L$5)/(L$6-L$5)*L$4*C72)))</f>
        <v>0</v>
      </c>
      <c r="M72" s="541">
        <f>IF(VLOOKUP($A72,Characteristics!$A:$E,3,FALSE)=2,M$4*C72,0)</f>
        <v>0</v>
      </c>
      <c r="N72" s="461">
        <f>IF(VLOOKUP($A72,Characteristics!$A:$K,6,FALSE)&gt;=N$5,N$4*C72,IF(VLOOKUP($A72,Characteristics!$A:$K,6,FALSE)&lt;=N$6,0,(VLOOKUP($A72,Characteristics!$A:$K,6,FALSE)-N$6)/(N$5-N$6)*N$4*C72))</f>
        <v>0</v>
      </c>
      <c r="O72" s="461">
        <f>IF(VLOOKUP($A72,Characteristics!$A:$K,11,FALSE)&lt;=O$6,O$4*C72,IF(VLOOKUP($A72,Characteristics!$A:$K,11,FALSE)&gt;=O$5,0,(VLOOKUP($A72,Characteristics!$A:$K,11,FALSE)-O$5)/(O$6-O$5)*O$4*C72))</f>
        <v>0</v>
      </c>
      <c r="P72" s="205">
        <f t="shared" si="37"/>
        <v>8574.4125000000004</v>
      </c>
      <c r="Q72" s="205"/>
      <c r="R72" s="86">
        <v>6951.91</v>
      </c>
      <c r="S72" s="87">
        <f t="shared" si="68"/>
        <v>7090.95</v>
      </c>
      <c r="T72" s="471"/>
      <c r="U72" s="86">
        <f t="shared" si="69"/>
        <v>171737.001795588</v>
      </c>
      <c r="V72" s="89">
        <v>42.580200000000005</v>
      </c>
      <c r="W72" s="90">
        <v>0.56878974358974355</v>
      </c>
      <c r="X72" s="91">
        <f t="shared" si="70"/>
        <v>207665.24864913902</v>
      </c>
      <c r="Y72" s="196"/>
      <c r="Z72" s="86">
        <f t="shared" si="39"/>
        <v>7090.95</v>
      </c>
      <c r="AA72" s="86">
        <f t="shared" si="40"/>
        <v>6381.8549999999996</v>
      </c>
      <c r="AB72" s="86">
        <f t="shared" si="41"/>
        <v>7800.0450000000001</v>
      </c>
      <c r="AC72" s="469"/>
      <c r="AD72" s="100"/>
      <c r="AE72" s="86">
        <f t="shared" si="42"/>
        <v>6866.7385346189722</v>
      </c>
      <c r="AF72" s="86">
        <f t="shared" si="71"/>
        <v>166306.78372428121</v>
      </c>
      <c r="AG72" s="92">
        <f t="shared" si="43"/>
        <v>0</v>
      </c>
      <c r="AH72" s="92">
        <f t="shared" si="44"/>
        <v>0</v>
      </c>
      <c r="AI72" s="86">
        <f t="shared" si="45"/>
        <v>6866.7385346189722</v>
      </c>
      <c r="AJ72" s="201"/>
      <c r="AK72" s="86">
        <f t="shared" si="72"/>
        <v>166306.78372428121</v>
      </c>
      <c r="AL72" s="93">
        <f t="shared" si="73"/>
        <v>207665.24864913902</v>
      </c>
      <c r="AM72" s="93">
        <f t="shared" si="5"/>
        <v>171737.001795588</v>
      </c>
      <c r="AN72" s="94">
        <f t="shared" si="46"/>
        <v>0</v>
      </c>
      <c r="AO72" s="95"/>
      <c r="AP72" s="86">
        <f t="shared" si="47"/>
        <v>6843.5356886315703</v>
      </c>
      <c r="AQ72" s="86">
        <f t="shared" si="74"/>
        <v>165744.8297966691</v>
      </c>
      <c r="AR72" s="92">
        <f t="shared" si="48"/>
        <v>0</v>
      </c>
      <c r="AS72" s="92">
        <f t="shared" si="49"/>
        <v>0</v>
      </c>
      <c r="AT72" s="86">
        <f t="shared" si="50"/>
        <v>6843.5356886315703</v>
      </c>
      <c r="AU72" s="86">
        <f t="shared" si="75"/>
        <v>165744.8297966691</v>
      </c>
      <c r="AV72" s="93">
        <f t="shared" si="76"/>
        <v>207665.24864913902</v>
      </c>
      <c r="AW72" s="93">
        <f t="shared" si="9"/>
        <v>171737.001795588</v>
      </c>
      <c r="AX72" s="94">
        <f t="shared" si="10"/>
        <v>0</v>
      </c>
      <c r="AY72" s="92">
        <f t="shared" si="11"/>
        <v>0</v>
      </c>
      <c r="AZ72" s="95"/>
      <c r="BA72" s="86">
        <f t="shared" si="51"/>
        <v>6851.8865683926606</v>
      </c>
      <c r="BB72" s="86">
        <f t="shared" si="77"/>
        <v>165947.08126544618</v>
      </c>
      <c r="BC72" s="92">
        <f t="shared" si="52"/>
        <v>0</v>
      </c>
      <c r="BD72" s="92">
        <f t="shared" si="53"/>
        <v>0</v>
      </c>
      <c r="BE72" s="86">
        <f t="shared" si="54"/>
        <v>6851.8865683926606</v>
      </c>
      <c r="BF72" s="86">
        <f t="shared" si="78"/>
        <v>165947.08126544618</v>
      </c>
      <c r="BG72" s="93">
        <f t="shared" si="79"/>
        <v>207665.24864913902</v>
      </c>
      <c r="BH72" s="93">
        <f t="shared" si="15"/>
        <v>171737.001795588</v>
      </c>
      <c r="BI72" s="94">
        <f t="shared" si="16"/>
        <v>0</v>
      </c>
      <c r="BJ72" s="92">
        <f t="shared" si="17"/>
        <v>0</v>
      </c>
      <c r="BK72" s="95"/>
      <c r="BL72" s="86">
        <f t="shared" si="55"/>
        <v>6851.8866548577307</v>
      </c>
      <c r="BM72" s="86">
        <f t="shared" si="80"/>
        <v>165947.08335955939</v>
      </c>
      <c r="BN72" s="92">
        <f t="shared" si="56"/>
        <v>0</v>
      </c>
      <c r="BO72" s="92">
        <f t="shared" si="57"/>
        <v>0</v>
      </c>
      <c r="BP72" s="86">
        <f t="shared" si="58"/>
        <v>6851.8866548577307</v>
      </c>
      <c r="BQ72" s="86">
        <f t="shared" si="81"/>
        <v>165947.08335955939</v>
      </c>
      <c r="BR72" s="93">
        <f t="shared" si="82"/>
        <v>207665.24864913902</v>
      </c>
      <c r="BS72" s="93">
        <f t="shared" si="21"/>
        <v>171737.001795588</v>
      </c>
      <c r="BT72" s="94">
        <f t="shared" si="22"/>
        <v>0</v>
      </c>
      <c r="BU72" s="92">
        <f t="shared" si="23"/>
        <v>0</v>
      </c>
      <c r="BV72" s="95"/>
      <c r="BW72" s="86">
        <f t="shared" si="59"/>
        <v>6851.8866548577307</v>
      </c>
      <c r="BX72" s="86">
        <f t="shared" si="83"/>
        <v>165947.08335955939</v>
      </c>
      <c r="BY72" s="92">
        <f t="shared" si="60"/>
        <v>0</v>
      </c>
      <c r="BZ72" s="92">
        <f t="shared" si="61"/>
        <v>0</v>
      </c>
      <c r="CA72" s="86">
        <f t="shared" si="62"/>
        <v>6851.8866548577307</v>
      </c>
      <c r="CB72" s="86">
        <f t="shared" si="84"/>
        <v>165947.08335955939</v>
      </c>
      <c r="CC72" s="96">
        <f t="shared" si="85"/>
        <v>207665.24864913902</v>
      </c>
      <c r="CD72" s="96">
        <f t="shared" si="27"/>
        <v>171737.001795588</v>
      </c>
      <c r="CE72" s="94">
        <f t="shared" si="28"/>
        <v>0</v>
      </c>
      <c r="CF72" s="92">
        <f t="shared" si="29"/>
        <v>0</v>
      </c>
      <c r="CG72" s="67"/>
      <c r="CH72" s="86">
        <f t="shared" si="30"/>
        <v>6851.8866548577307</v>
      </c>
      <c r="CI72" s="86">
        <f t="shared" si="86"/>
        <v>165947.08335955939</v>
      </c>
      <c r="CJ72" s="92">
        <f t="shared" si="63"/>
        <v>0</v>
      </c>
      <c r="CK72" s="92">
        <f t="shared" si="64"/>
        <v>0</v>
      </c>
      <c r="CL72" s="86">
        <f t="shared" si="65"/>
        <v>6851.8866548577307</v>
      </c>
      <c r="CM72" s="86">
        <f t="shared" si="87"/>
        <v>165947.08335955939</v>
      </c>
      <c r="CN72" s="97">
        <f t="shared" si="33"/>
        <v>0.96628613300865618</v>
      </c>
      <c r="CO72" s="554">
        <f t="shared" si="88"/>
        <v>61313</v>
      </c>
      <c r="CP72" s="153"/>
      <c r="CQ72" s="153">
        <f t="shared" si="89"/>
        <v>7057.44</v>
      </c>
      <c r="CR72" s="353"/>
      <c r="CS72" s="391" t="str">
        <f>VLOOKUP(A72,Characteristics!A65:M148,13,FALSE)</f>
        <v>CAH</v>
      </c>
      <c r="CT72" s="206">
        <f>VLOOKUP(A72,Characteristics!A65:C148,3,FALSE)</f>
        <v>1</v>
      </c>
      <c r="CU72" s="557" t="str">
        <f t="shared" si="66"/>
        <v/>
      </c>
      <c r="CV72" s="557">
        <f t="shared" si="67"/>
        <v>7057.44</v>
      </c>
    </row>
    <row r="73" spans="1:100" s="125" customFormat="1" x14ac:dyDescent="0.3">
      <c r="A73" s="199">
        <v>61314</v>
      </c>
      <c r="B73" s="139"/>
      <c r="C73" s="558">
        <f>VLOOKUP($A73,'Fed Bs Rt+IME+GME+VBP+RAA+HAC'!$B$5:$AG$88,19,FALSE)</f>
        <v>6859.53</v>
      </c>
      <c r="D73" s="458">
        <f>VLOOKUP($A73,'Fed Bs Rt+IME+GME+VBP+RAA+HAC'!$B$5:$AG$88,25,FALSE)</f>
        <v>0</v>
      </c>
      <c r="E73" s="458">
        <f>VLOOKUP($A73,'Fed Bs Rt+IME+GME+VBP+RAA+HAC'!$B$5:$AG$88,29,FALSE)</f>
        <v>0</v>
      </c>
      <c r="F73" s="458">
        <f>VLOOKUP($A73,'Fed Bs Rt+IME+GME+VBP+RAA+HAC'!$B$5:$AG$88,27,FALSE)</f>
        <v>0</v>
      </c>
      <c r="G73" s="458">
        <f>VLOOKUP($A73,'Fed Bs Rt+IME+GME+VBP+RAA+HAC'!$B$5:$AG$88,32,FALSE)</f>
        <v>0</v>
      </c>
      <c r="H73" s="205">
        <f t="shared" si="36"/>
        <v>0</v>
      </c>
      <c r="I73" s="458">
        <f>VLOOKUP(A73,'Fed Bs Rt+IME+GME+VBP+RAA+HAC'!$B$5:$U$88,20,FALSE)</f>
        <v>0</v>
      </c>
      <c r="J73" s="459">
        <f>IF(Characteristics!M66="CAH",+C73*J$4,0)</f>
        <v>1714.8824999999999</v>
      </c>
      <c r="K73" s="459">
        <f>IF(OR(Characteristics!M66="SCH",Characteristics!M66="MDH"),+C73*K$4,0)</f>
        <v>0</v>
      </c>
      <c r="L73" s="460">
        <f>IF(OR(J73&gt;0,K73&gt;0,M73&gt;0),0,IF(VLOOKUP(A73,Characteristics!A:H,8,FALSE)&lt;=L$6,L$4*C73,IF(VLOOKUP(A73,Characteristics!A:H,8,FALSE)&gt;=L$5,0,(VLOOKUP(A73,Characteristics!A:H,8,FALSE)-L$5)/(L$6-L$5)*L$4*C73)))</f>
        <v>0</v>
      </c>
      <c r="M73" s="541">
        <f>IF(VLOOKUP($A73,Characteristics!$A:$E,3,FALSE)=2,M$4*C73,0)</f>
        <v>0</v>
      </c>
      <c r="N73" s="461">
        <f>IF(VLOOKUP($A73,Characteristics!$A:$K,6,FALSE)&gt;=N$5,N$4*C73,IF(VLOOKUP($A73,Characteristics!$A:$K,6,FALSE)&lt;=N$6,0,(VLOOKUP($A73,Characteristics!$A:$K,6,FALSE)-N$6)/(N$5-N$6)*N$4*C73))</f>
        <v>0</v>
      </c>
      <c r="O73" s="461">
        <f>IF(VLOOKUP($A73,Characteristics!$A:$K,11,FALSE)&lt;=O$6,O$4*C73,IF(VLOOKUP($A73,Characteristics!$A:$K,11,FALSE)&gt;=O$5,0,(VLOOKUP($A73,Characteristics!$A:$K,11,FALSE)-O$5)/(O$6-O$5)*O$4*C73))</f>
        <v>812.76841922326355</v>
      </c>
      <c r="P73" s="205">
        <f t="shared" si="37"/>
        <v>9387.1809192232631</v>
      </c>
      <c r="Q73" s="205"/>
      <c r="R73" s="86">
        <v>6941.69</v>
      </c>
      <c r="S73" s="87">
        <f t="shared" ref="S73:S92" si="90">ROUND((R73*S$7),2)</f>
        <v>7080.52</v>
      </c>
      <c r="T73" s="471"/>
      <c r="U73" s="86">
        <f t="shared" ref="U73:U92" si="91">S73*V73*W73</f>
        <v>1400628.8043007785</v>
      </c>
      <c r="V73" s="89">
        <v>160.49460000000002</v>
      </c>
      <c r="W73" s="90">
        <v>1.2325299319727892</v>
      </c>
      <c r="X73" s="91">
        <f t="shared" ref="X73:X92" si="92">P73*V73*W73</f>
        <v>1856919.5463958527</v>
      </c>
      <c r="Y73" s="196"/>
      <c r="Z73" s="86">
        <f t="shared" si="39"/>
        <v>7080.52</v>
      </c>
      <c r="AA73" s="86">
        <f t="shared" si="40"/>
        <v>6372.4680000000008</v>
      </c>
      <c r="AB73" s="86">
        <f t="shared" si="41"/>
        <v>7788.572000000001</v>
      </c>
      <c r="AC73" s="469"/>
      <c r="AD73" s="100"/>
      <c r="AE73" s="86">
        <f t="shared" si="42"/>
        <v>7517.6365668750277</v>
      </c>
      <c r="AF73" s="86">
        <f t="shared" ref="AF73:AF92" si="93">AE73*$V73*$W73</f>
        <v>1487096.7550165779</v>
      </c>
      <c r="AG73" s="92">
        <f t="shared" si="43"/>
        <v>0</v>
      </c>
      <c r="AH73" s="92">
        <f t="shared" si="44"/>
        <v>0</v>
      </c>
      <c r="AI73" s="86">
        <f t="shared" si="45"/>
        <v>7517.6365668750277</v>
      </c>
      <c r="AJ73" s="201"/>
      <c r="AK73" s="86">
        <f t="shared" ref="AK73:AK92" si="94">AI73*$V73*$W73</f>
        <v>1487096.7550165779</v>
      </c>
      <c r="AL73" s="93">
        <f t="shared" ref="AL73:AL92" si="95">IF(OR(AND(AG73=1,AK$93&gt;$U$93),AND(AH73=1,AK$93&lt;$U$93)),0,$X73)</f>
        <v>1856919.5463958527</v>
      </c>
      <c r="AM73" s="93">
        <f t="shared" ref="AM73:AM89" si="96">IF(OR(AND(AG73=1,AK$93&gt;$U$93),AND(AH73=1,AK$93&lt;$U$93)),$U73-AK73,$U73)</f>
        <v>1400628.8043007785</v>
      </c>
      <c r="AN73" s="94">
        <f t="shared" si="46"/>
        <v>0</v>
      </c>
      <c r="AO73" s="95"/>
      <c r="AP73" s="86">
        <f t="shared" si="47"/>
        <v>7492.2343234997979</v>
      </c>
      <c r="AQ73" s="86">
        <f t="shared" ref="AQ73:AQ92" si="97">AP73*$V73*$W73</f>
        <v>1482071.8255247883</v>
      </c>
      <c r="AR73" s="92">
        <f t="shared" si="48"/>
        <v>0</v>
      </c>
      <c r="AS73" s="92">
        <f t="shared" si="49"/>
        <v>0</v>
      </c>
      <c r="AT73" s="86">
        <f t="shared" si="50"/>
        <v>7492.2343234997979</v>
      </c>
      <c r="AU73" s="86">
        <f t="shared" ref="AU73:AU92" si="98">AT73*$V73*$W73</f>
        <v>1482071.8255247883</v>
      </c>
      <c r="AV73" s="93">
        <f t="shared" ref="AV73:AV92" si="99">IF(OR(AND(AR73=1,AU$93&gt;$U$93),AND(AS73=1,AU$93&lt;$U$93),AN73=1),0,$X73)</f>
        <v>1856919.5463958527</v>
      </c>
      <c r="AW73" s="93">
        <f t="shared" ref="AW73:AW91" si="100">IF(OR(AND(AR73=1,AU$93&gt;$U$93),AND(AS73=1,AU$93&lt;$U$93),AN73=1),$U73-AU73,$U73)</f>
        <v>1400628.8043007785</v>
      </c>
      <c r="AX73" s="94">
        <f t="shared" ref="AX73:AX90" si="101">IF(OR(AND(AR73=1,AU$93&gt;$U$93),AND(AS73=1,AU$93&lt;$U$93),AN73=1),1,0)</f>
        <v>0</v>
      </c>
      <c r="AY73" s="92">
        <f t="shared" si="11"/>
        <v>0</v>
      </c>
      <c r="AZ73" s="95"/>
      <c r="BA73" s="86">
        <f t="shared" si="51"/>
        <v>7501.3767830154829</v>
      </c>
      <c r="BB73" s="86">
        <f t="shared" ref="BB73:BB92" si="102">BA73*$V73*$W73</f>
        <v>1483880.3356539628</v>
      </c>
      <c r="BC73" s="92">
        <f t="shared" si="52"/>
        <v>0</v>
      </c>
      <c r="BD73" s="92">
        <f t="shared" si="53"/>
        <v>0</v>
      </c>
      <c r="BE73" s="86">
        <f t="shared" si="54"/>
        <v>7501.3767830154829</v>
      </c>
      <c r="BF73" s="86">
        <f t="shared" ref="BF73:BF92" si="103">BE73*$V73*$W73</f>
        <v>1483880.3356539628</v>
      </c>
      <c r="BG73" s="93">
        <f t="shared" ref="BG73:BG92" si="104">IF(OR(AND(BC73=1,BF$93&gt;$U$93),AND(BD73=1,BF$93&lt;$U$93),AX73=1),0,$X73)</f>
        <v>1856919.5463958527</v>
      </c>
      <c r="BH73" s="93">
        <f t="shared" ref="BH73:BH91" si="105">IF(OR(AND(BC73=1,BF$93&gt;$U$93),AND(BD73=1,BF$93&lt;$U$93),AX73=1),$U73-BF73,$U73)</f>
        <v>1400628.8043007785</v>
      </c>
      <c r="BI73" s="94">
        <f t="shared" ref="BI73:BI91" si="106">IF(OR(AND(BC73=1,BF$93&gt;$U$93),AND(BD73=1,BF$93&lt;$U$93),AX73=1),1,0)</f>
        <v>0</v>
      </c>
      <c r="BJ73" s="92">
        <f t="shared" ref="BJ73:BJ91" si="107">IF(BI73=AX73,0,1)</f>
        <v>0</v>
      </c>
      <c r="BK73" s="95"/>
      <c r="BL73" s="86">
        <f t="shared" si="55"/>
        <v>7501.3768776765755</v>
      </c>
      <c r="BM73" s="86">
        <f t="shared" ref="BM73:BM92" si="108">BL73*$V73*$W73</f>
        <v>1483880.35437929</v>
      </c>
      <c r="BN73" s="92">
        <f t="shared" si="56"/>
        <v>0</v>
      </c>
      <c r="BO73" s="92">
        <f t="shared" si="57"/>
        <v>0</v>
      </c>
      <c r="BP73" s="86">
        <f t="shared" si="58"/>
        <v>7501.3768776765755</v>
      </c>
      <c r="BQ73" s="86">
        <f t="shared" ref="BQ73:BQ92" si="109">BP73*$V73*$W73</f>
        <v>1483880.35437929</v>
      </c>
      <c r="BR73" s="93">
        <f t="shared" ref="BR73:BR92" si="110">IF(OR(AND(BN73=1,BQ$93&gt;$U$93),AND(BO73=1,BQ$93&lt;$U$93),BI73=1),0,$X73)</f>
        <v>1856919.5463958527</v>
      </c>
      <c r="BS73" s="93">
        <f t="shared" ref="BS73:BS92" si="111">IF(OR(AND(BN73=1,BQ$93&gt;$U$93),AND(BO73=1,BQ$93&lt;$U$93),BI73=1),$U73-BQ73,$U73)</f>
        <v>1400628.8043007785</v>
      </c>
      <c r="BT73" s="94">
        <f t="shared" ref="BT73:BT92" si="112">IF(OR(AND(BN73=1,BQ$93&gt;$U$93),AND(BO73=1,BQ$93&lt;$U$93),BI73=1),1,0)</f>
        <v>0</v>
      </c>
      <c r="BU73" s="92">
        <f t="shared" ref="BU73:BU92" si="113">IF(BT73=BI73,0,1)</f>
        <v>0</v>
      </c>
      <c r="BV73" s="95"/>
      <c r="BW73" s="86">
        <f t="shared" si="59"/>
        <v>7501.3768776765755</v>
      </c>
      <c r="BX73" s="86">
        <f t="shared" ref="BX73:BX92" si="114">BW73*$V73*$W73</f>
        <v>1483880.35437929</v>
      </c>
      <c r="BY73" s="92">
        <f t="shared" si="60"/>
        <v>0</v>
      </c>
      <c r="BZ73" s="92">
        <f t="shared" si="61"/>
        <v>0</v>
      </c>
      <c r="CA73" s="86">
        <f t="shared" si="62"/>
        <v>7501.3768776765755</v>
      </c>
      <c r="CB73" s="86">
        <f t="shared" ref="CB73:CB92" si="115">CA73*$V73*$W73</f>
        <v>1483880.35437929</v>
      </c>
      <c r="CC73" s="96">
        <f t="shared" ref="CC73:CC92" si="116">IF(OR(AND(BY73=1,CB$93&gt;$U$93),AND(BZ73=1,CB$93&lt;$U$93),BT73=1),0,$X73)</f>
        <v>1856919.5463958527</v>
      </c>
      <c r="CD73" s="96">
        <f t="shared" ref="CD73:CD92" si="117">IF(OR(AND(BY73=1,CB$93&gt;$U$93),AND(BZ73=1,CB$93&lt;$U$93),BT73=1),$U73-CB73,$U73)</f>
        <v>1400628.8043007785</v>
      </c>
      <c r="CE73" s="94">
        <f t="shared" ref="CE73:CE92" si="118">IF(OR(AND(BY73=1,CB$93&gt;$U$93),AND(BZ73=1,CB$93&lt;$U$93),BT73=1),1,0)</f>
        <v>0</v>
      </c>
      <c r="CF73" s="92">
        <f t="shared" ref="CF73:CF92" si="119">IF(CE73=BT73,0,1)</f>
        <v>0</v>
      </c>
      <c r="CG73" s="67"/>
      <c r="CH73" s="86">
        <f t="shared" ref="CH73:CH91" si="120">$P73*CH$6</f>
        <v>7501.3768776765755</v>
      </c>
      <c r="CI73" s="86">
        <f t="shared" ref="CI73:CI92" si="121">CH73*$V73*$W73</f>
        <v>1483880.35437929</v>
      </c>
      <c r="CJ73" s="92">
        <f t="shared" si="63"/>
        <v>0</v>
      </c>
      <c r="CK73" s="92">
        <f t="shared" si="64"/>
        <v>0</v>
      </c>
      <c r="CL73" s="86">
        <f t="shared" si="65"/>
        <v>7501.3768776765755</v>
      </c>
      <c r="CM73" s="86">
        <f t="shared" ref="CM73:CM92" si="122">CL73*$V73*$W73</f>
        <v>1483880.35437929</v>
      </c>
      <c r="CN73" s="97">
        <f t="shared" ref="CN73:CN92" si="123">CL73/Z73</f>
        <v>1.0594386962647624</v>
      </c>
      <c r="CO73" s="554">
        <f t="shared" ref="CO73:CO92" si="124">A73</f>
        <v>61314</v>
      </c>
      <c r="CP73" s="153"/>
      <c r="CQ73" s="153">
        <f t="shared" ref="CQ73:CQ92" si="125">ROUND(CL73*CQ$7,2)</f>
        <v>7726.42</v>
      </c>
      <c r="CR73" s="353"/>
      <c r="CS73" s="391" t="str">
        <f>VLOOKUP(A73,Characteristics!A66:M149,13,FALSE)</f>
        <v>CAH</v>
      </c>
      <c r="CT73" s="206">
        <f>VLOOKUP(A73,Characteristics!A66:C149,3,FALSE)</f>
        <v>1</v>
      </c>
      <c r="CU73" s="557" t="str">
        <f t="shared" si="66"/>
        <v/>
      </c>
      <c r="CV73" s="557">
        <f t="shared" si="67"/>
        <v>7726.42</v>
      </c>
    </row>
    <row r="74" spans="1:100" s="125" customFormat="1" x14ac:dyDescent="0.3">
      <c r="A74" s="199">
        <v>61315</v>
      </c>
      <c r="B74" s="139"/>
      <c r="C74" s="558">
        <f>VLOOKUP($A74,'Fed Bs Rt+IME+GME+VBP+RAA+HAC'!$B$5:$AG$88,19,FALSE)</f>
        <v>6859.53</v>
      </c>
      <c r="D74" s="458">
        <f>VLOOKUP($A74,'Fed Bs Rt+IME+GME+VBP+RAA+HAC'!$B$5:$AG$88,25,FALSE)</f>
        <v>0</v>
      </c>
      <c r="E74" s="458">
        <f>VLOOKUP($A74,'Fed Bs Rt+IME+GME+VBP+RAA+HAC'!$B$5:$AG$88,29,FALSE)</f>
        <v>0</v>
      </c>
      <c r="F74" s="458">
        <f>VLOOKUP($A74,'Fed Bs Rt+IME+GME+VBP+RAA+HAC'!$B$5:$AG$88,27,FALSE)</f>
        <v>0</v>
      </c>
      <c r="G74" s="458">
        <f>VLOOKUP($A74,'Fed Bs Rt+IME+GME+VBP+RAA+HAC'!$B$5:$AG$88,32,FALSE)</f>
        <v>0</v>
      </c>
      <c r="H74" s="205">
        <f t="shared" ref="H74:H92" si="126">SUM(D74:G74)</f>
        <v>0</v>
      </c>
      <c r="I74" s="458">
        <f>VLOOKUP(A74,'Fed Bs Rt+IME+GME+VBP+RAA+HAC'!$B$5:$U$88,20,FALSE)</f>
        <v>0</v>
      </c>
      <c r="J74" s="459">
        <f>IF(Characteristics!M67="CAH",+C74*J$4,0)</f>
        <v>1714.8824999999999</v>
      </c>
      <c r="K74" s="459">
        <f>IF(OR(Characteristics!M67="SCH",Characteristics!M67="MDH"),+C74*K$4,0)</f>
        <v>0</v>
      </c>
      <c r="L74" s="460">
        <f>IF(OR(J74&gt;0,K74&gt;0,M74&gt;0),0,IF(VLOOKUP(A74,Characteristics!A:H,8,FALSE)&lt;=L$6,L$4*C74,IF(VLOOKUP(A74,Characteristics!A:H,8,FALSE)&gt;=L$5,0,(VLOOKUP(A74,Characteristics!A:H,8,FALSE)-L$5)/(L$6-L$5)*L$4*C74)))</f>
        <v>0</v>
      </c>
      <c r="M74" s="541">
        <f>IF(VLOOKUP($A74,Characteristics!$A:$E,3,FALSE)=2,M$4*C74,0)</f>
        <v>0</v>
      </c>
      <c r="N74" s="461">
        <f>IF(VLOOKUP($A74,Characteristics!$A:$K,6,FALSE)&gt;=N$5,N$4*C74,IF(VLOOKUP($A74,Characteristics!$A:$K,6,FALSE)&lt;=N$6,0,(VLOOKUP($A74,Characteristics!$A:$K,6,FALSE)-N$6)/(N$5-N$6)*N$4*C74))</f>
        <v>0</v>
      </c>
      <c r="O74" s="461">
        <f>IF(VLOOKUP($A74,Characteristics!$A:$K,11,FALSE)&lt;=O$6,O$4*C74,IF(VLOOKUP($A74,Characteristics!$A:$K,11,FALSE)&gt;=O$5,0,(VLOOKUP($A74,Characteristics!$A:$K,11,FALSE)-O$5)/(O$6-O$5)*O$4*C74))</f>
        <v>0</v>
      </c>
      <c r="P74" s="205">
        <f t="shared" ref="P74:P92" si="127">SUM(C74,H74:O74)</f>
        <v>8574.4125000000004</v>
      </c>
      <c r="Q74" s="205"/>
      <c r="R74" s="86">
        <v>6905.06</v>
      </c>
      <c r="S74" s="87">
        <f t="shared" si="90"/>
        <v>7043.16</v>
      </c>
      <c r="T74" s="471"/>
      <c r="U74" s="86">
        <f t="shared" si="91"/>
        <v>240812.10588001681</v>
      </c>
      <c r="V74" s="89">
        <v>43.672000000000004</v>
      </c>
      <c r="W74" s="90">
        <v>0.78290249999999995</v>
      </c>
      <c r="X74" s="91">
        <f t="shared" si="92"/>
        <v>293167.03451418679</v>
      </c>
      <c r="Y74" s="196"/>
      <c r="Z74" s="86">
        <f t="shared" ref="Z74:Z92" si="128">S74</f>
        <v>7043.16</v>
      </c>
      <c r="AA74" s="86">
        <f t="shared" ref="AA74:AA92" si="129">Z74*(1-$AA$7)</f>
        <v>6338.8440000000001</v>
      </c>
      <c r="AB74" s="86">
        <f t="shared" ref="AB74:AB92" si="130">Z74*(1+$AA$7)</f>
        <v>7747.4760000000006</v>
      </c>
      <c r="AC74" s="469"/>
      <c r="AD74" s="100"/>
      <c r="AE74" s="86">
        <f t="shared" ref="AE74:AE92" si="131">$P74*AE$6</f>
        <v>6866.7385346189722</v>
      </c>
      <c r="AF74" s="86">
        <f t="shared" si="93"/>
        <v>234780.09402726268</v>
      </c>
      <c r="AG74" s="92">
        <f t="shared" ref="AG74:AG92" si="132">IF(AE74&lt;=$AA74,1,0)</f>
        <v>0</v>
      </c>
      <c r="AH74" s="92">
        <f t="shared" ref="AH74:AH92" si="133">IF(AE74&gt;=$AB74,1,0)</f>
        <v>0</v>
      </c>
      <c r="AI74" s="86">
        <f t="shared" ref="AI74:AI92" si="134">MAX(MIN(AE74,$AB74),$AA74)</f>
        <v>6866.7385346189722</v>
      </c>
      <c r="AJ74" s="201"/>
      <c r="AK74" s="86">
        <f t="shared" si="94"/>
        <v>234780.09402726268</v>
      </c>
      <c r="AL74" s="93">
        <f t="shared" si="95"/>
        <v>293167.03451418679</v>
      </c>
      <c r="AM74" s="93">
        <f t="shared" si="96"/>
        <v>240812.10588001681</v>
      </c>
      <c r="AN74" s="94">
        <f t="shared" ref="AN74:AN92" si="135">IF(OR(AND(AG74=1,AK$93&gt;$U$93),AND(AH74=1,AK$93&lt;$U$93)),1,0)</f>
        <v>0</v>
      </c>
      <c r="AO74" s="95"/>
      <c r="AP74" s="86">
        <f t="shared" ref="AP74:AP92" si="136">IF(AN74=1,AI74,$P74*AP$6)</f>
        <v>6843.5356886315703</v>
      </c>
      <c r="AQ74" s="86">
        <f t="shared" si="97"/>
        <v>233986.76742320484</v>
      </c>
      <c r="AR74" s="92">
        <f t="shared" ref="AR74:AR92" si="137">IF(AP74&lt;=$AA74,1,0)</f>
        <v>0</v>
      </c>
      <c r="AS74" s="92">
        <f t="shared" ref="AS74:AS92" si="138">IF(AP74&gt;=$AB74,1,0)</f>
        <v>0</v>
      </c>
      <c r="AT74" s="86">
        <f t="shared" ref="AT74:AT92" si="139">MAX(MIN(AP74,$AB74),$AA74)</f>
        <v>6843.5356886315703</v>
      </c>
      <c r="AU74" s="86">
        <f t="shared" si="98"/>
        <v>233986.76742320484</v>
      </c>
      <c r="AV74" s="93">
        <f t="shared" si="99"/>
        <v>293167.03451418679</v>
      </c>
      <c r="AW74" s="93">
        <f t="shared" si="100"/>
        <v>240812.10588001681</v>
      </c>
      <c r="AX74" s="94">
        <f t="shared" si="101"/>
        <v>0</v>
      </c>
      <c r="AY74" s="92">
        <f t="shared" si="11"/>
        <v>0</v>
      </c>
      <c r="AZ74" s="95"/>
      <c r="BA74" s="86">
        <f t="shared" ref="BA74:BA92" si="140">IF(AX74=1,AT74,$P74*BA$6)</f>
        <v>6851.8865683926606</v>
      </c>
      <c r="BB74" s="86">
        <f t="shared" si="102"/>
        <v>234272.29166817715</v>
      </c>
      <c r="BC74" s="92">
        <f t="shared" ref="BC74:BC92" si="141">IF(BA74&lt;=$AA74,1,0)</f>
        <v>0</v>
      </c>
      <c r="BD74" s="92">
        <f t="shared" ref="BD74:BD92" si="142">IF(BA74&gt;=$AB74,1,0)</f>
        <v>0</v>
      </c>
      <c r="BE74" s="86">
        <f t="shared" ref="BE74:BE92" si="143">MAX(MIN(BA74,$AB74),$AA74)</f>
        <v>6851.8865683926606</v>
      </c>
      <c r="BF74" s="86">
        <f t="shared" si="103"/>
        <v>234272.29166817715</v>
      </c>
      <c r="BG74" s="93">
        <f t="shared" si="104"/>
        <v>293167.03451418679</v>
      </c>
      <c r="BH74" s="93">
        <f t="shared" si="105"/>
        <v>240812.10588001681</v>
      </c>
      <c r="BI74" s="94">
        <f t="shared" si="106"/>
        <v>0</v>
      </c>
      <c r="BJ74" s="92">
        <f t="shared" si="107"/>
        <v>0</v>
      </c>
      <c r="BK74" s="95"/>
      <c r="BL74" s="86">
        <f t="shared" ref="BL74:BL92" si="144">IF(BI74=1,BE74,$P74*BL$6)</f>
        <v>6851.8866548577307</v>
      </c>
      <c r="BM74" s="86">
        <f t="shared" si="108"/>
        <v>234272.29462449724</v>
      </c>
      <c r="BN74" s="92">
        <f t="shared" ref="BN74:BN92" si="145">IF(BL74&lt;=$AA74,1,0)</f>
        <v>0</v>
      </c>
      <c r="BO74" s="92">
        <f t="shared" ref="BO74:BO92" si="146">IF(BL74&gt;=$AB74,1,0)</f>
        <v>0</v>
      </c>
      <c r="BP74" s="86">
        <f t="shared" ref="BP74:BP92" si="147">MAX(MIN(BL74,$AB74),$AA74)</f>
        <v>6851.8866548577307</v>
      </c>
      <c r="BQ74" s="86">
        <f t="shared" si="109"/>
        <v>234272.29462449724</v>
      </c>
      <c r="BR74" s="93">
        <f t="shared" si="110"/>
        <v>293167.03451418679</v>
      </c>
      <c r="BS74" s="93">
        <f t="shared" si="111"/>
        <v>240812.10588001681</v>
      </c>
      <c r="BT74" s="94">
        <f t="shared" si="112"/>
        <v>0</v>
      </c>
      <c r="BU74" s="92">
        <f t="shared" si="113"/>
        <v>0</v>
      </c>
      <c r="BV74" s="95"/>
      <c r="BW74" s="86">
        <f t="shared" ref="BW74:BW92" si="148">IF(BT74=1,BP74,$P74*BW$6)</f>
        <v>6851.8866548577307</v>
      </c>
      <c r="BX74" s="86">
        <f t="shared" si="114"/>
        <v>234272.29462449724</v>
      </c>
      <c r="BY74" s="92">
        <f t="shared" ref="BY74:BY92" si="149">IF(BW74&lt;=$AA74,1,0)</f>
        <v>0</v>
      </c>
      <c r="BZ74" s="92">
        <f t="shared" ref="BZ74:BZ92" si="150">IF(BW74&gt;=$AB74,1,0)</f>
        <v>0</v>
      </c>
      <c r="CA74" s="86">
        <f t="shared" ref="CA74:CA92" si="151">MAX(MIN(BW74,$AB74),$AA74)</f>
        <v>6851.8866548577307</v>
      </c>
      <c r="CB74" s="86">
        <f t="shared" si="115"/>
        <v>234272.29462449724</v>
      </c>
      <c r="CC74" s="96">
        <f t="shared" si="116"/>
        <v>293167.03451418679</v>
      </c>
      <c r="CD74" s="96">
        <f t="shared" si="117"/>
        <v>240812.10588001681</v>
      </c>
      <c r="CE74" s="94">
        <f t="shared" si="118"/>
        <v>0</v>
      </c>
      <c r="CF74" s="92">
        <f t="shared" si="119"/>
        <v>0</v>
      </c>
      <c r="CG74" s="67"/>
      <c r="CH74" s="86">
        <f t="shared" si="120"/>
        <v>6851.8866548577307</v>
      </c>
      <c r="CI74" s="86">
        <f t="shared" si="121"/>
        <v>234272.29462449724</v>
      </c>
      <c r="CJ74" s="92">
        <f t="shared" ref="CJ74:CJ92" si="152">IF(CH74&lt;=$AA74,1,0)</f>
        <v>0</v>
      </c>
      <c r="CK74" s="92">
        <f t="shared" ref="CK74:CK92" si="153">IF(CH74&gt;=$AB74,1,0)</f>
        <v>0</v>
      </c>
      <c r="CL74" s="86">
        <f t="shared" ref="CL74:CL92" si="154">MAX(MIN(CH74,$AB74),$AA74)</f>
        <v>6851.8866548577307</v>
      </c>
      <c r="CM74" s="86">
        <f t="shared" si="122"/>
        <v>234272.29462449724</v>
      </c>
      <c r="CN74" s="97">
        <f t="shared" si="123"/>
        <v>0.97284268067994062</v>
      </c>
      <c r="CO74" s="554">
        <f t="shared" si="124"/>
        <v>61315</v>
      </c>
      <c r="CP74" s="153"/>
      <c r="CQ74" s="153">
        <f t="shared" si="125"/>
        <v>7057.44</v>
      </c>
      <c r="CR74" s="353"/>
      <c r="CS74" s="391" t="str">
        <f>VLOOKUP(A74,Characteristics!A67:M150,13,FALSE)</f>
        <v>CAH</v>
      </c>
      <c r="CT74" s="206">
        <f>VLOOKUP(A74,Characteristics!A67:C150,3,FALSE)</f>
        <v>1</v>
      </c>
      <c r="CU74" s="557" t="str">
        <f t="shared" ref="CU74:CU92" si="155">IF(CT74=0,CQ74,"")</f>
        <v/>
      </c>
      <c r="CV74" s="557">
        <f t="shared" ref="CV74:CV92" si="156">IF(CT74=1,CQ74,"")</f>
        <v>7057.44</v>
      </c>
    </row>
    <row r="75" spans="1:100" s="125" customFormat="1" x14ac:dyDescent="0.3">
      <c r="A75" s="199">
        <v>61316</v>
      </c>
      <c r="B75" s="139"/>
      <c r="C75" s="558">
        <f>VLOOKUP($A75,'Fed Bs Rt+IME+GME+VBP+RAA+HAC'!$B$5:$AG$88,19,FALSE)</f>
        <v>6859.53</v>
      </c>
      <c r="D75" s="458">
        <f>VLOOKUP($A75,'Fed Bs Rt+IME+GME+VBP+RAA+HAC'!$B$5:$AG$88,25,FALSE)</f>
        <v>0</v>
      </c>
      <c r="E75" s="458">
        <f>VLOOKUP($A75,'Fed Bs Rt+IME+GME+VBP+RAA+HAC'!$B$5:$AG$88,29,FALSE)</f>
        <v>0</v>
      </c>
      <c r="F75" s="458">
        <f>VLOOKUP($A75,'Fed Bs Rt+IME+GME+VBP+RAA+HAC'!$B$5:$AG$88,27,FALSE)</f>
        <v>0</v>
      </c>
      <c r="G75" s="458">
        <f>VLOOKUP($A75,'Fed Bs Rt+IME+GME+VBP+RAA+HAC'!$B$5:$AG$88,32,FALSE)</f>
        <v>0</v>
      </c>
      <c r="H75" s="205">
        <f t="shared" si="126"/>
        <v>0</v>
      </c>
      <c r="I75" s="458">
        <f>VLOOKUP(A75,'Fed Bs Rt+IME+GME+VBP+RAA+HAC'!$B$5:$U$88,20,FALSE)</f>
        <v>0</v>
      </c>
      <c r="J75" s="459">
        <f>IF(Characteristics!M68="CAH",+C75*J$4,0)</f>
        <v>1714.8824999999999</v>
      </c>
      <c r="K75" s="459">
        <f>IF(OR(Characteristics!M68="SCH",Characteristics!M68="MDH"),+C75*K$4,0)</f>
        <v>0</v>
      </c>
      <c r="L75" s="460">
        <f>IF(OR(J75&gt;0,K75&gt;0,M75&gt;0),0,IF(VLOOKUP(A75,Characteristics!A:H,8,FALSE)&lt;=L$6,L$4*C75,IF(VLOOKUP(A75,Characteristics!A:H,8,FALSE)&gt;=L$5,0,(VLOOKUP(A75,Characteristics!A:H,8,FALSE)-L$5)/(L$6-L$5)*L$4*C75)))</f>
        <v>0</v>
      </c>
      <c r="M75" s="541">
        <f>IF(VLOOKUP($A75,Characteristics!$A:$E,3,FALSE)=2,M$4*C75,0)</f>
        <v>0</v>
      </c>
      <c r="N75" s="461">
        <f>IF(VLOOKUP($A75,Characteristics!$A:$K,6,FALSE)&gt;=N$5,N$4*C75,IF(VLOOKUP($A75,Characteristics!$A:$K,6,FALSE)&lt;=N$6,0,(VLOOKUP($A75,Characteristics!$A:$K,6,FALSE)-N$6)/(N$5-N$6)*N$4*C75))</f>
        <v>685.95299999999997</v>
      </c>
      <c r="O75" s="461">
        <f>IF(VLOOKUP($A75,Characteristics!$A:$K,11,FALSE)&lt;=O$6,O$4*C75,IF(VLOOKUP($A75,Characteristics!$A:$K,11,FALSE)&gt;=O$5,0,(VLOOKUP($A75,Characteristics!$A:$K,11,FALSE)-O$5)/(O$6-O$5)*O$4*C75))</f>
        <v>0</v>
      </c>
      <c r="P75" s="205">
        <f t="shared" si="127"/>
        <v>9260.3654999999999</v>
      </c>
      <c r="Q75" s="205"/>
      <c r="R75" s="86">
        <v>6905.06</v>
      </c>
      <c r="S75" s="87">
        <f t="shared" si="90"/>
        <v>7043.16</v>
      </c>
      <c r="T75" s="471"/>
      <c r="U75" s="86">
        <f t="shared" si="91"/>
        <v>312209.63752267929</v>
      </c>
      <c r="V75" s="89">
        <v>52.406400000000005</v>
      </c>
      <c r="W75" s="90">
        <v>0.84585208333333339</v>
      </c>
      <c r="X75" s="91">
        <f t="shared" si="92"/>
        <v>410494.06176808767</v>
      </c>
      <c r="Y75" s="196"/>
      <c r="Z75" s="86">
        <f t="shared" si="128"/>
        <v>7043.16</v>
      </c>
      <c r="AA75" s="86">
        <f t="shared" si="129"/>
        <v>6338.8440000000001</v>
      </c>
      <c r="AB75" s="86">
        <f t="shared" si="130"/>
        <v>7747.4760000000006</v>
      </c>
      <c r="AC75" s="469"/>
      <c r="AD75" s="100"/>
      <c r="AE75" s="86">
        <f t="shared" si="131"/>
        <v>7416.0776173884897</v>
      </c>
      <c r="AF75" s="86">
        <f t="shared" si="93"/>
        <v>328740.35301837738</v>
      </c>
      <c r="AG75" s="92">
        <f t="shared" si="132"/>
        <v>0</v>
      </c>
      <c r="AH75" s="92">
        <f t="shared" si="133"/>
        <v>0</v>
      </c>
      <c r="AI75" s="86">
        <f t="shared" si="134"/>
        <v>7416.0776173884897</v>
      </c>
      <c r="AJ75" s="201"/>
      <c r="AK75" s="86">
        <f t="shared" si="94"/>
        <v>328740.35301837738</v>
      </c>
      <c r="AL75" s="93">
        <f t="shared" si="95"/>
        <v>410494.06176808767</v>
      </c>
      <c r="AM75" s="93">
        <f t="shared" si="96"/>
        <v>312209.63752267929</v>
      </c>
      <c r="AN75" s="94">
        <f t="shared" si="135"/>
        <v>0</v>
      </c>
      <c r="AO75" s="95"/>
      <c r="AP75" s="86">
        <f t="shared" si="136"/>
        <v>7391.0185437220962</v>
      </c>
      <c r="AQ75" s="86">
        <f t="shared" si="97"/>
        <v>327629.53283169435</v>
      </c>
      <c r="AR75" s="92">
        <f t="shared" si="137"/>
        <v>0</v>
      </c>
      <c r="AS75" s="92">
        <f t="shared" si="138"/>
        <v>0</v>
      </c>
      <c r="AT75" s="86">
        <f t="shared" si="139"/>
        <v>7391.0185437220962</v>
      </c>
      <c r="AU75" s="86">
        <f t="shared" si="98"/>
        <v>327629.53283169435</v>
      </c>
      <c r="AV75" s="93">
        <f t="shared" si="99"/>
        <v>410494.06176808767</v>
      </c>
      <c r="AW75" s="93">
        <f t="shared" si="100"/>
        <v>312209.63752267929</v>
      </c>
      <c r="AX75" s="94">
        <f t="shared" si="101"/>
        <v>0</v>
      </c>
      <c r="AY75" s="92">
        <f t="shared" ref="AY75:AY92" si="157">IF(AX75=AN75,0,1)</f>
        <v>0</v>
      </c>
      <c r="AZ75" s="95"/>
      <c r="BA75" s="86">
        <f t="shared" si="140"/>
        <v>7400.0374938640734</v>
      </c>
      <c r="BB75" s="86">
        <f t="shared" si="102"/>
        <v>328029.32541835459</v>
      </c>
      <c r="BC75" s="92">
        <f t="shared" si="141"/>
        <v>0</v>
      </c>
      <c r="BD75" s="92">
        <f t="shared" si="142"/>
        <v>0</v>
      </c>
      <c r="BE75" s="86">
        <f t="shared" si="143"/>
        <v>7400.0374938640734</v>
      </c>
      <c r="BF75" s="86">
        <f t="shared" si="103"/>
        <v>328029.32541835459</v>
      </c>
      <c r="BG75" s="93">
        <f t="shared" si="104"/>
        <v>410494.06176808767</v>
      </c>
      <c r="BH75" s="93">
        <f t="shared" si="105"/>
        <v>312209.63752267929</v>
      </c>
      <c r="BI75" s="94">
        <f t="shared" si="106"/>
        <v>0</v>
      </c>
      <c r="BJ75" s="92">
        <f t="shared" si="107"/>
        <v>0</v>
      </c>
      <c r="BK75" s="95"/>
      <c r="BL75" s="86">
        <f t="shared" si="144"/>
        <v>7400.0375872463492</v>
      </c>
      <c r="BM75" s="86">
        <f t="shared" si="108"/>
        <v>328029.32955780992</v>
      </c>
      <c r="BN75" s="92">
        <f t="shared" si="145"/>
        <v>0</v>
      </c>
      <c r="BO75" s="92">
        <f t="shared" si="146"/>
        <v>0</v>
      </c>
      <c r="BP75" s="86">
        <f t="shared" si="147"/>
        <v>7400.0375872463492</v>
      </c>
      <c r="BQ75" s="86">
        <f t="shared" si="109"/>
        <v>328029.32955780992</v>
      </c>
      <c r="BR75" s="93">
        <f t="shared" si="110"/>
        <v>410494.06176808767</v>
      </c>
      <c r="BS75" s="93">
        <f t="shared" si="111"/>
        <v>312209.63752267929</v>
      </c>
      <c r="BT75" s="94">
        <f t="shared" si="112"/>
        <v>0</v>
      </c>
      <c r="BU75" s="92">
        <f t="shared" si="113"/>
        <v>0</v>
      </c>
      <c r="BV75" s="95"/>
      <c r="BW75" s="86">
        <f t="shared" si="148"/>
        <v>7400.0375872463492</v>
      </c>
      <c r="BX75" s="86">
        <f t="shared" si="114"/>
        <v>328029.32955780992</v>
      </c>
      <c r="BY75" s="92">
        <f t="shared" si="149"/>
        <v>0</v>
      </c>
      <c r="BZ75" s="92">
        <f t="shared" si="150"/>
        <v>0</v>
      </c>
      <c r="CA75" s="86">
        <f t="shared" si="151"/>
        <v>7400.0375872463492</v>
      </c>
      <c r="CB75" s="86">
        <f t="shared" si="115"/>
        <v>328029.32955780992</v>
      </c>
      <c r="CC75" s="96">
        <f t="shared" si="116"/>
        <v>410494.06176808767</v>
      </c>
      <c r="CD75" s="96">
        <f t="shared" si="117"/>
        <v>312209.63752267929</v>
      </c>
      <c r="CE75" s="94">
        <f t="shared" si="118"/>
        <v>0</v>
      </c>
      <c r="CF75" s="92">
        <f t="shared" si="119"/>
        <v>0</v>
      </c>
      <c r="CG75" s="67"/>
      <c r="CH75" s="86">
        <f t="shared" si="120"/>
        <v>7400.0375872463492</v>
      </c>
      <c r="CI75" s="86">
        <f t="shared" si="121"/>
        <v>328029.32955780992</v>
      </c>
      <c r="CJ75" s="92">
        <f t="shared" si="152"/>
        <v>0</v>
      </c>
      <c r="CK75" s="92">
        <f t="shared" si="153"/>
        <v>0</v>
      </c>
      <c r="CL75" s="86">
        <f t="shared" si="154"/>
        <v>7400.0375872463492</v>
      </c>
      <c r="CM75" s="86">
        <f t="shared" si="122"/>
        <v>328029.32955780992</v>
      </c>
      <c r="CN75" s="97">
        <f t="shared" si="123"/>
        <v>1.050670095134336</v>
      </c>
      <c r="CO75" s="554">
        <f t="shared" si="124"/>
        <v>61316</v>
      </c>
      <c r="CP75" s="153"/>
      <c r="CQ75" s="153">
        <f t="shared" si="125"/>
        <v>7622.04</v>
      </c>
      <c r="CR75" s="353"/>
      <c r="CS75" s="391" t="str">
        <f>VLOOKUP(A75,Characteristics!A68:M151,13,FALSE)</f>
        <v>CAH</v>
      </c>
      <c r="CT75" s="206">
        <f>VLOOKUP(A75,Characteristics!A68:C151,3,FALSE)</f>
        <v>1</v>
      </c>
      <c r="CU75" s="557" t="str">
        <f t="shared" si="155"/>
        <v/>
      </c>
      <c r="CV75" s="557">
        <f t="shared" si="156"/>
        <v>7622.04</v>
      </c>
    </row>
    <row r="76" spans="1:100" s="125" customFormat="1" x14ac:dyDescent="0.3">
      <c r="A76" s="199">
        <v>61317</v>
      </c>
      <c r="B76" s="139"/>
      <c r="C76" s="558">
        <f>VLOOKUP($A76,'Fed Bs Rt+IME+GME+VBP+RAA+HAC'!$B$5:$AG$88,19,FALSE)</f>
        <v>6859.53</v>
      </c>
      <c r="D76" s="458">
        <f>VLOOKUP($A76,'Fed Bs Rt+IME+GME+VBP+RAA+HAC'!$B$5:$AG$88,25,FALSE)</f>
        <v>0</v>
      </c>
      <c r="E76" s="458">
        <f>VLOOKUP($A76,'Fed Bs Rt+IME+GME+VBP+RAA+HAC'!$B$5:$AG$88,29,FALSE)</f>
        <v>0</v>
      </c>
      <c r="F76" s="458">
        <f>VLOOKUP($A76,'Fed Bs Rt+IME+GME+VBP+RAA+HAC'!$B$5:$AG$88,27,FALSE)</f>
        <v>0</v>
      </c>
      <c r="G76" s="458">
        <f>VLOOKUP($A76,'Fed Bs Rt+IME+GME+VBP+RAA+HAC'!$B$5:$AG$88,32,FALSE)</f>
        <v>0</v>
      </c>
      <c r="H76" s="205">
        <f t="shared" si="126"/>
        <v>0</v>
      </c>
      <c r="I76" s="458">
        <f>VLOOKUP(A76,'Fed Bs Rt+IME+GME+VBP+RAA+HAC'!$B$5:$U$88,20,FALSE)</f>
        <v>0</v>
      </c>
      <c r="J76" s="459">
        <f>IF(Characteristics!M69="CAH",+C76*J$4,0)</f>
        <v>1714.8824999999999</v>
      </c>
      <c r="K76" s="459">
        <f>IF(OR(Characteristics!M69="SCH",Characteristics!M69="MDH"),+C76*K$4,0)</f>
        <v>0</v>
      </c>
      <c r="L76" s="460">
        <f>IF(OR(J76&gt;0,K76&gt;0,M76&gt;0),0,IF(VLOOKUP(A76,Characteristics!A:H,8,FALSE)&lt;=L$6,L$4*C76,IF(VLOOKUP(A76,Characteristics!A:H,8,FALSE)&gt;=L$5,0,(VLOOKUP(A76,Characteristics!A:H,8,FALSE)-L$5)/(L$6-L$5)*L$4*C76)))</f>
        <v>0</v>
      </c>
      <c r="M76" s="541">
        <f>IF(VLOOKUP($A76,Characteristics!$A:$E,3,FALSE)=2,M$4*C76,0)</f>
        <v>0</v>
      </c>
      <c r="N76" s="461">
        <f>IF(VLOOKUP($A76,Characteristics!$A:$K,6,FALSE)&gt;=N$5,N$4*C76,IF(VLOOKUP($A76,Characteristics!$A:$K,6,FALSE)&lt;=N$6,0,(VLOOKUP($A76,Characteristics!$A:$K,6,FALSE)-N$6)/(N$5-N$6)*N$4*C76))</f>
        <v>0</v>
      </c>
      <c r="O76" s="461">
        <f>IF(VLOOKUP($A76,Characteristics!$A:$K,11,FALSE)&lt;=O$6,O$4*C76,IF(VLOOKUP($A76,Characteristics!$A:$K,11,FALSE)&gt;=O$5,0,(VLOOKUP($A76,Characteristics!$A:$K,11,FALSE)-O$5)/(O$6-O$5)*O$4*C76))</f>
        <v>1371.9059999999999</v>
      </c>
      <c r="P76" s="205">
        <f t="shared" si="127"/>
        <v>9946.3185000000012</v>
      </c>
      <c r="Q76" s="205"/>
      <c r="R76" s="86">
        <v>6905.06</v>
      </c>
      <c r="S76" s="87">
        <f t="shared" si="90"/>
        <v>7043.16</v>
      </c>
      <c r="T76" s="471"/>
      <c r="U76" s="86">
        <f t="shared" si="91"/>
        <v>482660.78629749606</v>
      </c>
      <c r="V76" s="89">
        <v>53.498200000000004</v>
      </c>
      <c r="W76" s="90">
        <v>1.2809591836734695</v>
      </c>
      <c r="X76" s="91">
        <f t="shared" si="92"/>
        <v>681611.36591747636</v>
      </c>
      <c r="Y76" s="196"/>
      <c r="Z76" s="86">
        <f t="shared" si="128"/>
        <v>7043.16</v>
      </c>
      <c r="AA76" s="86">
        <f t="shared" si="129"/>
        <v>6338.8440000000001</v>
      </c>
      <c r="AB76" s="86">
        <f t="shared" si="130"/>
        <v>7747.4760000000006</v>
      </c>
      <c r="AC76" s="469"/>
      <c r="AD76" s="100"/>
      <c r="AE76" s="86">
        <f t="shared" si="131"/>
        <v>7965.4167001580081</v>
      </c>
      <c r="AF76" s="86">
        <f t="shared" si="93"/>
        <v>545862.1254785452</v>
      </c>
      <c r="AG76" s="92">
        <f t="shared" si="132"/>
        <v>0</v>
      </c>
      <c r="AH76" s="92">
        <f t="shared" si="133"/>
        <v>1</v>
      </c>
      <c r="AI76" s="86">
        <f t="shared" si="134"/>
        <v>7747.4760000000006</v>
      </c>
      <c r="AJ76" s="201"/>
      <c r="AK76" s="86">
        <f t="shared" si="94"/>
        <v>530926.86492724577</v>
      </c>
      <c r="AL76" s="93">
        <f t="shared" si="95"/>
        <v>681611.36591747636</v>
      </c>
      <c r="AM76" s="93">
        <f t="shared" si="96"/>
        <v>482660.78629749606</v>
      </c>
      <c r="AN76" s="94">
        <f t="shared" si="135"/>
        <v>0</v>
      </c>
      <c r="AO76" s="95"/>
      <c r="AP76" s="86">
        <f t="shared" si="136"/>
        <v>7938.5013988126229</v>
      </c>
      <c r="AQ76" s="86">
        <f t="shared" si="97"/>
        <v>544017.64650734514</v>
      </c>
      <c r="AR76" s="92">
        <f t="shared" si="137"/>
        <v>0</v>
      </c>
      <c r="AS76" s="92">
        <f t="shared" si="138"/>
        <v>1</v>
      </c>
      <c r="AT76" s="86">
        <f t="shared" si="139"/>
        <v>7747.4760000000006</v>
      </c>
      <c r="AU76" s="86">
        <f t="shared" si="98"/>
        <v>530926.86492724577</v>
      </c>
      <c r="AV76" s="93">
        <f t="shared" si="99"/>
        <v>0</v>
      </c>
      <c r="AW76" s="93">
        <f t="shared" si="100"/>
        <v>-48266.078629749711</v>
      </c>
      <c r="AX76" s="94">
        <f t="shared" si="101"/>
        <v>1</v>
      </c>
      <c r="AY76" s="92">
        <f t="shared" si="157"/>
        <v>1</v>
      </c>
      <c r="AZ76" s="95"/>
      <c r="BA76" s="86">
        <f t="shared" si="140"/>
        <v>7747.4760000000006</v>
      </c>
      <c r="BB76" s="86">
        <f t="shared" si="102"/>
        <v>530926.86492724577</v>
      </c>
      <c r="BC76" s="92">
        <f t="shared" si="141"/>
        <v>0</v>
      </c>
      <c r="BD76" s="92">
        <f t="shared" si="142"/>
        <v>1</v>
      </c>
      <c r="BE76" s="86">
        <f t="shared" si="143"/>
        <v>7747.4760000000006</v>
      </c>
      <c r="BF76" s="86">
        <f t="shared" si="103"/>
        <v>530926.86492724577</v>
      </c>
      <c r="BG76" s="93">
        <f t="shared" si="104"/>
        <v>0</v>
      </c>
      <c r="BH76" s="93">
        <f t="shared" si="105"/>
        <v>-48266.078629749711</v>
      </c>
      <c r="BI76" s="94">
        <f t="shared" si="106"/>
        <v>1</v>
      </c>
      <c r="BJ76" s="92">
        <f t="shared" si="107"/>
        <v>0</v>
      </c>
      <c r="BK76" s="95"/>
      <c r="BL76" s="86">
        <f t="shared" si="144"/>
        <v>7747.4760000000006</v>
      </c>
      <c r="BM76" s="86">
        <f t="shared" si="108"/>
        <v>530926.86492724577</v>
      </c>
      <c r="BN76" s="92">
        <f t="shared" si="145"/>
        <v>0</v>
      </c>
      <c r="BO76" s="92">
        <f t="shared" si="146"/>
        <v>1</v>
      </c>
      <c r="BP76" s="86">
        <f t="shared" si="147"/>
        <v>7747.4760000000006</v>
      </c>
      <c r="BQ76" s="86">
        <f t="shared" si="109"/>
        <v>530926.86492724577</v>
      </c>
      <c r="BR76" s="93">
        <f t="shared" si="110"/>
        <v>0</v>
      </c>
      <c r="BS76" s="93">
        <f t="shared" si="111"/>
        <v>-48266.078629749711</v>
      </c>
      <c r="BT76" s="94">
        <f t="shared" si="112"/>
        <v>1</v>
      </c>
      <c r="BU76" s="92">
        <f t="shared" si="113"/>
        <v>0</v>
      </c>
      <c r="BV76" s="95"/>
      <c r="BW76" s="86">
        <f t="shared" si="148"/>
        <v>7747.4760000000006</v>
      </c>
      <c r="BX76" s="86">
        <f t="shared" si="114"/>
        <v>530926.86492724577</v>
      </c>
      <c r="BY76" s="92">
        <f t="shared" si="149"/>
        <v>0</v>
      </c>
      <c r="BZ76" s="92">
        <f t="shared" si="150"/>
        <v>1</v>
      </c>
      <c r="CA76" s="86">
        <f t="shared" si="151"/>
        <v>7747.4760000000006</v>
      </c>
      <c r="CB76" s="86">
        <f t="shared" si="115"/>
        <v>530926.86492724577</v>
      </c>
      <c r="CC76" s="96">
        <f t="shared" si="116"/>
        <v>0</v>
      </c>
      <c r="CD76" s="96">
        <f t="shared" si="117"/>
        <v>-48266.078629749711</v>
      </c>
      <c r="CE76" s="94">
        <f t="shared" si="118"/>
        <v>1</v>
      </c>
      <c r="CF76" s="92">
        <f t="shared" si="119"/>
        <v>0</v>
      </c>
      <c r="CG76" s="67"/>
      <c r="CH76" s="86">
        <f t="shared" si="120"/>
        <v>7948.1885196349685</v>
      </c>
      <c r="CI76" s="86">
        <f t="shared" si="121"/>
        <v>544681.49531286315</v>
      </c>
      <c r="CJ76" s="92">
        <f t="shared" si="152"/>
        <v>0</v>
      </c>
      <c r="CK76" s="92">
        <f t="shared" si="153"/>
        <v>1</v>
      </c>
      <c r="CL76" s="86">
        <f t="shared" si="154"/>
        <v>7747.4760000000006</v>
      </c>
      <c r="CM76" s="86">
        <f t="shared" si="122"/>
        <v>530926.86492724577</v>
      </c>
      <c r="CN76" s="97">
        <f t="shared" si="123"/>
        <v>1.1000000000000001</v>
      </c>
      <c r="CO76" s="554">
        <f t="shared" si="124"/>
        <v>61317</v>
      </c>
      <c r="CP76" s="153"/>
      <c r="CQ76" s="153">
        <f t="shared" si="125"/>
        <v>7979.9</v>
      </c>
      <c r="CR76" s="353"/>
      <c r="CS76" s="391" t="str">
        <f>VLOOKUP(A76,Characteristics!A69:M152,13,FALSE)</f>
        <v>CAH</v>
      </c>
      <c r="CT76" s="206">
        <f>VLOOKUP(A76,Characteristics!A69:C152,3,FALSE)</f>
        <v>1</v>
      </c>
      <c r="CU76" s="557" t="str">
        <f t="shared" si="155"/>
        <v/>
      </c>
      <c r="CV76" s="557">
        <f t="shared" si="156"/>
        <v>7979.9</v>
      </c>
    </row>
    <row r="77" spans="1:100" s="125" customFormat="1" x14ac:dyDescent="0.3">
      <c r="A77" s="199">
        <v>61318</v>
      </c>
      <c r="B77" s="139"/>
      <c r="C77" s="558">
        <f>VLOOKUP($A77,'Fed Bs Rt+IME+GME+VBP+RAA+HAC'!$B$5:$AG$88,19,FALSE)</f>
        <v>6859.53</v>
      </c>
      <c r="D77" s="458">
        <f>VLOOKUP($A77,'Fed Bs Rt+IME+GME+VBP+RAA+HAC'!$B$5:$AG$88,25,FALSE)</f>
        <v>0</v>
      </c>
      <c r="E77" s="458">
        <f>VLOOKUP($A77,'Fed Bs Rt+IME+GME+VBP+RAA+HAC'!$B$5:$AG$88,29,FALSE)</f>
        <v>0</v>
      </c>
      <c r="F77" s="458">
        <f>VLOOKUP($A77,'Fed Bs Rt+IME+GME+VBP+RAA+HAC'!$B$5:$AG$88,27,FALSE)</f>
        <v>0</v>
      </c>
      <c r="G77" s="458">
        <f>VLOOKUP($A77,'Fed Bs Rt+IME+GME+VBP+RAA+HAC'!$B$5:$AG$88,32,FALSE)</f>
        <v>0</v>
      </c>
      <c r="H77" s="205">
        <f t="shared" si="126"/>
        <v>0</v>
      </c>
      <c r="I77" s="458">
        <f>VLOOKUP(A77,'Fed Bs Rt+IME+GME+VBP+RAA+HAC'!$B$5:$U$88,20,FALSE)</f>
        <v>0</v>
      </c>
      <c r="J77" s="459">
        <f>IF(Characteristics!M70="CAH",+C77*J$4,0)</f>
        <v>1714.8824999999999</v>
      </c>
      <c r="K77" s="459">
        <f>IF(OR(Characteristics!M70="SCH",Characteristics!M70="MDH"),+C77*K$4,0)</f>
        <v>0</v>
      </c>
      <c r="L77" s="460">
        <f>IF(OR(J77&gt;0,K77&gt;0,M77&gt;0),0,IF(VLOOKUP(A77,Characteristics!A:H,8,FALSE)&lt;=L$6,L$4*C77,IF(VLOOKUP(A77,Characteristics!A:H,8,FALSE)&gt;=L$5,0,(VLOOKUP(A77,Characteristics!A:H,8,FALSE)-L$5)/(L$6-L$5)*L$4*C77)))</f>
        <v>0</v>
      </c>
      <c r="M77" s="541">
        <f>IF(VLOOKUP($A77,Characteristics!$A:$E,3,FALSE)=2,M$4*C77,0)</f>
        <v>0</v>
      </c>
      <c r="N77" s="461">
        <f>IF(VLOOKUP($A77,Characteristics!$A:$K,6,FALSE)&gt;=N$5,N$4*C77,IF(VLOOKUP($A77,Characteristics!$A:$K,6,FALSE)&lt;=N$6,0,(VLOOKUP($A77,Characteristics!$A:$K,6,FALSE)-N$6)/(N$5-N$6)*N$4*C77))</f>
        <v>685.95299999999997</v>
      </c>
      <c r="O77" s="461">
        <f>IF(VLOOKUP($A77,Characteristics!$A:$K,11,FALSE)&lt;=O$6,O$4*C77,IF(VLOOKUP($A77,Characteristics!$A:$K,11,FALSE)&gt;=O$5,0,(VLOOKUP($A77,Characteristics!$A:$K,11,FALSE)-O$5)/(O$6-O$5)*O$4*C77))</f>
        <v>0</v>
      </c>
      <c r="P77" s="205">
        <f t="shared" si="127"/>
        <v>9260.3654999999999</v>
      </c>
      <c r="Q77" s="205"/>
      <c r="R77" s="86">
        <v>6905.06</v>
      </c>
      <c r="S77" s="87">
        <f t="shared" si="90"/>
        <v>7043.16</v>
      </c>
      <c r="T77" s="471"/>
      <c r="U77" s="86">
        <f t="shared" si="91"/>
        <v>247955.85769976879</v>
      </c>
      <c r="V77" s="89">
        <v>37.121200000000002</v>
      </c>
      <c r="W77" s="90">
        <v>0.94838529411764705</v>
      </c>
      <c r="X77" s="91">
        <f t="shared" si="92"/>
        <v>326013.02116746578</v>
      </c>
      <c r="Y77" s="196"/>
      <c r="Z77" s="86">
        <f t="shared" si="128"/>
        <v>7043.16</v>
      </c>
      <c r="AA77" s="86">
        <f t="shared" si="129"/>
        <v>6338.8440000000001</v>
      </c>
      <c r="AB77" s="86">
        <f t="shared" si="130"/>
        <v>7747.4760000000006</v>
      </c>
      <c r="AC77" s="469"/>
      <c r="AD77" s="100"/>
      <c r="AE77" s="86">
        <f t="shared" si="131"/>
        <v>7416.0776173884897</v>
      </c>
      <c r="AF77" s="86">
        <f t="shared" si="93"/>
        <v>261084.49707057927</v>
      </c>
      <c r="AG77" s="92">
        <f t="shared" si="132"/>
        <v>0</v>
      </c>
      <c r="AH77" s="92">
        <f t="shared" si="133"/>
        <v>0</v>
      </c>
      <c r="AI77" s="86">
        <f t="shared" si="134"/>
        <v>7416.0776173884897</v>
      </c>
      <c r="AJ77" s="201"/>
      <c r="AK77" s="86">
        <f t="shared" si="94"/>
        <v>261084.49707057927</v>
      </c>
      <c r="AL77" s="93">
        <f t="shared" si="95"/>
        <v>326013.02116746578</v>
      </c>
      <c r="AM77" s="93">
        <f t="shared" si="96"/>
        <v>247955.85769976879</v>
      </c>
      <c r="AN77" s="94">
        <f t="shared" si="135"/>
        <v>0</v>
      </c>
      <c r="AO77" s="95"/>
      <c r="AP77" s="86">
        <f t="shared" si="136"/>
        <v>7391.0185437220962</v>
      </c>
      <c r="AQ77" s="86">
        <f t="shared" si="97"/>
        <v>260202.28736582852</v>
      </c>
      <c r="AR77" s="92">
        <f t="shared" si="137"/>
        <v>0</v>
      </c>
      <c r="AS77" s="92">
        <f t="shared" si="138"/>
        <v>0</v>
      </c>
      <c r="AT77" s="86">
        <f t="shared" si="139"/>
        <v>7391.0185437220962</v>
      </c>
      <c r="AU77" s="86">
        <f t="shared" si="98"/>
        <v>260202.28736582852</v>
      </c>
      <c r="AV77" s="93">
        <f t="shared" si="99"/>
        <v>326013.02116746578</v>
      </c>
      <c r="AW77" s="93">
        <f t="shared" si="100"/>
        <v>247955.85769976879</v>
      </c>
      <c r="AX77" s="94">
        <f t="shared" si="101"/>
        <v>0</v>
      </c>
      <c r="AY77" s="92">
        <f t="shared" si="157"/>
        <v>0</v>
      </c>
      <c r="AZ77" s="95"/>
      <c r="BA77" s="86">
        <f t="shared" si="140"/>
        <v>7400.0374938640734</v>
      </c>
      <c r="BB77" s="86">
        <f t="shared" si="102"/>
        <v>260519.80131099024</v>
      </c>
      <c r="BC77" s="92">
        <f t="shared" si="141"/>
        <v>0</v>
      </c>
      <c r="BD77" s="92">
        <f t="shared" si="142"/>
        <v>0</v>
      </c>
      <c r="BE77" s="86">
        <f t="shared" si="143"/>
        <v>7400.0374938640734</v>
      </c>
      <c r="BF77" s="86">
        <f t="shared" si="103"/>
        <v>260519.80131099024</v>
      </c>
      <c r="BG77" s="93">
        <f t="shared" si="104"/>
        <v>326013.02116746578</v>
      </c>
      <c r="BH77" s="93">
        <f t="shared" si="105"/>
        <v>247955.85769976879</v>
      </c>
      <c r="BI77" s="94">
        <f t="shared" si="106"/>
        <v>0</v>
      </c>
      <c r="BJ77" s="92">
        <f t="shared" si="107"/>
        <v>0</v>
      </c>
      <c r="BK77" s="95"/>
      <c r="BL77" s="86">
        <f t="shared" si="144"/>
        <v>7400.0375872463492</v>
      </c>
      <c r="BM77" s="86">
        <f t="shared" si="108"/>
        <v>260519.80459853195</v>
      </c>
      <c r="BN77" s="92">
        <f t="shared" si="145"/>
        <v>0</v>
      </c>
      <c r="BO77" s="92">
        <f t="shared" si="146"/>
        <v>0</v>
      </c>
      <c r="BP77" s="86">
        <f t="shared" si="147"/>
        <v>7400.0375872463492</v>
      </c>
      <c r="BQ77" s="86">
        <f t="shared" si="109"/>
        <v>260519.80459853195</v>
      </c>
      <c r="BR77" s="93">
        <f t="shared" si="110"/>
        <v>326013.02116746578</v>
      </c>
      <c r="BS77" s="93">
        <f t="shared" si="111"/>
        <v>247955.85769976879</v>
      </c>
      <c r="BT77" s="94">
        <f t="shared" si="112"/>
        <v>0</v>
      </c>
      <c r="BU77" s="92">
        <f t="shared" si="113"/>
        <v>0</v>
      </c>
      <c r="BV77" s="95"/>
      <c r="BW77" s="86">
        <f t="shared" si="148"/>
        <v>7400.0375872463492</v>
      </c>
      <c r="BX77" s="86">
        <f t="shared" si="114"/>
        <v>260519.80459853195</v>
      </c>
      <c r="BY77" s="92">
        <f t="shared" si="149"/>
        <v>0</v>
      </c>
      <c r="BZ77" s="92">
        <f t="shared" si="150"/>
        <v>0</v>
      </c>
      <c r="CA77" s="86">
        <f t="shared" si="151"/>
        <v>7400.0375872463492</v>
      </c>
      <c r="CB77" s="86">
        <f t="shared" si="115"/>
        <v>260519.80459853195</v>
      </c>
      <c r="CC77" s="96">
        <f t="shared" si="116"/>
        <v>326013.02116746578</v>
      </c>
      <c r="CD77" s="96">
        <f t="shared" si="117"/>
        <v>247955.85769976879</v>
      </c>
      <c r="CE77" s="94">
        <f t="shared" si="118"/>
        <v>0</v>
      </c>
      <c r="CF77" s="92">
        <f t="shared" si="119"/>
        <v>0</v>
      </c>
      <c r="CG77" s="67"/>
      <c r="CH77" s="86">
        <f t="shared" si="120"/>
        <v>7400.0375872463492</v>
      </c>
      <c r="CI77" s="86">
        <f t="shared" si="121"/>
        <v>260519.80459853195</v>
      </c>
      <c r="CJ77" s="92">
        <f t="shared" si="152"/>
        <v>0</v>
      </c>
      <c r="CK77" s="92">
        <f t="shared" si="153"/>
        <v>0</v>
      </c>
      <c r="CL77" s="86">
        <f t="shared" si="154"/>
        <v>7400.0375872463492</v>
      </c>
      <c r="CM77" s="86">
        <f t="shared" si="122"/>
        <v>260519.80459853195</v>
      </c>
      <c r="CN77" s="97">
        <f t="shared" si="123"/>
        <v>1.050670095134336</v>
      </c>
      <c r="CO77" s="554">
        <f t="shared" si="124"/>
        <v>61318</v>
      </c>
      <c r="CP77" s="153"/>
      <c r="CQ77" s="153">
        <f t="shared" si="125"/>
        <v>7622.04</v>
      </c>
      <c r="CR77" s="353"/>
      <c r="CS77" s="391" t="str">
        <f>VLOOKUP(A77,Characteristics!A70:M153,13,FALSE)</f>
        <v>CAH</v>
      </c>
      <c r="CT77" s="206">
        <f>VLOOKUP(A77,Characteristics!A70:C153,3,FALSE)</f>
        <v>1</v>
      </c>
      <c r="CU77" s="557" t="str">
        <f t="shared" si="155"/>
        <v/>
      </c>
      <c r="CV77" s="557">
        <f t="shared" si="156"/>
        <v>7622.04</v>
      </c>
    </row>
    <row r="78" spans="1:100" s="125" customFormat="1" x14ac:dyDescent="0.3">
      <c r="A78" s="199">
        <v>61319</v>
      </c>
      <c r="B78" s="139"/>
      <c r="C78" s="558">
        <f>VLOOKUP($A78,'Fed Bs Rt+IME+GME+VBP+RAA+HAC'!$B$5:$AG$88,19,FALSE)</f>
        <v>6859.53</v>
      </c>
      <c r="D78" s="458">
        <f>VLOOKUP($A78,'Fed Bs Rt+IME+GME+VBP+RAA+HAC'!$B$5:$AG$88,25,FALSE)</f>
        <v>0</v>
      </c>
      <c r="E78" s="458">
        <f>VLOOKUP($A78,'Fed Bs Rt+IME+GME+VBP+RAA+HAC'!$B$5:$AG$88,29,FALSE)</f>
        <v>0</v>
      </c>
      <c r="F78" s="458">
        <f>VLOOKUP($A78,'Fed Bs Rt+IME+GME+VBP+RAA+HAC'!$B$5:$AG$88,27,FALSE)</f>
        <v>0</v>
      </c>
      <c r="G78" s="458">
        <f>VLOOKUP($A78,'Fed Bs Rt+IME+GME+VBP+RAA+HAC'!$B$5:$AG$88,32,FALSE)</f>
        <v>0</v>
      </c>
      <c r="H78" s="205">
        <f t="shared" si="126"/>
        <v>0</v>
      </c>
      <c r="I78" s="458">
        <f>VLOOKUP(A78,'Fed Bs Rt+IME+GME+VBP+RAA+HAC'!$B$5:$U$88,20,FALSE)</f>
        <v>0</v>
      </c>
      <c r="J78" s="459">
        <f>IF(Characteristics!M71="CAH",+C78*J$4,0)</f>
        <v>1714.8824999999999</v>
      </c>
      <c r="K78" s="459">
        <f>IF(OR(Characteristics!M71="SCH",Characteristics!M71="MDH"),+C78*K$4,0)</f>
        <v>0</v>
      </c>
      <c r="L78" s="460">
        <f>IF(OR(J78&gt;0,K78&gt;0,M78&gt;0),0,IF(VLOOKUP(A78,Characteristics!A:H,8,FALSE)&lt;=L$6,L$4*C78,IF(VLOOKUP(A78,Characteristics!A:H,8,FALSE)&gt;=L$5,0,(VLOOKUP(A78,Characteristics!A:H,8,FALSE)-L$5)/(L$6-L$5)*L$4*C78)))</f>
        <v>0</v>
      </c>
      <c r="M78" s="541">
        <f>IF(VLOOKUP($A78,Characteristics!$A:$E,3,FALSE)=2,M$4*C78,0)</f>
        <v>0</v>
      </c>
      <c r="N78" s="461">
        <f>IF(VLOOKUP($A78,Characteristics!$A:$K,6,FALSE)&gt;=N$5,N$4*C78,IF(VLOOKUP($A78,Characteristics!$A:$K,6,FALSE)&lt;=N$6,0,(VLOOKUP($A78,Characteristics!$A:$K,6,FALSE)-N$6)/(N$5-N$6)*N$4*C78))</f>
        <v>0</v>
      </c>
      <c r="O78" s="461">
        <f>IF(VLOOKUP($A78,Characteristics!$A:$K,11,FALSE)&lt;=O$6,O$4*C78,IF(VLOOKUP($A78,Characteristics!$A:$K,11,FALSE)&gt;=O$5,0,(VLOOKUP($A78,Characteristics!$A:$K,11,FALSE)-O$5)/(O$6-O$5)*O$4*C78))</f>
        <v>1371.9059999999999</v>
      </c>
      <c r="P78" s="205">
        <f t="shared" si="127"/>
        <v>9946.3185000000012</v>
      </c>
      <c r="Q78" s="205"/>
      <c r="R78" s="86">
        <v>6905.06</v>
      </c>
      <c r="S78" s="87">
        <f t="shared" si="90"/>
        <v>7043.16</v>
      </c>
      <c r="T78" s="471"/>
      <c r="U78" s="86">
        <f t="shared" si="91"/>
        <v>213991.12420928161</v>
      </c>
      <c r="V78" s="89">
        <v>36.029400000000003</v>
      </c>
      <c r="W78" s="90">
        <v>0.84327878787878785</v>
      </c>
      <c r="X78" s="91">
        <f t="shared" si="92"/>
        <v>302197.29177792009</v>
      </c>
      <c r="Y78" s="196"/>
      <c r="Z78" s="86">
        <f t="shared" si="128"/>
        <v>7043.16</v>
      </c>
      <c r="AA78" s="86">
        <f t="shared" si="129"/>
        <v>6338.8440000000001</v>
      </c>
      <c r="AB78" s="86">
        <f t="shared" si="130"/>
        <v>7747.4760000000006</v>
      </c>
      <c r="AC78" s="469"/>
      <c r="AD78" s="100"/>
      <c r="AE78" s="86">
        <f t="shared" si="131"/>
        <v>7965.4167001580081</v>
      </c>
      <c r="AF78" s="86">
        <f t="shared" si="93"/>
        <v>242011.89160294505</v>
      </c>
      <c r="AG78" s="92">
        <f t="shared" si="132"/>
        <v>0</v>
      </c>
      <c r="AH78" s="92">
        <f t="shared" si="133"/>
        <v>1</v>
      </c>
      <c r="AI78" s="86">
        <f t="shared" si="134"/>
        <v>7747.4760000000006</v>
      </c>
      <c r="AJ78" s="201"/>
      <c r="AK78" s="86">
        <f t="shared" si="94"/>
        <v>235390.23663020978</v>
      </c>
      <c r="AL78" s="93">
        <f t="shared" si="95"/>
        <v>302197.29177792009</v>
      </c>
      <c r="AM78" s="93">
        <f t="shared" si="96"/>
        <v>213991.12420928161</v>
      </c>
      <c r="AN78" s="94">
        <f t="shared" si="135"/>
        <v>0</v>
      </c>
      <c r="AO78" s="95"/>
      <c r="AP78" s="86">
        <f t="shared" si="136"/>
        <v>7938.5013988126229</v>
      </c>
      <c r="AQ78" s="86">
        <f t="shared" si="97"/>
        <v>241194.12861114441</v>
      </c>
      <c r="AR78" s="92">
        <f t="shared" si="137"/>
        <v>0</v>
      </c>
      <c r="AS78" s="92">
        <f t="shared" si="138"/>
        <v>1</v>
      </c>
      <c r="AT78" s="86">
        <f t="shared" si="139"/>
        <v>7747.4760000000006</v>
      </c>
      <c r="AU78" s="86">
        <f t="shared" si="98"/>
        <v>235390.23663020978</v>
      </c>
      <c r="AV78" s="93">
        <f t="shared" si="99"/>
        <v>0</v>
      </c>
      <c r="AW78" s="93">
        <f t="shared" si="100"/>
        <v>-21399.11242092817</v>
      </c>
      <c r="AX78" s="94">
        <f t="shared" si="101"/>
        <v>1</v>
      </c>
      <c r="AY78" s="92">
        <f t="shared" si="157"/>
        <v>1</v>
      </c>
      <c r="AZ78" s="95"/>
      <c r="BA78" s="86">
        <f t="shared" si="140"/>
        <v>7747.4760000000006</v>
      </c>
      <c r="BB78" s="86">
        <f t="shared" si="102"/>
        <v>235390.23663020978</v>
      </c>
      <c r="BC78" s="92">
        <f t="shared" si="141"/>
        <v>0</v>
      </c>
      <c r="BD78" s="92">
        <f t="shared" si="142"/>
        <v>1</v>
      </c>
      <c r="BE78" s="86">
        <f t="shared" si="143"/>
        <v>7747.4760000000006</v>
      </c>
      <c r="BF78" s="86">
        <f t="shared" si="103"/>
        <v>235390.23663020978</v>
      </c>
      <c r="BG78" s="93">
        <f t="shared" si="104"/>
        <v>0</v>
      </c>
      <c r="BH78" s="93">
        <f t="shared" si="105"/>
        <v>-21399.11242092817</v>
      </c>
      <c r="BI78" s="94">
        <f t="shared" si="106"/>
        <v>1</v>
      </c>
      <c r="BJ78" s="92">
        <f t="shared" si="107"/>
        <v>0</v>
      </c>
      <c r="BK78" s="95"/>
      <c r="BL78" s="86">
        <f t="shared" si="144"/>
        <v>7747.4760000000006</v>
      </c>
      <c r="BM78" s="86">
        <f t="shared" si="108"/>
        <v>235390.23663020978</v>
      </c>
      <c r="BN78" s="92">
        <f t="shared" si="145"/>
        <v>0</v>
      </c>
      <c r="BO78" s="92">
        <f t="shared" si="146"/>
        <v>1</v>
      </c>
      <c r="BP78" s="86">
        <f t="shared" si="147"/>
        <v>7747.4760000000006</v>
      </c>
      <c r="BQ78" s="86">
        <f t="shared" si="109"/>
        <v>235390.23663020978</v>
      </c>
      <c r="BR78" s="93">
        <f t="shared" si="110"/>
        <v>0</v>
      </c>
      <c r="BS78" s="93">
        <f t="shared" si="111"/>
        <v>-21399.11242092817</v>
      </c>
      <c r="BT78" s="94">
        <f t="shared" si="112"/>
        <v>1</v>
      </c>
      <c r="BU78" s="92">
        <f t="shared" si="113"/>
        <v>0</v>
      </c>
      <c r="BV78" s="95"/>
      <c r="BW78" s="86">
        <f t="shared" si="148"/>
        <v>7747.4760000000006</v>
      </c>
      <c r="BX78" s="86">
        <f t="shared" si="114"/>
        <v>235390.23663020978</v>
      </c>
      <c r="BY78" s="92">
        <f t="shared" si="149"/>
        <v>0</v>
      </c>
      <c r="BZ78" s="92">
        <f t="shared" si="150"/>
        <v>1</v>
      </c>
      <c r="CA78" s="86">
        <f t="shared" si="151"/>
        <v>7747.4760000000006</v>
      </c>
      <c r="CB78" s="86">
        <f t="shared" si="115"/>
        <v>235390.23663020978</v>
      </c>
      <c r="CC78" s="96">
        <f t="shared" si="116"/>
        <v>0</v>
      </c>
      <c r="CD78" s="96">
        <f t="shared" si="117"/>
        <v>-21399.11242092817</v>
      </c>
      <c r="CE78" s="94">
        <f t="shared" si="118"/>
        <v>1</v>
      </c>
      <c r="CF78" s="92">
        <f t="shared" si="119"/>
        <v>0</v>
      </c>
      <c r="CG78" s="67"/>
      <c r="CH78" s="86">
        <f t="shared" si="120"/>
        <v>7948.1885196349685</v>
      </c>
      <c r="CI78" s="86">
        <f t="shared" si="121"/>
        <v>241488.45074426717</v>
      </c>
      <c r="CJ78" s="92">
        <f t="shared" si="152"/>
        <v>0</v>
      </c>
      <c r="CK78" s="92">
        <f t="shared" si="153"/>
        <v>1</v>
      </c>
      <c r="CL78" s="86">
        <f t="shared" si="154"/>
        <v>7747.4760000000006</v>
      </c>
      <c r="CM78" s="86">
        <f t="shared" si="122"/>
        <v>235390.23663020978</v>
      </c>
      <c r="CN78" s="97">
        <f t="shared" si="123"/>
        <v>1.1000000000000001</v>
      </c>
      <c r="CO78" s="554">
        <f t="shared" si="124"/>
        <v>61319</v>
      </c>
      <c r="CP78" s="153"/>
      <c r="CQ78" s="153">
        <f t="shared" si="125"/>
        <v>7979.9</v>
      </c>
      <c r="CR78" s="353"/>
      <c r="CS78" s="391" t="str">
        <f>VLOOKUP(A78,Characteristics!A71:M154,13,FALSE)</f>
        <v>CAH</v>
      </c>
      <c r="CT78" s="206">
        <f>VLOOKUP(A78,Characteristics!A71:C154,3,FALSE)</f>
        <v>1</v>
      </c>
      <c r="CU78" s="557" t="str">
        <f t="shared" si="155"/>
        <v/>
      </c>
      <c r="CV78" s="557">
        <f t="shared" si="156"/>
        <v>7979.9</v>
      </c>
    </row>
    <row r="79" spans="1:100" s="125" customFormat="1" x14ac:dyDescent="0.3">
      <c r="A79" s="199">
        <v>61320</v>
      </c>
      <c r="B79" s="139"/>
      <c r="C79" s="558">
        <f>VLOOKUP($A79,'Fed Bs Rt+IME+GME+VBP+RAA+HAC'!$B$5:$AG$88,19,FALSE)</f>
        <v>6859.53</v>
      </c>
      <c r="D79" s="458">
        <f>VLOOKUP($A79,'Fed Bs Rt+IME+GME+VBP+RAA+HAC'!$B$5:$AG$88,25,FALSE)</f>
        <v>0</v>
      </c>
      <c r="E79" s="458">
        <f>VLOOKUP($A79,'Fed Bs Rt+IME+GME+VBP+RAA+HAC'!$B$5:$AG$88,29,FALSE)</f>
        <v>0</v>
      </c>
      <c r="F79" s="458">
        <f>VLOOKUP($A79,'Fed Bs Rt+IME+GME+VBP+RAA+HAC'!$B$5:$AG$88,27,FALSE)</f>
        <v>0</v>
      </c>
      <c r="G79" s="458">
        <f>VLOOKUP($A79,'Fed Bs Rt+IME+GME+VBP+RAA+HAC'!$B$5:$AG$88,32,FALSE)</f>
        <v>0</v>
      </c>
      <c r="H79" s="205">
        <f t="shared" si="126"/>
        <v>0</v>
      </c>
      <c r="I79" s="458">
        <f>VLOOKUP(A79,'Fed Bs Rt+IME+GME+VBP+RAA+HAC'!$B$5:$U$88,20,FALSE)</f>
        <v>0</v>
      </c>
      <c r="J79" s="459">
        <f>IF(Characteristics!M72="CAH",+C79*J$4,0)</f>
        <v>1714.8824999999999</v>
      </c>
      <c r="K79" s="459">
        <f>IF(OR(Characteristics!M72="SCH",Characteristics!M72="MDH"),+C79*K$4,0)</f>
        <v>0</v>
      </c>
      <c r="L79" s="460">
        <f>IF(OR(J79&gt;0,K79&gt;0,M79&gt;0),0,IF(VLOOKUP(A79,Characteristics!A:H,8,FALSE)&lt;=L$6,L$4*C79,IF(VLOOKUP(A79,Characteristics!A:H,8,FALSE)&gt;=L$5,0,(VLOOKUP(A79,Characteristics!A:H,8,FALSE)-L$5)/(L$6-L$5)*L$4*C79)))</f>
        <v>0</v>
      </c>
      <c r="M79" s="541">
        <f>IF(VLOOKUP($A79,Characteristics!$A:$E,3,FALSE)=2,M$4*C79,0)</f>
        <v>0</v>
      </c>
      <c r="N79" s="461">
        <f>IF(VLOOKUP($A79,Characteristics!$A:$K,6,FALSE)&gt;=N$5,N$4*C79,IF(VLOOKUP($A79,Characteristics!$A:$K,6,FALSE)&lt;=N$6,0,(VLOOKUP($A79,Characteristics!$A:$K,6,FALSE)-N$6)/(N$5-N$6)*N$4*C79))</f>
        <v>0</v>
      </c>
      <c r="O79" s="461">
        <f>IF(VLOOKUP($A79,Characteristics!$A:$K,11,FALSE)&lt;=O$6,O$4*C79,IF(VLOOKUP($A79,Characteristics!$A:$K,11,FALSE)&gt;=O$5,0,(VLOOKUP($A79,Characteristics!$A:$K,11,FALSE)-O$5)/(O$6-O$5)*O$4*C79))</f>
        <v>0</v>
      </c>
      <c r="P79" s="205">
        <f t="shared" si="127"/>
        <v>8574.4125000000004</v>
      </c>
      <c r="Q79" s="205"/>
      <c r="R79" s="86">
        <v>6998.21</v>
      </c>
      <c r="S79" s="87">
        <f t="shared" si="90"/>
        <v>7138.17</v>
      </c>
      <c r="T79" s="471"/>
      <c r="U79" s="86">
        <f t="shared" si="91"/>
        <v>184425.07494338462</v>
      </c>
      <c r="V79" s="89">
        <v>46.947400000000002</v>
      </c>
      <c r="W79" s="90">
        <v>0.55032790697674416</v>
      </c>
      <c r="X79" s="91">
        <f t="shared" si="92"/>
        <v>221532.50313567679</v>
      </c>
      <c r="Y79" s="196"/>
      <c r="Z79" s="86">
        <f t="shared" si="128"/>
        <v>7138.17</v>
      </c>
      <c r="AA79" s="86">
        <f t="shared" si="129"/>
        <v>6424.3530000000001</v>
      </c>
      <c r="AB79" s="86">
        <f t="shared" si="130"/>
        <v>7851.987000000001</v>
      </c>
      <c r="AC79" s="469"/>
      <c r="AD79" s="100"/>
      <c r="AE79" s="86">
        <f t="shared" si="131"/>
        <v>6866.7385346189722</v>
      </c>
      <c r="AF79" s="86">
        <f t="shared" si="93"/>
        <v>177412.24555645647</v>
      </c>
      <c r="AG79" s="92">
        <f t="shared" si="132"/>
        <v>0</v>
      </c>
      <c r="AH79" s="92">
        <f t="shared" si="133"/>
        <v>0</v>
      </c>
      <c r="AI79" s="86">
        <f t="shared" si="134"/>
        <v>6866.7385346189722</v>
      </c>
      <c r="AJ79" s="201"/>
      <c r="AK79" s="86">
        <f t="shared" si="94"/>
        <v>177412.24555645647</v>
      </c>
      <c r="AL79" s="93">
        <f t="shared" si="95"/>
        <v>221532.50313567679</v>
      </c>
      <c r="AM79" s="93">
        <f t="shared" si="96"/>
        <v>184425.07494338462</v>
      </c>
      <c r="AN79" s="94">
        <f t="shared" si="135"/>
        <v>0</v>
      </c>
      <c r="AO79" s="95"/>
      <c r="AP79" s="86">
        <f t="shared" si="136"/>
        <v>6843.5356886315703</v>
      </c>
      <c r="AQ79" s="86">
        <f t="shared" si="97"/>
        <v>176812.76605258833</v>
      </c>
      <c r="AR79" s="92">
        <f t="shared" si="137"/>
        <v>0</v>
      </c>
      <c r="AS79" s="92">
        <f t="shared" si="138"/>
        <v>0</v>
      </c>
      <c r="AT79" s="86">
        <f t="shared" si="139"/>
        <v>6843.5356886315703</v>
      </c>
      <c r="AU79" s="86">
        <f t="shared" si="98"/>
        <v>176812.76605258833</v>
      </c>
      <c r="AV79" s="93">
        <f t="shared" si="99"/>
        <v>221532.50313567679</v>
      </c>
      <c r="AW79" s="93">
        <f t="shared" si="100"/>
        <v>184425.07494338462</v>
      </c>
      <c r="AX79" s="94">
        <f t="shared" si="101"/>
        <v>0</v>
      </c>
      <c r="AY79" s="92">
        <f t="shared" si="157"/>
        <v>0</v>
      </c>
      <c r="AZ79" s="95"/>
      <c r="BA79" s="86">
        <f t="shared" si="140"/>
        <v>6851.8865683926606</v>
      </c>
      <c r="BB79" s="86">
        <f t="shared" si="102"/>
        <v>177028.5232600774</v>
      </c>
      <c r="BC79" s="92">
        <f t="shared" si="141"/>
        <v>0</v>
      </c>
      <c r="BD79" s="92">
        <f t="shared" si="142"/>
        <v>0</v>
      </c>
      <c r="BE79" s="86">
        <f t="shared" si="143"/>
        <v>6851.8865683926606</v>
      </c>
      <c r="BF79" s="86">
        <f t="shared" si="103"/>
        <v>177028.5232600774</v>
      </c>
      <c r="BG79" s="93">
        <f t="shared" si="104"/>
        <v>221532.50313567679</v>
      </c>
      <c r="BH79" s="93">
        <f t="shared" si="105"/>
        <v>184425.07494338462</v>
      </c>
      <c r="BI79" s="94">
        <f t="shared" si="106"/>
        <v>0</v>
      </c>
      <c r="BJ79" s="92">
        <f t="shared" si="107"/>
        <v>0</v>
      </c>
      <c r="BK79" s="95"/>
      <c r="BL79" s="86">
        <f t="shared" si="144"/>
        <v>6851.8866548577307</v>
      </c>
      <c r="BM79" s="86">
        <f t="shared" si="108"/>
        <v>177028.52549402911</v>
      </c>
      <c r="BN79" s="92">
        <f t="shared" si="145"/>
        <v>0</v>
      </c>
      <c r="BO79" s="92">
        <f t="shared" si="146"/>
        <v>0</v>
      </c>
      <c r="BP79" s="86">
        <f t="shared" si="147"/>
        <v>6851.8866548577307</v>
      </c>
      <c r="BQ79" s="86">
        <f t="shared" si="109"/>
        <v>177028.52549402911</v>
      </c>
      <c r="BR79" s="93">
        <f t="shared" si="110"/>
        <v>221532.50313567679</v>
      </c>
      <c r="BS79" s="93">
        <f t="shared" si="111"/>
        <v>184425.07494338462</v>
      </c>
      <c r="BT79" s="94">
        <f t="shared" si="112"/>
        <v>0</v>
      </c>
      <c r="BU79" s="92">
        <f t="shared" si="113"/>
        <v>0</v>
      </c>
      <c r="BV79" s="95"/>
      <c r="BW79" s="86">
        <f t="shared" si="148"/>
        <v>6851.8866548577307</v>
      </c>
      <c r="BX79" s="86">
        <f t="shared" si="114"/>
        <v>177028.52549402911</v>
      </c>
      <c r="BY79" s="92">
        <f t="shared" si="149"/>
        <v>0</v>
      </c>
      <c r="BZ79" s="92">
        <f t="shared" si="150"/>
        <v>0</v>
      </c>
      <c r="CA79" s="86">
        <f t="shared" si="151"/>
        <v>6851.8866548577307</v>
      </c>
      <c r="CB79" s="86">
        <f t="shared" si="115"/>
        <v>177028.52549402911</v>
      </c>
      <c r="CC79" s="96">
        <f t="shared" si="116"/>
        <v>221532.50313567679</v>
      </c>
      <c r="CD79" s="96">
        <f t="shared" si="117"/>
        <v>184425.07494338462</v>
      </c>
      <c r="CE79" s="94">
        <f t="shared" si="118"/>
        <v>0</v>
      </c>
      <c r="CF79" s="92">
        <f t="shared" si="119"/>
        <v>0</v>
      </c>
      <c r="CG79" s="67"/>
      <c r="CH79" s="86">
        <f t="shared" si="120"/>
        <v>6851.8866548577307</v>
      </c>
      <c r="CI79" s="86">
        <f t="shared" si="121"/>
        <v>177028.52549402911</v>
      </c>
      <c r="CJ79" s="92">
        <f t="shared" si="152"/>
        <v>0</v>
      </c>
      <c r="CK79" s="92">
        <f t="shared" si="153"/>
        <v>0</v>
      </c>
      <c r="CL79" s="86">
        <f t="shared" si="154"/>
        <v>6851.8866548577307</v>
      </c>
      <c r="CM79" s="86">
        <f t="shared" si="122"/>
        <v>177028.52549402911</v>
      </c>
      <c r="CN79" s="97">
        <f t="shared" si="123"/>
        <v>0.9598940141321558</v>
      </c>
      <c r="CO79" s="554">
        <f t="shared" si="124"/>
        <v>61320</v>
      </c>
      <c r="CP79" s="153"/>
      <c r="CQ79" s="153">
        <f t="shared" si="125"/>
        <v>7057.44</v>
      </c>
      <c r="CR79" s="353"/>
      <c r="CS79" s="391" t="str">
        <f>VLOOKUP(A79,Characteristics!A72:M155,13,FALSE)</f>
        <v>CAH</v>
      </c>
      <c r="CT79" s="206">
        <f>VLOOKUP(A79,Characteristics!A72:C155,3,FALSE)</f>
        <v>1</v>
      </c>
      <c r="CU79" s="557" t="str">
        <f t="shared" si="155"/>
        <v/>
      </c>
      <c r="CV79" s="557">
        <f t="shared" si="156"/>
        <v>7057.44</v>
      </c>
    </row>
    <row r="80" spans="1:100" s="125" customFormat="1" x14ac:dyDescent="0.3">
      <c r="A80" s="199">
        <v>61321</v>
      </c>
      <c r="B80" s="139"/>
      <c r="C80" s="558">
        <f>VLOOKUP($A80,'Fed Bs Rt+IME+GME+VBP+RAA+HAC'!$B$5:$AG$88,19,FALSE)</f>
        <v>6859.53</v>
      </c>
      <c r="D80" s="458">
        <f>VLOOKUP($A80,'Fed Bs Rt+IME+GME+VBP+RAA+HAC'!$B$5:$AG$88,25,FALSE)</f>
        <v>0</v>
      </c>
      <c r="E80" s="458">
        <f>VLOOKUP($A80,'Fed Bs Rt+IME+GME+VBP+RAA+HAC'!$B$5:$AG$88,29,FALSE)</f>
        <v>0</v>
      </c>
      <c r="F80" s="458">
        <f>VLOOKUP($A80,'Fed Bs Rt+IME+GME+VBP+RAA+HAC'!$B$5:$AG$88,27,FALSE)</f>
        <v>0</v>
      </c>
      <c r="G80" s="458">
        <f>VLOOKUP($A80,'Fed Bs Rt+IME+GME+VBP+RAA+HAC'!$B$5:$AG$88,32,FALSE)</f>
        <v>0</v>
      </c>
      <c r="H80" s="205">
        <f t="shared" si="126"/>
        <v>0</v>
      </c>
      <c r="I80" s="458">
        <f>VLOOKUP(A80,'Fed Bs Rt+IME+GME+VBP+RAA+HAC'!$B$5:$U$88,20,FALSE)</f>
        <v>0</v>
      </c>
      <c r="J80" s="459">
        <f>IF(Characteristics!M73="CAH",+C80*J$4,0)</f>
        <v>1714.8824999999999</v>
      </c>
      <c r="K80" s="459">
        <f>IF(OR(Characteristics!M73="SCH",Characteristics!M73="MDH"),+C80*K$4,0)</f>
        <v>0</v>
      </c>
      <c r="L80" s="460">
        <f>IF(OR(J80&gt;0,K80&gt;0,M80&gt;0),0,IF(VLOOKUP(A80,Characteristics!A:H,8,FALSE)&lt;=L$6,L$4*C80,IF(VLOOKUP(A80,Characteristics!A:H,8,FALSE)&gt;=L$5,0,(VLOOKUP(A80,Characteristics!A:H,8,FALSE)-L$5)/(L$6-L$5)*L$4*C80)))</f>
        <v>0</v>
      </c>
      <c r="M80" s="541">
        <f>IF(VLOOKUP($A80,Characteristics!$A:$E,3,FALSE)=2,M$4*C80,0)</f>
        <v>0</v>
      </c>
      <c r="N80" s="461">
        <f>IF(VLOOKUP($A80,Characteristics!$A:$K,6,FALSE)&gt;=N$5,N$4*C80,IF(VLOOKUP($A80,Characteristics!$A:$K,6,FALSE)&lt;=N$6,0,(VLOOKUP($A80,Characteristics!$A:$K,6,FALSE)-N$6)/(N$5-N$6)*N$4*C80))</f>
        <v>0</v>
      </c>
      <c r="O80" s="461">
        <f>IF(VLOOKUP($A80,Characteristics!$A:$K,11,FALSE)&lt;=O$6,O$4*C80,IF(VLOOKUP($A80,Characteristics!$A:$K,11,FALSE)&gt;=O$5,0,(VLOOKUP($A80,Characteristics!$A:$K,11,FALSE)-O$5)/(O$6-O$5)*O$4*C80))</f>
        <v>0</v>
      </c>
      <c r="P80" s="205">
        <f t="shared" si="127"/>
        <v>8574.4125000000004</v>
      </c>
      <c r="Q80" s="205"/>
      <c r="R80" s="86">
        <v>6905.06</v>
      </c>
      <c r="S80" s="87">
        <f t="shared" si="90"/>
        <v>7043.16</v>
      </c>
      <c r="T80" s="471"/>
      <c r="U80" s="86">
        <f t="shared" si="91"/>
        <v>1060035.110580679</v>
      </c>
      <c r="V80" s="89">
        <v>162.6782</v>
      </c>
      <c r="W80" s="90">
        <v>0.9251738255033557</v>
      </c>
      <c r="X80" s="91">
        <f t="shared" si="92"/>
        <v>1290497.2061690858</v>
      </c>
      <c r="Y80" s="196"/>
      <c r="Z80" s="86">
        <f t="shared" si="128"/>
        <v>7043.16</v>
      </c>
      <c r="AA80" s="86">
        <f t="shared" si="129"/>
        <v>6338.8440000000001</v>
      </c>
      <c r="AB80" s="86">
        <f t="shared" si="130"/>
        <v>7747.4760000000006</v>
      </c>
      <c r="AC80" s="469"/>
      <c r="AD80" s="100"/>
      <c r="AE80" s="86">
        <f t="shared" si="131"/>
        <v>6866.7385346189722</v>
      </c>
      <c r="AF80" s="86">
        <f t="shared" si="93"/>
        <v>1033482.6898541895</v>
      </c>
      <c r="AG80" s="92">
        <f t="shared" si="132"/>
        <v>0</v>
      </c>
      <c r="AH80" s="92">
        <f t="shared" si="133"/>
        <v>0</v>
      </c>
      <c r="AI80" s="86">
        <f t="shared" si="134"/>
        <v>6866.7385346189722</v>
      </c>
      <c r="AJ80" s="201"/>
      <c r="AK80" s="86">
        <f t="shared" si="94"/>
        <v>1033482.6898541895</v>
      </c>
      <c r="AL80" s="93">
        <f t="shared" si="95"/>
        <v>1290497.2061690858</v>
      </c>
      <c r="AM80" s="93">
        <f t="shared" si="96"/>
        <v>1060035.110580679</v>
      </c>
      <c r="AN80" s="94">
        <f t="shared" si="135"/>
        <v>0</v>
      </c>
      <c r="AO80" s="95"/>
      <c r="AP80" s="86">
        <f t="shared" si="136"/>
        <v>6843.5356886315703</v>
      </c>
      <c r="AQ80" s="86">
        <f t="shared" si="97"/>
        <v>1029990.5313043281</v>
      </c>
      <c r="AR80" s="92">
        <f t="shared" si="137"/>
        <v>0</v>
      </c>
      <c r="AS80" s="92">
        <f t="shared" si="138"/>
        <v>0</v>
      </c>
      <c r="AT80" s="86">
        <f t="shared" si="139"/>
        <v>6843.5356886315703</v>
      </c>
      <c r="AU80" s="86">
        <f t="shared" si="98"/>
        <v>1029990.5313043281</v>
      </c>
      <c r="AV80" s="93">
        <f t="shared" si="99"/>
        <v>1290497.2061690858</v>
      </c>
      <c r="AW80" s="93">
        <f t="shared" si="100"/>
        <v>1060035.110580679</v>
      </c>
      <c r="AX80" s="94">
        <f t="shared" si="101"/>
        <v>0</v>
      </c>
      <c r="AY80" s="92">
        <f t="shared" si="157"/>
        <v>0</v>
      </c>
      <c r="AZ80" s="95"/>
      <c r="BA80" s="86">
        <f t="shared" si="140"/>
        <v>6851.8865683926606</v>
      </c>
      <c r="BB80" s="86">
        <f t="shared" si="102"/>
        <v>1031247.3855786868</v>
      </c>
      <c r="BC80" s="92">
        <f t="shared" si="141"/>
        <v>0</v>
      </c>
      <c r="BD80" s="92">
        <f t="shared" si="142"/>
        <v>0</v>
      </c>
      <c r="BE80" s="86">
        <f t="shared" si="143"/>
        <v>6851.8865683926606</v>
      </c>
      <c r="BF80" s="86">
        <f t="shared" si="103"/>
        <v>1031247.3855786868</v>
      </c>
      <c r="BG80" s="93">
        <f t="shared" si="104"/>
        <v>1290497.2061690858</v>
      </c>
      <c r="BH80" s="93">
        <f t="shared" si="105"/>
        <v>1060035.110580679</v>
      </c>
      <c r="BI80" s="94">
        <f t="shared" si="106"/>
        <v>0</v>
      </c>
      <c r="BJ80" s="92">
        <f t="shared" si="107"/>
        <v>0</v>
      </c>
      <c r="BK80" s="95"/>
      <c r="BL80" s="86">
        <f t="shared" si="144"/>
        <v>6851.8866548577307</v>
      </c>
      <c r="BM80" s="86">
        <f t="shared" si="108"/>
        <v>1031247.3985921653</v>
      </c>
      <c r="BN80" s="92">
        <f t="shared" si="145"/>
        <v>0</v>
      </c>
      <c r="BO80" s="92">
        <f t="shared" si="146"/>
        <v>0</v>
      </c>
      <c r="BP80" s="86">
        <f t="shared" si="147"/>
        <v>6851.8866548577307</v>
      </c>
      <c r="BQ80" s="86">
        <f t="shared" si="109"/>
        <v>1031247.3985921653</v>
      </c>
      <c r="BR80" s="93">
        <f t="shared" si="110"/>
        <v>1290497.2061690858</v>
      </c>
      <c r="BS80" s="93">
        <f t="shared" si="111"/>
        <v>1060035.110580679</v>
      </c>
      <c r="BT80" s="94">
        <f t="shared" si="112"/>
        <v>0</v>
      </c>
      <c r="BU80" s="92">
        <f t="shared" si="113"/>
        <v>0</v>
      </c>
      <c r="BV80" s="95"/>
      <c r="BW80" s="86">
        <f t="shared" si="148"/>
        <v>6851.8866548577307</v>
      </c>
      <c r="BX80" s="86">
        <f t="shared" si="114"/>
        <v>1031247.3985921653</v>
      </c>
      <c r="BY80" s="92">
        <f t="shared" si="149"/>
        <v>0</v>
      </c>
      <c r="BZ80" s="92">
        <f t="shared" si="150"/>
        <v>0</v>
      </c>
      <c r="CA80" s="86">
        <f t="shared" si="151"/>
        <v>6851.8866548577307</v>
      </c>
      <c r="CB80" s="86">
        <f t="shared" si="115"/>
        <v>1031247.3985921653</v>
      </c>
      <c r="CC80" s="96">
        <f t="shared" si="116"/>
        <v>1290497.2061690858</v>
      </c>
      <c r="CD80" s="96">
        <f t="shared" si="117"/>
        <v>1060035.110580679</v>
      </c>
      <c r="CE80" s="94">
        <f t="shared" si="118"/>
        <v>0</v>
      </c>
      <c r="CF80" s="92">
        <f t="shared" si="119"/>
        <v>0</v>
      </c>
      <c r="CG80" s="67"/>
      <c r="CH80" s="86">
        <f t="shared" si="120"/>
        <v>6851.8866548577307</v>
      </c>
      <c r="CI80" s="86">
        <f t="shared" si="121"/>
        <v>1031247.3985921653</v>
      </c>
      <c r="CJ80" s="92">
        <f t="shared" si="152"/>
        <v>0</v>
      </c>
      <c r="CK80" s="92">
        <f t="shared" si="153"/>
        <v>0</v>
      </c>
      <c r="CL80" s="86">
        <f t="shared" si="154"/>
        <v>6851.8866548577307</v>
      </c>
      <c r="CM80" s="86">
        <f t="shared" si="122"/>
        <v>1031247.3985921653</v>
      </c>
      <c r="CN80" s="97">
        <f t="shared" si="123"/>
        <v>0.97284268067994062</v>
      </c>
      <c r="CO80" s="554">
        <f t="shared" si="124"/>
        <v>61321</v>
      </c>
      <c r="CP80" s="153"/>
      <c r="CQ80" s="153">
        <f t="shared" si="125"/>
        <v>7057.44</v>
      </c>
      <c r="CR80" s="353"/>
      <c r="CS80" s="391" t="str">
        <f>VLOOKUP(A80,Characteristics!A73:M156,13,FALSE)</f>
        <v>CAH</v>
      </c>
      <c r="CT80" s="206">
        <f>VLOOKUP(A80,Characteristics!A73:C156,3,FALSE)</f>
        <v>1</v>
      </c>
      <c r="CU80" s="557" t="str">
        <f t="shared" si="155"/>
        <v/>
      </c>
      <c r="CV80" s="557">
        <f t="shared" si="156"/>
        <v>7057.44</v>
      </c>
    </row>
    <row r="81" spans="1:102" s="125" customFormat="1" x14ac:dyDescent="0.3">
      <c r="A81" s="199">
        <v>61322</v>
      </c>
      <c r="B81" s="139"/>
      <c r="C81" s="558">
        <f>VLOOKUP($A81,'Fed Bs Rt+IME+GME+VBP+RAA+HAC'!$B$5:$AG$88,19,FALSE)</f>
        <v>6859.53</v>
      </c>
      <c r="D81" s="458">
        <f>VLOOKUP($A81,'Fed Bs Rt+IME+GME+VBP+RAA+HAC'!$B$5:$AG$88,25,FALSE)</f>
        <v>0</v>
      </c>
      <c r="E81" s="458">
        <f>VLOOKUP($A81,'Fed Bs Rt+IME+GME+VBP+RAA+HAC'!$B$5:$AG$88,29,FALSE)</f>
        <v>0</v>
      </c>
      <c r="F81" s="458">
        <f>VLOOKUP($A81,'Fed Bs Rt+IME+GME+VBP+RAA+HAC'!$B$5:$AG$88,27,FALSE)</f>
        <v>0</v>
      </c>
      <c r="G81" s="458">
        <f>VLOOKUP($A81,'Fed Bs Rt+IME+GME+VBP+RAA+HAC'!$B$5:$AG$88,32,FALSE)</f>
        <v>0</v>
      </c>
      <c r="H81" s="205">
        <f t="shared" si="126"/>
        <v>0</v>
      </c>
      <c r="I81" s="458">
        <f>VLOOKUP(A81,'Fed Bs Rt+IME+GME+VBP+RAA+HAC'!$B$5:$U$88,20,FALSE)</f>
        <v>0</v>
      </c>
      <c r="J81" s="459">
        <f>IF(Characteristics!M74="CAH",+C81*J$4,0)</f>
        <v>1714.8824999999999</v>
      </c>
      <c r="K81" s="459">
        <f>IF(OR(Characteristics!M74="SCH",Characteristics!M74="MDH"),+C81*K$4,0)</f>
        <v>0</v>
      </c>
      <c r="L81" s="460">
        <f>IF(OR(J81&gt;0,K81&gt;0,M81&gt;0),0,IF(VLOOKUP(A81,Characteristics!A:H,8,FALSE)&lt;=L$6,L$4*C81,IF(VLOOKUP(A81,Characteristics!A:H,8,FALSE)&gt;=L$5,0,(VLOOKUP(A81,Characteristics!A:H,8,FALSE)-L$5)/(L$6-L$5)*L$4*C81)))</f>
        <v>0</v>
      </c>
      <c r="M81" s="541">
        <f>IF(VLOOKUP($A81,Characteristics!$A:$E,3,FALSE)=2,M$4*C81,0)</f>
        <v>0</v>
      </c>
      <c r="N81" s="461">
        <f>IF(VLOOKUP($A81,Characteristics!$A:$K,6,FALSE)&gt;=N$5,N$4*C81,IF(VLOOKUP($A81,Characteristics!$A:$K,6,FALSE)&lt;=N$6,0,(VLOOKUP($A81,Characteristics!$A:$K,6,FALSE)-N$6)/(N$5-N$6)*N$4*C81))</f>
        <v>0</v>
      </c>
      <c r="O81" s="461">
        <f>IF(VLOOKUP($A81,Characteristics!$A:$K,11,FALSE)&lt;=O$6,O$4*C81,IF(VLOOKUP($A81,Characteristics!$A:$K,11,FALSE)&gt;=O$5,0,(VLOOKUP($A81,Characteristics!$A:$K,11,FALSE)-O$5)/(O$6-O$5)*O$4*C81))</f>
        <v>0</v>
      </c>
      <c r="P81" s="205">
        <f t="shared" si="127"/>
        <v>8574.4125000000004</v>
      </c>
      <c r="Q81" s="205"/>
      <c r="R81" s="86">
        <v>7041.9</v>
      </c>
      <c r="S81" s="87">
        <f t="shared" si="90"/>
        <v>7182.74</v>
      </c>
      <c r="T81" s="471"/>
      <c r="U81" s="86">
        <f t="shared" si="91"/>
        <v>1542588.8252029326</v>
      </c>
      <c r="V81" s="89">
        <v>278.40900000000005</v>
      </c>
      <c r="W81" s="90">
        <v>0.77139490196078431</v>
      </c>
      <c r="X81" s="91">
        <f t="shared" si="92"/>
        <v>1841468.9805255851</v>
      </c>
      <c r="Y81" s="196"/>
      <c r="Z81" s="86">
        <f t="shared" si="128"/>
        <v>7182.74</v>
      </c>
      <c r="AA81" s="86">
        <f t="shared" si="129"/>
        <v>6464.4660000000003</v>
      </c>
      <c r="AB81" s="86">
        <f t="shared" si="130"/>
        <v>7901.0140000000001</v>
      </c>
      <c r="AC81" s="469"/>
      <c r="AD81" s="100"/>
      <c r="AE81" s="86">
        <f t="shared" si="131"/>
        <v>6866.7385346189722</v>
      </c>
      <c r="AF81" s="86">
        <f t="shared" si="93"/>
        <v>1474723.3129827317</v>
      </c>
      <c r="AG81" s="92">
        <f t="shared" si="132"/>
        <v>0</v>
      </c>
      <c r="AH81" s="92">
        <f t="shared" si="133"/>
        <v>0</v>
      </c>
      <c r="AI81" s="86">
        <f t="shared" si="134"/>
        <v>6866.7385346189722</v>
      </c>
      <c r="AJ81" s="201"/>
      <c r="AK81" s="86">
        <f t="shared" si="94"/>
        <v>1474723.3129827317</v>
      </c>
      <c r="AL81" s="93">
        <f t="shared" si="95"/>
        <v>1841468.9805255851</v>
      </c>
      <c r="AM81" s="93">
        <f t="shared" si="96"/>
        <v>1542588.8252029326</v>
      </c>
      <c r="AN81" s="94">
        <f t="shared" si="135"/>
        <v>0</v>
      </c>
      <c r="AO81" s="95"/>
      <c r="AP81" s="86">
        <f t="shared" si="136"/>
        <v>6843.5356886315703</v>
      </c>
      <c r="AQ81" s="86">
        <f t="shared" si="97"/>
        <v>1469740.1935975014</v>
      </c>
      <c r="AR81" s="92">
        <f t="shared" si="137"/>
        <v>0</v>
      </c>
      <c r="AS81" s="92">
        <f t="shared" si="138"/>
        <v>0</v>
      </c>
      <c r="AT81" s="86">
        <f t="shared" si="139"/>
        <v>6843.5356886315703</v>
      </c>
      <c r="AU81" s="86">
        <f t="shared" si="98"/>
        <v>1469740.1935975014</v>
      </c>
      <c r="AV81" s="93">
        <f t="shared" si="99"/>
        <v>1841468.9805255851</v>
      </c>
      <c r="AW81" s="93">
        <f t="shared" si="100"/>
        <v>1542588.8252029326</v>
      </c>
      <c r="AX81" s="94">
        <f t="shared" si="101"/>
        <v>0</v>
      </c>
      <c r="AY81" s="92">
        <f t="shared" si="157"/>
        <v>0</v>
      </c>
      <c r="AZ81" s="95"/>
      <c r="BA81" s="86">
        <f t="shared" si="140"/>
        <v>6851.8865683926606</v>
      </c>
      <c r="BB81" s="86">
        <f t="shared" si="102"/>
        <v>1471533.6559531025</v>
      </c>
      <c r="BC81" s="92">
        <f t="shared" si="141"/>
        <v>0</v>
      </c>
      <c r="BD81" s="92">
        <f t="shared" si="142"/>
        <v>0</v>
      </c>
      <c r="BE81" s="86">
        <f t="shared" si="143"/>
        <v>6851.8865683926606</v>
      </c>
      <c r="BF81" s="86">
        <f t="shared" si="103"/>
        <v>1471533.6559531025</v>
      </c>
      <c r="BG81" s="93">
        <f t="shared" si="104"/>
        <v>1841468.9805255851</v>
      </c>
      <c r="BH81" s="93">
        <f t="shared" si="105"/>
        <v>1542588.8252029326</v>
      </c>
      <c r="BI81" s="94">
        <f t="shared" si="106"/>
        <v>0</v>
      </c>
      <c r="BJ81" s="92">
        <f t="shared" si="107"/>
        <v>0</v>
      </c>
      <c r="BK81" s="95"/>
      <c r="BL81" s="86">
        <f t="shared" si="144"/>
        <v>6851.8866548577307</v>
      </c>
      <c r="BM81" s="86">
        <f t="shared" si="108"/>
        <v>1471533.674522625</v>
      </c>
      <c r="BN81" s="92">
        <f t="shared" si="145"/>
        <v>0</v>
      </c>
      <c r="BO81" s="92">
        <f t="shared" si="146"/>
        <v>0</v>
      </c>
      <c r="BP81" s="86">
        <f t="shared" si="147"/>
        <v>6851.8866548577307</v>
      </c>
      <c r="BQ81" s="86">
        <f t="shared" si="109"/>
        <v>1471533.674522625</v>
      </c>
      <c r="BR81" s="93">
        <f t="shared" si="110"/>
        <v>1841468.9805255851</v>
      </c>
      <c r="BS81" s="93">
        <f t="shared" si="111"/>
        <v>1542588.8252029326</v>
      </c>
      <c r="BT81" s="94">
        <f t="shared" si="112"/>
        <v>0</v>
      </c>
      <c r="BU81" s="92">
        <f t="shared" si="113"/>
        <v>0</v>
      </c>
      <c r="BV81" s="95"/>
      <c r="BW81" s="86">
        <f t="shared" si="148"/>
        <v>6851.8866548577307</v>
      </c>
      <c r="BX81" s="86">
        <f t="shared" si="114"/>
        <v>1471533.674522625</v>
      </c>
      <c r="BY81" s="92">
        <f t="shared" si="149"/>
        <v>0</v>
      </c>
      <c r="BZ81" s="92">
        <f t="shared" si="150"/>
        <v>0</v>
      </c>
      <c r="CA81" s="86">
        <f t="shared" si="151"/>
        <v>6851.8866548577307</v>
      </c>
      <c r="CB81" s="86">
        <f t="shared" si="115"/>
        <v>1471533.674522625</v>
      </c>
      <c r="CC81" s="96">
        <f t="shared" si="116"/>
        <v>1841468.9805255851</v>
      </c>
      <c r="CD81" s="96">
        <f t="shared" si="117"/>
        <v>1542588.8252029326</v>
      </c>
      <c r="CE81" s="94">
        <f t="shared" si="118"/>
        <v>0</v>
      </c>
      <c r="CF81" s="92">
        <f t="shared" si="119"/>
        <v>0</v>
      </c>
      <c r="CG81" s="67"/>
      <c r="CH81" s="86">
        <f t="shared" si="120"/>
        <v>6851.8866548577307</v>
      </c>
      <c r="CI81" s="86">
        <f t="shared" si="121"/>
        <v>1471533.674522625</v>
      </c>
      <c r="CJ81" s="92">
        <f t="shared" si="152"/>
        <v>0</v>
      </c>
      <c r="CK81" s="92">
        <f t="shared" si="153"/>
        <v>0</v>
      </c>
      <c r="CL81" s="86">
        <f t="shared" si="154"/>
        <v>6851.8866548577307</v>
      </c>
      <c r="CM81" s="86">
        <f t="shared" si="122"/>
        <v>1471533.674522625</v>
      </c>
      <c r="CN81" s="97">
        <f t="shared" si="123"/>
        <v>0.95393772499877916</v>
      </c>
      <c r="CO81" s="554">
        <f t="shared" si="124"/>
        <v>61322</v>
      </c>
      <c r="CP81" s="153"/>
      <c r="CQ81" s="153">
        <f t="shared" si="125"/>
        <v>7057.44</v>
      </c>
      <c r="CR81" s="353"/>
      <c r="CS81" s="391" t="str">
        <f>VLOOKUP(A81,Characteristics!A74:M157,13,FALSE)</f>
        <v>CAH</v>
      </c>
      <c r="CT81" s="206">
        <f>VLOOKUP(A81,Characteristics!A74:C157,3,FALSE)</f>
        <v>1</v>
      </c>
      <c r="CU81" s="557" t="str">
        <f t="shared" si="155"/>
        <v/>
      </c>
      <c r="CV81" s="557">
        <f t="shared" si="156"/>
        <v>7057.44</v>
      </c>
    </row>
    <row r="82" spans="1:102" s="125" customFormat="1" x14ac:dyDescent="0.3">
      <c r="A82" s="199">
        <v>61323</v>
      </c>
      <c r="B82" s="139"/>
      <c r="C82" s="558">
        <f>VLOOKUP($A82,'Fed Bs Rt+IME+GME+VBP+RAA+HAC'!$B$5:$AG$88,19,FALSE)</f>
        <v>6859.53</v>
      </c>
      <c r="D82" s="458">
        <f>VLOOKUP($A82,'Fed Bs Rt+IME+GME+VBP+RAA+HAC'!$B$5:$AG$88,25,FALSE)</f>
        <v>0</v>
      </c>
      <c r="E82" s="458">
        <f>VLOOKUP($A82,'Fed Bs Rt+IME+GME+VBP+RAA+HAC'!$B$5:$AG$88,29,FALSE)</f>
        <v>0</v>
      </c>
      <c r="F82" s="458">
        <f>VLOOKUP($A82,'Fed Bs Rt+IME+GME+VBP+RAA+HAC'!$B$5:$AG$88,27,FALSE)</f>
        <v>0</v>
      </c>
      <c r="G82" s="458">
        <f>VLOOKUP($A82,'Fed Bs Rt+IME+GME+VBP+RAA+HAC'!$B$5:$AG$88,32,FALSE)</f>
        <v>0</v>
      </c>
      <c r="H82" s="205">
        <f t="shared" si="126"/>
        <v>0</v>
      </c>
      <c r="I82" s="458">
        <f>VLOOKUP(A82,'Fed Bs Rt+IME+GME+VBP+RAA+HAC'!$B$5:$U$88,20,FALSE)</f>
        <v>0</v>
      </c>
      <c r="J82" s="459">
        <f>IF(Characteristics!M75="CAH",+C82*J$4,0)</f>
        <v>1714.8824999999999</v>
      </c>
      <c r="K82" s="459">
        <f>IF(OR(Characteristics!M75="SCH",Characteristics!M75="MDH"),+C82*K$4,0)</f>
        <v>0</v>
      </c>
      <c r="L82" s="460">
        <f>IF(OR(J82&gt;0,K82&gt;0,M82&gt;0),0,IF(VLOOKUP(A82,Characteristics!A:H,8,FALSE)&lt;=L$6,L$4*C82,IF(VLOOKUP(A82,Characteristics!A:H,8,FALSE)&gt;=L$5,0,(VLOOKUP(A82,Characteristics!A:H,8,FALSE)-L$5)/(L$6-L$5)*L$4*C82)))</f>
        <v>0</v>
      </c>
      <c r="M82" s="541">
        <f>IF(VLOOKUP($A82,Characteristics!$A:$E,3,FALSE)=2,M$4*C82,0)</f>
        <v>0</v>
      </c>
      <c r="N82" s="461">
        <f>IF(VLOOKUP($A82,Characteristics!$A:$K,6,FALSE)&gt;=N$5,N$4*C82,IF(VLOOKUP($A82,Characteristics!$A:$K,6,FALSE)&lt;=N$6,0,(VLOOKUP($A82,Characteristics!$A:$K,6,FALSE)-N$6)/(N$5-N$6)*N$4*C82))</f>
        <v>0</v>
      </c>
      <c r="O82" s="461">
        <f>IF(VLOOKUP($A82,Characteristics!$A:$K,11,FALSE)&lt;=O$6,O$4*C82,IF(VLOOKUP($A82,Characteristics!$A:$K,11,FALSE)&gt;=O$5,0,(VLOOKUP($A82,Characteristics!$A:$K,11,FALSE)-O$5)/(O$6-O$5)*O$4*C82))</f>
        <v>343.91200220695407</v>
      </c>
      <c r="P82" s="205">
        <f t="shared" si="127"/>
        <v>8918.324502206955</v>
      </c>
      <c r="Q82" s="205"/>
      <c r="R82" s="86">
        <v>6947.83</v>
      </c>
      <c r="S82" s="87">
        <f t="shared" si="90"/>
        <v>7086.79</v>
      </c>
      <c r="T82" s="471"/>
      <c r="U82" s="86">
        <f t="shared" si="91"/>
        <v>900699.57596816262</v>
      </c>
      <c r="V82" s="89">
        <v>185.60600000000002</v>
      </c>
      <c r="W82" s="90">
        <v>0.68476000000000004</v>
      </c>
      <c r="X82" s="91">
        <f t="shared" si="92"/>
        <v>1133479.4875372741</v>
      </c>
      <c r="Y82" s="196"/>
      <c r="Z82" s="86">
        <f t="shared" si="128"/>
        <v>7086.79</v>
      </c>
      <c r="AA82" s="86">
        <f t="shared" si="129"/>
        <v>6378.1109999999999</v>
      </c>
      <c r="AB82" s="86">
        <f t="shared" si="130"/>
        <v>7795.469000000001</v>
      </c>
      <c r="AC82" s="469"/>
      <c r="AD82" s="100"/>
      <c r="AE82" s="86">
        <f t="shared" si="131"/>
        <v>7142.15726424884</v>
      </c>
      <c r="AF82" s="86">
        <f t="shared" si="93"/>
        <v>907736.50967601163</v>
      </c>
      <c r="AG82" s="92">
        <f t="shared" si="132"/>
        <v>0</v>
      </c>
      <c r="AH82" s="92">
        <f t="shared" si="133"/>
        <v>0</v>
      </c>
      <c r="AI82" s="86">
        <f t="shared" si="134"/>
        <v>7142.15726424884</v>
      </c>
      <c r="AJ82" s="201"/>
      <c r="AK82" s="86">
        <f t="shared" si="94"/>
        <v>907736.50967601163</v>
      </c>
      <c r="AL82" s="93">
        <f t="shared" si="95"/>
        <v>1133479.4875372741</v>
      </c>
      <c r="AM82" s="93">
        <f t="shared" si="96"/>
        <v>900699.57596816262</v>
      </c>
      <c r="AN82" s="94">
        <f t="shared" si="135"/>
        <v>0</v>
      </c>
      <c r="AO82" s="95"/>
      <c r="AP82" s="86">
        <f t="shared" si="136"/>
        <v>7118.0237728999718</v>
      </c>
      <c r="AQ82" s="86">
        <f t="shared" si="97"/>
        <v>904669.24996822327</v>
      </c>
      <c r="AR82" s="92">
        <f t="shared" si="137"/>
        <v>0</v>
      </c>
      <c r="AS82" s="92">
        <f t="shared" si="138"/>
        <v>0</v>
      </c>
      <c r="AT82" s="86">
        <f t="shared" si="139"/>
        <v>7118.0237728999718</v>
      </c>
      <c r="AU82" s="86">
        <f t="shared" si="98"/>
        <v>904669.24996822327</v>
      </c>
      <c r="AV82" s="93">
        <f t="shared" si="99"/>
        <v>1133479.4875372741</v>
      </c>
      <c r="AW82" s="93">
        <f t="shared" si="100"/>
        <v>900699.57596816262</v>
      </c>
      <c r="AX82" s="94">
        <f t="shared" si="101"/>
        <v>0</v>
      </c>
      <c r="AY82" s="92">
        <f t="shared" si="157"/>
        <v>0</v>
      </c>
      <c r="AZ82" s="95"/>
      <c r="BA82" s="86">
        <f t="shared" si="140"/>
        <v>7126.7095989654099</v>
      </c>
      <c r="BB82" s="86">
        <f t="shared" si="102"/>
        <v>905773.17993568024</v>
      </c>
      <c r="BC82" s="92">
        <f t="shared" si="141"/>
        <v>0</v>
      </c>
      <c r="BD82" s="92">
        <f>IF(BA82&gt;=$AB82,1,0)</f>
        <v>0</v>
      </c>
      <c r="BE82" s="86">
        <f t="shared" si="143"/>
        <v>7126.7095989654099</v>
      </c>
      <c r="BF82" s="86">
        <f t="shared" si="103"/>
        <v>905773.17993568024</v>
      </c>
      <c r="BG82" s="93">
        <f t="shared" si="104"/>
        <v>1133479.4875372741</v>
      </c>
      <c r="BH82" s="93">
        <f t="shared" si="105"/>
        <v>900699.57596816262</v>
      </c>
      <c r="BI82" s="94">
        <f t="shared" si="106"/>
        <v>0</v>
      </c>
      <c r="BJ82" s="92">
        <f t="shared" si="107"/>
        <v>0</v>
      </c>
      <c r="BK82" s="95"/>
      <c r="BL82" s="86">
        <f t="shared" si="144"/>
        <v>7126.7096888985161</v>
      </c>
      <c r="BM82" s="86">
        <f t="shared" si="108"/>
        <v>905773.19136577903</v>
      </c>
      <c r="BN82" s="92">
        <f t="shared" si="145"/>
        <v>0</v>
      </c>
      <c r="BO82" s="92">
        <f t="shared" si="146"/>
        <v>0</v>
      </c>
      <c r="BP82" s="86">
        <f t="shared" si="147"/>
        <v>7126.7096888985161</v>
      </c>
      <c r="BQ82" s="86">
        <f t="shared" si="109"/>
        <v>905773.19136577903</v>
      </c>
      <c r="BR82" s="93">
        <f t="shared" si="110"/>
        <v>1133479.4875372741</v>
      </c>
      <c r="BS82" s="93">
        <f t="shared" si="111"/>
        <v>900699.57596816262</v>
      </c>
      <c r="BT82" s="94">
        <f t="shared" si="112"/>
        <v>0</v>
      </c>
      <c r="BU82" s="92">
        <f t="shared" si="113"/>
        <v>0</v>
      </c>
      <c r="BV82" s="95"/>
      <c r="BW82" s="86">
        <f t="shared" si="148"/>
        <v>7126.7096888985161</v>
      </c>
      <c r="BX82" s="86">
        <f t="shared" si="114"/>
        <v>905773.19136577903</v>
      </c>
      <c r="BY82" s="92">
        <f t="shared" si="149"/>
        <v>0</v>
      </c>
      <c r="BZ82" s="92">
        <f t="shared" si="150"/>
        <v>0</v>
      </c>
      <c r="CA82" s="86">
        <f t="shared" si="151"/>
        <v>7126.7096888985161</v>
      </c>
      <c r="CB82" s="86">
        <f t="shared" si="115"/>
        <v>905773.19136577903</v>
      </c>
      <c r="CC82" s="96">
        <f t="shared" si="116"/>
        <v>1133479.4875372741</v>
      </c>
      <c r="CD82" s="96">
        <f t="shared" si="117"/>
        <v>900699.57596816262</v>
      </c>
      <c r="CE82" s="94">
        <f t="shared" si="118"/>
        <v>0</v>
      </c>
      <c r="CF82" s="92">
        <f t="shared" si="119"/>
        <v>0</v>
      </c>
      <c r="CG82" s="67"/>
      <c r="CH82" s="86">
        <f t="shared" si="120"/>
        <v>7126.7096888985161</v>
      </c>
      <c r="CI82" s="86">
        <f t="shared" si="121"/>
        <v>905773.19136577903</v>
      </c>
      <c r="CJ82" s="92">
        <f t="shared" si="152"/>
        <v>0</v>
      </c>
      <c r="CK82" s="92">
        <f t="shared" si="153"/>
        <v>0</v>
      </c>
      <c r="CL82" s="86">
        <f t="shared" si="154"/>
        <v>7126.7096888985161</v>
      </c>
      <c r="CM82" s="86">
        <f t="shared" si="122"/>
        <v>905773.19136577903</v>
      </c>
      <c r="CN82" s="97">
        <f t="shared" si="123"/>
        <v>1.005632971895388</v>
      </c>
      <c r="CO82" s="554">
        <f t="shared" si="124"/>
        <v>61323</v>
      </c>
      <c r="CP82" s="153"/>
      <c r="CQ82" s="153">
        <f t="shared" si="125"/>
        <v>7340.51</v>
      </c>
      <c r="CR82" s="353"/>
      <c r="CS82" s="391" t="str">
        <f>VLOOKUP(A82,Characteristics!A75:M158,13,FALSE)</f>
        <v>CAH</v>
      </c>
      <c r="CT82" s="206">
        <f>VLOOKUP(A82,Characteristics!A75:C158,3,FALSE)</f>
        <v>1</v>
      </c>
      <c r="CU82" s="557" t="str">
        <f t="shared" si="155"/>
        <v/>
      </c>
      <c r="CV82" s="557">
        <f t="shared" si="156"/>
        <v>7340.51</v>
      </c>
    </row>
    <row r="83" spans="1:102" s="125" customFormat="1" x14ac:dyDescent="0.3">
      <c r="A83" s="199">
        <v>61324</v>
      </c>
      <c r="B83" s="139"/>
      <c r="C83" s="558">
        <f>VLOOKUP($A83,'Fed Bs Rt+IME+GME+VBP+RAA+HAC'!$B$5:$AG$88,19,FALSE)</f>
        <v>6859.53</v>
      </c>
      <c r="D83" s="458">
        <f>VLOOKUP($A83,'Fed Bs Rt+IME+GME+VBP+RAA+HAC'!$B$5:$AG$88,25,FALSE)</f>
        <v>0</v>
      </c>
      <c r="E83" s="458">
        <f>VLOOKUP($A83,'Fed Bs Rt+IME+GME+VBP+RAA+HAC'!$B$5:$AG$88,29,FALSE)</f>
        <v>0</v>
      </c>
      <c r="F83" s="458">
        <f>VLOOKUP($A83,'Fed Bs Rt+IME+GME+VBP+RAA+HAC'!$B$5:$AG$88,27,FALSE)</f>
        <v>0</v>
      </c>
      <c r="G83" s="458">
        <f>VLOOKUP($A83,'Fed Bs Rt+IME+GME+VBP+RAA+HAC'!$B$5:$AG$88,32,FALSE)</f>
        <v>0</v>
      </c>
      <c r="H83" s="205">
        <f t="shared" si="126"/>
        <v>0</v>
      </c>
      <c r="I83" s="458">
        <f>VLOOKUP(A83,'Fed Bs Rt+IME+GME+VBP+RAA+HAC'!$B$5:$U$88,20,FALSE)</f>
        <v>0</v>
      </c>
      <c r="J83" s="459">
        <f>IF(Characteristics!M76="CAH",+C83*J$4,0)</f>
        <v>1714.8824999999999</v>
      </c>
      <c r="K83" s="459">
        <f>IF(OR(Characteristics!M76="SCH",Characteristics!M76="MDH"),+C83*K$4,0)</f>
        <v>0</v>
      </c>
      <c r="L83" s="460">
        <f>IF(OR(J83&gt;0,K83&gt;0,M83&gt;0),0,IF(VLOOKUP(A83,Characteristics!A:H,8,FALSE)&lt;=L$6,L$4*C83,IF(VLOOKUP(A83,Characteristics!A:H,8,FALSE)&gt;=L$5,0,(VLOOKUP(A83,Characteristics!A:H,8,FALSE)-L$5)/(L$6-L$5)*L$4*C83)))</f>
        <v>0</v>
      </c>
      <c r="M83" s="541">
        <f>IF(VLOOKUP($A83,Characteristics!$A:$E,3,FALSE)=2,M$4*C83,0)</f>
        <v>0</v>
      </c>
      <c r="N83" s="461">
        <f>IF(VLOOKUP($A83,Characteristics!$A:$K,6,FALSE)&gt;=N$5,N$4*C83,IF(VLOOKUP($A83,Characteristics!$A:$K,6,FALSE)&lt;=N$6,0,(VLOOKUP($A83,Characteristics!$A:$K,6,FALSE)-N$6)/(N$5-N$6)*N$4*C83))</f>
        <v>0</v>
      </c>
      <c r="O83" s="461">
        <f>IF(VLOOKUP($A83,Characteristics!$A:$K,11,FALSE)&lt;=O$6,O$4*C83,IF(VLOOKUP($A83,Characteristics!$A:$K,11,FALSE)&gt;=O$5,0,(VLOOKUP($A83,Characteristics!$A:$K,11,FALSE)-O$5)/(O$6-O$5)*O$4*C83))</f>
        <v>0</v>
      </c>
      <c r="P83" s="205">
        <f t="shared" si="127"/>
        <v>8574.4125000000004</v>
      </c>
      <c r="Q83" s="205"/>
      <c r="R83" s="86">
        <v>6977.37</v>
      </c>
      <c r="S83" s="87">
        <f t="shared" si="90"/>
        <v>7116.92</v>
      </c>
      <c r="T83" s="471"/>
      <c r="U83" s="86">
        <f t="shared" si="91"/>
        <v>342044.21725314326</v>
      </c>
      <c r="V83" s="89">
        <v>56.773600000000002</v>
      </c>
      <c r="W83" s="90">
        <v>0.84653269230769235</v>
      </c>
      <c r="X83" s="91">
        <f t="shared" si="92"/>
        <v>412092.33937827981</v>
      </c>
      <c r="Y83" s="196"/>
      <c r="Z83" s="86">
        <f t="shared" si="128"/>
        <v>7116.92</v>
      </c>
      <c r="AA83" s="86">
        <f t="shared" si="129"/>
        <v>6405.2280000000001</v>
      </c>
      <c r="AB83" s="86">
        <f t="shared" si="130"/>
        <v>7828.612000000001</v>
      </c>
      <c r="AC83" s="469"/>
      <c r="AD83" s="100"/>
      <c r="AE83" s="86">
        <f t="shared" si="131"/>
        <v>6866.7385346189722</v>
      </c>
      <c r="AF83" s="86">
        <f t="shared" si="93"/>
        <v>330020.31878337008</v>
      </c>
      <c r="AG83" s="92">
        <f t="shared" si="132"/>
        <v>0</v>
      </c>
      <c r="AH83" s="92">
        <f t="shared" si="133"/>
        <v>0</v>
      </c>
      <c r="AI83" s="86">
        <f t="shared" si="134"/>
        <v>6866.7385346189722</v>
      </c>
      <c r="AJ83" s="201"/>
      <c r="AK83" s="86">
        <f t="shared" si="94"/>
        <v>330020.31878337008</v>
      </c>
      <c r="AL83" s="93">
        <f t="shared" si="95"/>
        <v>412092.33937827981</v>
      </c>
      <c r="AM83" s="93">
        <f t="shared" si="96"/>
        <v>342044.21725314326</v>
      </c>
      <c r="AN83" s="94">
        <f t="shared" si="135"/>
        <v>0</v>
      </c>
      <c r="AO83" s="95"/>
      <c r="AP83" s="86">
        <f t="shared" si="136"/>
        <v>6843.5356886315703</v>
      </c>
      <c r="AQ83" s="86">
        <f t="shared" si="97"/>
        <v>328905.17356692726</v>
      </c>
      <c r="AR83" s="92">
        <f t="shared" si="137"/>
        <v>0</v>
      </c>
      <c r="AS83" s="92">
        <f t="shared" si="138"/>
        <v>0</v>
      </c>
      <c r="AT83" s="86">
        <f t="shared" si="139"/>
        <v>6843.5356886315703</v>
      </c>
      <c r="AU83" s="86">
        <f t="shared" si="98"/>
        <v>328905.17356692726</v>
      </c>
      <c r="AV83" s="93">
        <f t="shared" si="99"/>
        <v>412092.33937827981</v>
      </c>
      <c r="AW83" s="93">
        <f t="shared" si="100"/>
        <v>342044.21725314326</v>
      </c>
      <c r="AX83" s="94">
        <f t="shared" si="101"/>
        <v>0</v>
      </c>
      <c r="AY83" s="92">
        <f t="shared" si="157"/>
        <v>0</v>
      </c>
      <c r="AZ83" s="95"/>
      <c r="BA83" s="86">
        <f t="shared" si="140"/>
        <v>6851.8865683926606</v>
      </c>
      <c r="BB83" s="86">
        <f t="shared" si="102"/>
        <v>329306.52276450954</v>
      </c>
      <c r="BC83" s="92">
        <f t="shared" si="141"/>
        <v>0</v>
      </c>
      <c r="BD83" s="92">
        <f t="shared" si="142"/>
        <v>0</v>
      </c>
      <c r="BE83" s="86">
        <f t="shared" si="143"/>
        <v>6851.8865683926606</v>
      </c>
      <c r="BF83" s="86">
        <f t="shared" si="103"/>
        <v>329306.52276450954</v>
      </c>
      <c r="BG83" s="93">
        <f t="shared" si="104"/>
        <v>412092.33937827981</v>
      </c>
      <c r="BH83" s="93">
        <f t="shared" si="105"/>
        <v>342044.21725314326</v>
      </c>
      <c r="BI83" s="94">
        <f t="shared" si="106"/>
        <v>0</v>
      </c>
      <c r="BJ83" s="92">
        <f t="shared" si="107"/>
        <v>0</v>
      </c>
      <c r="BK83" s="95"/>
      <c r="BL83" s="86">
        <f t="shared" si="144"/>
        <v>6851.8866548577307</v>
      </c>
      <c r="BM83" s="86">
        <f t="shared" si="108"/>
        <v>329306.52692008205</v>
      </c>
      <c r="BN83" s="92">
        <f t="shared" si="145"/>
        <v>0</v>
      </c>
      <c r="BO83" s="92">
        <f t="shared" si="146"/>
        <v>0</v>
      </c>
      <c r="BP83" s="86">
        <f t="shared" si="147"/>
        <v>6851.8866548577307</v>
      </c>
      <c r="BQ83" s="86">
        <f t="shared" si="109"/>
        <v>329306.52692008205</v>
      </c>
      <c r="BR83" s="93">
        <f t="shared" si="110"/>
        <v>412092.33937827981</v>
      </c>
      <c r="BS83" s="93">
        <f t="shared" si="111"/>
        <v>342044.21725314326</v>
      </c>
      <c r="BT83" s="94">
        <f t="shared" si="112"/>
        <v>0</v>
      </c>
      <c r="BU83" s="92">
        <f t="shared" si="113"/>
        <v>0</v>
      </c>
      <c r="BV83" s="95"/>
      <c r="BW83" s="86">
        <f t="shared" si="148"/>
        <v>6851.8866548577307</v>
      </c>
      <c r="BX83" s="86">
        <f t="shared" si="114"/>
        <v>329306.52692008205</v>
      </c>
      <c r="BY83" s="92">
        <f t="shared" si="149"/>
        <v>0</v>
      </c>
      <c r="BZ83" s="92">
        <f t="shared" si="150"/>
        <v>0</v>
      </c>
      <c r="CA83" s="86">
        <f t="shared" si="151"/>
        <v>6851.8866548577307</v>
      </c>
      <c r="CB83" s="86">
        <f t="shared" si="115"/>
        <v>329306.52692008205</v>
      </c>
      <c r="CC83" s="96">
        <f t="shared" si="116"/>
        <v>412092.33937827981</v>
      </c>
      <c r="CD83" s="96">
        <f t="shared" si="117"/>
        <v>342044.21725314326</v>
      </c>
      <c r="CE83" s="94">
        <f t="shared" si="118"/>
        <v>0</v>
      </c>
      <c r="CF83" s="92">
        <f t="shared" si="119"/>
        <v>0</v>
      </c>
      <c r="CG83" s="67"/>
      <c r="CH83" s="86">
        <f t="shared" si="120"/>
        <v>6851.8866548577307</v>
      </c>
      <c r="CI83" s="86">
        <f t="shared" si="121"/>
        <v>329306.52692008205</v>
      </c>
      <c r="CJ83" s="92">
        <f t="shared" si="152"/>
        <v>0</v>
      </c>
      <c r="CK83" s="92">
        <f t="shared" si="153"/>
        <v>0</v>
      </c>
      <c r="CL83" s="86">
        <f t="shared" si="154"/>
        <v>6851.8866548577307</v>
      </c>
      <c r="CM83" s="86">
        <f t="shared" si="122"/>
        <v>329306.52692008205</v>
      </c>
      <c r="CN83" s="97">
        <f t="shared" si="123"/>
        <v>0.96276010617763452</v>
      </c>
      <c r="CO83" s="554">
        <f t="shared" si="124"/>
        <v>61324</v>
      </c>
      <c r="CP83" s="153"/>
      <c r="CQ83" s="153">
        <f t="shared" si="125"/>
        <v>7057.44</v>
      </c>
      <c r="CR83" s="353"/>
      <c r="CS83" s="391" t="str">
        <f>VLOOKUP(A83,Characteristics!A76:M159,13,FALSE)</f>
        <v>CAH</v>
      </c>
      <c r="CT83" s="206">
        <f>VLOOKUP(A83,Characteristics!A76:C159,3,FALSE)</f>
        <v>1</v>
      </c>
      <c r="CU83" s="557" t="str">
        <f t="shared" si="155"/>
        <v/>
      </c>
      <c r="CV83" s="557">
        <f t="shared" si="156"/>
        <v>7057.44</v>
      </c>
    </row>
    <row r="84" spans="1:102" s="125" customFormat="1" x14ac:dyDescent="0.3">
      <c r="A84" s="199">
        <v>61325</v>
      </c>
      <c r="B84" s="139"/>
      <c r="C84" s="558">
        <f>VLOOKUP($A84,'Fed Bs Rt+IME+GME+VBP+RAA+HAC'!$B$5:$AG$88,19,FALSE)</f>
        <v>6859.53</v>
      </c>
      <c r="D84" s="458">
        <f>VLOOKUP($A84,'Fed Bs Rt+IME+GME+VBP+RAA+HAC'!$B$5:$AG$88,25,FALSE)</f>
        <v>0</v>
      </c>
      <c r="E84" s="458">
        <f>VLOOKUP($A84,'Fed Bs Rt+IME+GME+VBP+RAA+HAC'!$B$5:$AG$88,29,FALSE)</f>
        <v>0</v>
      </c>
      <c r="F84" s="458">
        <f>VLOOKUP($A84,'Fed Bs Rt+IME+GME+VBP+RAA+HAC'!$B$5:$AG$88,27,FALSE)</f>
        <v>0</v>
      </c>
      <c r="G84" s="458">
        <f>VLOOKUP($A84,'Fed Bs Rt+IME+GME+VBP+RAA+HAC'!$B$5:$AG$88,32,FALSE)</f>
        <v>0</v>
      </c>
      <c r="H84" s="205">
        <f t="shared" si="126"/>
        <v>0</v>
      </c>
      <c r="I84" s="458">
        <f>VLOOKUP(A84,'Fed Bs Rt+IME+GME+VBP+RAA+HAC'!$B$5:$U$88,20,FALSE)</f>
        <v>0</v>
      </c>
      <c r="J84" s="459">
        <f>IF(Characteristics!M77="CAH",+C84*J$4,0)</f>
        <v>1714.8824999999999</v>
      </c>
      <c r="K84" s="459">
        <f>IF(OR(Characteristics!M77="SCH",Characteristics!M77="MDH"),+C84*K$4,0)</f>
        <v>0</v>
      </c>
      <c r="L84" s="460">
        <f>IF(OR(J84&gt;0,K84&gt;0,M84&gt;0),0,IF(VLOOKUP(A84,Characteristics!A:H,8,FALSE)&lt;=L$6,L$4*C84,IF(VLOOKUP(A84,Characteristics!A:H,8,FALSE)&gt;=L$5,0,(VLOOKUP(A84,Characteristics!A:H,8,FALSE)-L$5)/(L$6-L$5)*L$4*C84)))</f>
        <v>0</v>
      </c>
      <c r="M84" s="541">
        <f>IF(VLOOKUP($A84,Characteristics!$A:$E,3,FALSE)=2,M$4*C84,0)</f>
        <v>0</v>
      </c>
      <c r="N84" s="461">
        <f>IF(VLOOKUP($A84,Characteristics!$A:$K,6,FALSE)&gt;=N$5,N$4*C84,IF(VLOOKUP($A84,Characteristics!$A:$K,6,FALSE)&lt;=N$6,0,(VLOOKUP($A84,Characteristics!$A:$K,6,FALSE)-N$6)/(N$5-N$6)*N$4*C84))</f>
        <v>0</v>
      </c>
      <c r="O84" s="461">
        <f>IF(VLOOKUP($A84,Characteristics!$A:$K,11,FALSE)&lt;=O$6,O$4*C84,IF(VLOOKUP($A84,Characteristics!$A:$K,11,FALSE)&gt;=O$5,0,(VLOOKUP($A84,Characteristics!$A:$K,11,FALSE)-O$5)/(O$6-O$5)*O$4*C84))</f>
        <v>256.70254328875984</v>
      </c>
      <c r="P84" s="205">
        <f t="shared" si="127"/>
        <v>8831.1150432887607</v>
      </c>
      <c r="Q84" s="205"/>
      <c r="R84" s="86">
        <v>6905.06</v>
      </c>
      <c r="S84" s="87">
        <f t="shared" si="90"/>
        <v>7043.16</v>
      </c>
      <c r="T84" s="471"/>
      <c r="U84" s="86">
        <f t="shared" si="91"/>
        <v>270037.6636476696</v>
      </c>
      <c r="V84" s="89">
        <v>34.937600000000003</v>
      </c>
      <c r="W84" s="90">
        <v>1.097396875</v>
      </c>
      <c r="X84" s="91">
        <f t="shared" si="92"/>
        <v>338588.59854007087</v>
      </c>
      <c r="Y84" s="196"/>
      <c r="Z84" s="86">
        <f t="shared" si="128"/>
        <v>7043.16</v>
      </c>
      <c r="AA84" s="86">
        <f t="shared" si="129"/>
        <v>6338.8440000000001</v>
      </c>
      <c r="AB84" s="86">
        <f t="shared" si="130"/>
        <v>7747.4760000000006</v>
      </c>
      <c r="AC84" s="469"/>
      <c r="AD84" s="100"/>
      <c r="AE84" s="86">
        <f t="shared" si="131"/>
        <v>7072.3163798574215</v>
      </c>
      <c r="AF84" s="86">
        <f t="shared" si="93"/>
        <v>271155.53129473742</v>
      </c>
      <c r="AG84" s="92">
        <f t="shared" si="132"/>
        <v>0</v>
      </c>
      <c r="AH84" s="92">
        <f t="shared" si="133"/>
        <v>0</v>
      </c>
      <c r="AI84" s="86">
        <f t="shared" si="134"/>
        <v>7072.3163798574215</v>
      </c>
      <c r="AJ84" s="201"/>
      <c r="AK84" s="86">
        <f t="shared" si="94"/>
        <v>271155.53129473742</v>
      </c>
      <c r="AL84" s="93">
        <f t="shared" si="95"/>
        <v>338588.59854007087</v>
      </c>
      <c r="AM84" s="93">
        <f t="shared" si="96"/>
        <v>270037.6636476696</v>
      </c>
      <c r="AN84" s="94">
        <f t="shared" si="135"/>
        <v>0</v>
      </c>
      <c r="AO84" s="95"/>
      <c r="AP84" s="86">
        <f t="shared" si="136"/>
        <v>7048.4188822450251</v>
      </c>
      <c r="AQ84" s="86">
        <f t="shared" si="97"/>
        <v>270239.29136517784</v>
      </c>
      <c r="AR84" s="92">
        <f t="shared" si="137"/>
        <v>0</v>
      </c>
      <c r="AS84" s="92">
        <f t="shared" si="138"/>
        <v>0</v>
      </c>
      <c r="AT84" s="86">
        <f t="shared" si="139"/>
        <v>7048.4188822450251</v>
      </c>
      <c r="AU84" s="86">
        <f t="shared" si="98"/>
        <v>270239.29136517784</v>
      </c>
      <c r="AV84" s="93">
        <f t="shared" si="99"/>
        <v>338588.59854007087</v>
      </c>
      <c r="AW84" s="93">
        <f t="shared" si="100"/>
        <v>270037.6636476696</v>
      </c>
      <c r="AX84" s="94">
        <f t="shared" si="101"/>
        <v>0</v>
      </c>
      <c r="AY84" s="92">
        <f t="shared" si="157"/>
        <v>0</v>
      </c>
      <c r="AZ84" s="95"/>
      <c r="BA84" s="86">
        <f t="shared" si="140"/>
        <v>7057.0197723798137</v>
      </c>
      <c r="BB84" s="86">
        <f t="shared" si="102"/>
        <v>270569.05304562929</v>
      </c>
      <c r="BC84" s="92">
        <f t="shared" si="141"/>
        <v>0</v>
      </c>
      <c r="BD84" s="92">
        <f t="shared" si="142"/>
        <v>0</v>
      </c>
      <c r="BE84" s="86">
        <f t="shared" si="143"/>
        <v>7057.0197723798137</v>
      </c>
      <c r="BF84" s="86">
        <f t="shared" si="103"/>
        <v>270569.05304562929</v>
      </c>
      <c r="BG84" s="93">
        <f t="shared" si="104"/>
        <v>338588.59854007087</v>
      </c>
      <c r="BH84" s="93">
        <f t="shared" si="105"/>
        <v>270037.6636476696</v>
      </c>
      <c r="BI84" s="94">
        <f t="shared" si="106"/>
        <v>0</v>
      </c>
      <c r="BJ84" s="92">
        <f t="shared" si="107"/>
        <v>0</v>
      </c>
      <c r="BK84" s="95"/>
      <c r="BL84" s="86">
        <f t="shared" si="144"/>
        <v>7057.0198614334931</v>
      </c>
      <c r="BM84" s="86">
        <f t="shared" si="108"/>
        <v>270569.0564599841</v>
      </c>
      <c r="BN84" s="92">
        <f t="shared" si="145"/>
        <v>0</v>
      </c>
      <c r="BO84" s="92">
        <f t="shared" si="146"/>
        <v>0</v>
      </c>
      <c r="BP84" s="86">
        <f t="shared" si="147"/>
        <v>7057.0198614334931</v>
      </c>
      <c r="BQ84" s="86">
        <f t="shared" si="109"/>
        <v>270569.0564599841</v>
      </c>
      <c r="BR84" s="93">
        <f t="shared" si="110"/>
        <v>338588.59854007087</v>
      </c>
      <c r="BS84" s="93">
        <f t="shared" si="111"/>
        <v>270037.6636476696</v>
      </c>
      <c r="BT84" s="94">
        <f t="shared" si="112"/>
        <v>0</v>
      </c>
      <c r="BU84" s="92">
        <f t="shared" si="113"/>
        <v>0</v>
      </c>
      <c r="BV84" s="95"/>
      <c r="BW84" s="86">
        <f t="shared" si="148"/>
        <v>7057.0198614334931</v>
      </c>
      <c r="BX84" s="86">
        <f t="shared" si="114"/>
        <v>270569.0564599841</v>
      </c>
      <c r="BY84" s="92">
        <f t="shared" si="149"/>
        <v>0</v>
      </c>
      <c r="BZ84" s="92">
        <f t="shared" si="150"/>
        <v>0</v>
      </c>
      <c r="CA84" s="86">
        <f t="shared" si="151"/>
        <v>7057.0198614334931</v>
      </c>
      <c r="CB84" s="86">
        <f t="shared" si="115"/>
        <v>270569.0564599841</v>
      </c>
      <c r="CC84" s="96">
        <f t="shared" si="116"/>
        <v>338588.59854007087</v>
      </c>
      <c r="CD84" s="96">
        <f t="shared" si="117"/>
        <v>270037.6636476696</v>
      </c>
      <c r="CE84" s="94">
        <f t="shared" si="118"/>
        <v>0</v>
      </c>
      <c r="CF84" s="92">
        <f t="shared" si="119"/>
        <v>0</v>
      </c>
      <c r="CG84" s="67"/>
      <c r="CH84" s="86">
        <f t="shared" si="120"/>
        <v>7057.0198614334931</v>
      </c>
      <c r="CI84" s="86">
        <f t="shared" si="121"/>
        <v>270569.0564599841</v>
      </c>
      <c r="CJ84" s="92">
        <f t="shared" si="152"/>
        <v>0</v>
      </c>
      <c r="CK84" s="92">
        <f t="shared" si="153"/>
        <v>0</v>
      </c>
      <c r="CL84" s="86">
        <f t="shared" si="154"/>
        <v>7057.0198614334931</v>
      </c>
      <c r="CM84" s="86">
        <f t="shared" si="122"/>
        <v>270569.0564599841</v>
      </c>
      <c r="CN84" s="97">
        <f t="shared" si="123"/>
        <v>1.0019678470222873</v>
      </c>
      <c r="CO84" s="554">
        <f t="shared" si="124"/>
        <v>61325</v>
      </c>
      <c r="CP84" s="153"/>
      <c r="CQ84" s="153">
        <f t="shared" si="125"/>
        <v>7268.73</v>
      </c>
      <c r="CR84" s="353"/>
      <c r="CS84" s="391" t="str">
        <f>VLOOKUP(A84,Characteristics!A77:M160,13,FALSE)</f>
        <v>CAH</v>
      </c>
      <c r="CT84" s="206">
        <f>VLOOKUP(A84,Characteristics!A77:C160,3,FALSE)</f>
        <v>1</v>
      </c>
      <c r="CU84" s="557" t="str">
        <f t="shared" si="155"/>
        <v/>
      </c>
      <c r="CV84" s="557">
        <f t="shared" si="156"/>
        <v>7268.73</v>
      </c>
    </row>
    <row r="85" spans="1:102" s="125" customFormat="1" x14ac:dyDescent="0.3">
      <c r="A85" s="199">
        <v>61326</v>
      </c>
      <c r="B85" s="139"/>
      <c r="C85" s="558">
        <f>VLOOKUP($A85,'Fed Bs Rt+IME+GME+VBP+RAA+HAC'!$B$5:$AG$88,19,FALSE)</f>
        <v>6859.53</v>
      </c>
      <c r="D85" s="458">
        <f>VLOOKUP($A85,'Fed Bs Rt+IME+GME+VBP+RAA+HAC'!$B$5:$AG$88,25,FALSE)</f>
        <v>0</v>
      </c>
      <c r="E85" s="458">
        <f>VLOOKUP($A85,'Fed Bs Rt+IME+GME+VBP+RAA+HAC'!$B$5:$AG$88,29,FALSE)</f>
        <v>0</v>
      </c>
      <c r="F85" s="458">
        <f>VLOOKUP($A85,'Fed Bs Rt+IME+GME+VBP+RAA+HAC'!$B$5:$AG$88,27,FALSE)</f>
        <v>0</v>
      </c>
      <c r="G85" s="458">
        <f>VLOOKUP($A85,'Fed Bs Rt+IME+GME+VBP+RAA+HAC'!$B$5:$AG$88,32,FALSE)</f>
        <v>0</v>
      </c>
      <c r="H85" s="205">
        <f t="shared" si="126"/>
        <v>0</v>
      </c>
      <c r="I85" s="458">
        <f>VLOOKUP(A85,'Fed Bs Rt+IME+GME+VBP+RAA+HAC'!$B$5:$U$88,20,FALSE)</f>
        <v>0</v>
      </c>
      <c r="J85" s="459">
        <f>IF(Characteristics!M78="CAH",+C85*J$4,0)</f>
        <v>1714.8824999999999</v>
      </c>
      <c r="K85" s="459">
        <f>IF(OR(Characteristics!M78="SCH",Characteristics!M78="MDH"),+C85*K$4,0)</f>
        <v>0</v>
      </c>
      <c r="L85" s="460">
        <f>IF(OR(J85&gt;0,K85&gt;0,M85&gt;0),0,IF(VLOOKUP(A85,Characteristics!A:H,8,FALSE)&lt;=L$6,L$4*C85,IF(VLOOKUP(A85,Characteristics!A:H,8,FALSE)&gt;=L$5,0,(VLOOKUP(A85,Characteristics!A:H,8,FALSE)-L$5)/(L$6-L$5)*L$4*C85)))</f>
        <v>0</v>
      </c>
      <c r="M85" s="541">
        <f>IF(VLOOKUP($A85,Characteristics!$A:$E,3,FALSE)=2,M$4*C85,0)</f>
        <v>0</v>
      </c>
      <c r="N85" s="461">
        <f>IF(VLOOKUP($A85,Characteristics!$A:$K,6,FALSE)&gt;=N$5,N$4*C85,IF(VLOOKUP($A85,Characteristics!$A:$K,6,FALSE)&lt;=N$6,0,(VLOOKUP($A85,Characteristics!$A:$K,6,FALSE)-N$6)/(N$5-N$6)*N$4*C85))</f>
        <v>0</v>
      </c>
      <c r="O85" s="461">
        <f>IF(VLOOKUP($A85,Characteristics!$A:$K,11,FALSE)&lt;=O$6,O$4*C85,IF(VLOOKUP($A85,Characteristics!$A:$K,11,FALSE)&gt;=O$5,0,(VLOOKUP($A85,Characteristics!$A:$K,11,FALSE)-O$5)/(O$6-O$5)*O$4*C85))</f>
        <v>0</v>
      </c>
      <c r="P85" s="205">
        <f t="shared" si="127"/>
        <v>8574.4125000000004</v>
      </c>
      <c r="Q85" s="205"/>
      <c r="R85" s="86">
        <v>5617.62</v>
      </c>
      <c r="S85" s="87">
        <f t="shared" si="90"/>
        <v>5729.97</v>
      </c>
      <c r="T85" s="471"/>
      <c r="U85" s="86">
        <f t="shared" si="91"/>
        <v>603731.59335085633</v>
      </c>
      <c r="V85" s="89">
        <v>100.44560000000001</v>
      </c>
      <c r="W85" s="90">
        <v>1.0489641304347825</v>
      </c>
      <c r="X85" s="91">
        <f t="shared" si="92"/>
        <v>903432.95351851732</v>
      </c>
      <c r="Y85" s="196"/>
      <c r="Z85" s="86">
        <f t="shared" si="128"/>
        <v>5729.97</v>
      </c>
      <c r="AA85" s="86">
        <f t="shared" si="129"/>
        <v>5156.973</v>
      </c>
      <c r="AB85" s="86">
        <f t="shared" si="130"/>
        <v>6302.9670000000006</v>
      </c>
      <c r="AC85" s="469"/>
      <c r="AD85" s="100"/>
      <c r="AE85" s="86">
        <f t="shared" si="131"/>
        <v>6866.7385346189722</v>
      </c>
      <c r="AF85" s="86">
        <f t="shared" si="93"/>
        <v>723505.88164148084</v>
      </c>
      <c r="AG85" s="92">
        <f t="shared" si="132"/>
        <v>0</v>
      </c>
      <c r="AH85" s="92">
        <f t="shared" si="133"/>
        <v>1</v>
      </c>
      <c r="AI85" s="86">
        <f t="shared" si="134"/>
        <v>6302.9670000000006</v>
      </c>
      <c r="AJ85" s="201"/>
      <c r="AK85" s="86">
        <f t="shared" si="94"/>
        <v>664104.75268594199</v>
      </c>
      <c r="AL85" s="93">
        <f t="shared" si="95"/>
        <v>903432.95351851732</v>
      </c>
      <c r="AM85" s="93">
        <f t="shared" si="96"/>
        <v>603731.59335085633</v>
      </c>
      <c r="AN85" s="94">
        <f t="shared" si="135"/>
        <v>0</v>
      </c>
      <c r="AO85" s="95"/>
      <c r="AP85" s="86">
        <f t="shared" si="136"/>
        <v>6843.5356886315703</v>
      </c>
      <c r="AQ85" s="86">
        <f t="shared" si="97"/>
        <v>721061.14088747185</v>
      </c>
      <c r="AR85" s="92">
        <f t="shared" si="137"/>
        <v>0</v>
      </c>
      <c r="AS85" s="92">
        <f t="shared" si="138"/>
        <v>1</v>
      </c>
      <c r="AT85" s="86">
        <f t="shared" si="139"/>
        <v>6302.9670000000006</v>
      </c>
      <c r="AU85" s="86">
        <f t="shared" si="98"/>
        <v>664104.75268594199</v>
      </c>
      <c r="AV85" s="93">
        <f t="shared" si="99"/>
        <v>0</v>
      </c>
      <c r="AW85" s="93">
        <f t="shared" si="100"/>
        <v>-60373.159335085656</v>
      </c>
      <c r="AX85" s="94">
        <f t="shared" si="101"/>
        <v>1</v>
      </c>
      <c r="AY85" s="92">
        <f t="shared" si="157"/>
        <v>1</v>
      </c>
      <c r="AZ85" s="95"/>
      <c r="BA85" s="86">
        <f t="shared" si="140"/>
        <v>6302.9670000000006</v>
      </c>
      <c r="BB85" s="86">
        <f t="shared" si="102"/>
        <v>664104.75268594199</v>
      </c>
      <c r="BC85" s="92">
        <f t="shared" si="141"/>
        <v>0</v>
      </c>
      <c r="BD85" s="92">
        <f t="shared" si="142"/>
        <v>1</v>
      </c>
      <c r="BE85" s="86">
        <f t="shared" si="143"/>
        <v>6302.9670000000006</v>
      </c>
      <c r="BF85" s="86">
        <f t="shared" si="103"/>
        <v>664104.75268594199</v>
      </c>
      <c r="BG85" s="93">
        <f t="shared" si="104"/>
        <v>0</v>
      </c>
      <c r="BH85" s="93">
        <f t="shared" si="105"/>
        <v>-60373.159335085656</v>
      </c>
      <c r="BI85" s="94">
        <f t="shared" si="106"/>
        <v>1</v>
      </c>
      <c r="BJ85" s="92">
        <f t="shared" si="107"/>
        <v>0</v>
      </c>
      <c r="BK85" s="95"/>
      <c r="BL85" s="86">
        <f t="shared" si="144"/>
        <v>6302.9670000000006</v>
      </c>
      <c r="BM85" s="86">
        <f t="shared" si="108"/>
        <v>664104.75268594199</v>
      </c>
      <c r="BN85" s="92">
        <f t="shared" si="145"/>
        <v>0</v>
      </c>
      <c r="BO85" s="92">
        <f t="shared" si="146"/>
        <v>1</v>
      </c>
      <c r="BP85" s="86">
        <f t="shared" si="147"/>
        <v>6302.9670000000006</v>
      </c>
      <c r="BQ85" s="86">
        <f t="shared" si="109"/>
        <v>664104.75268594199</v>
      </c>
      <c r="BR85" s="93">
        <f t="shared" si="110"/>
        <v>0</v>
      </c>
      <c r="BS85" s="93">
        <f t="shared" si="111"/>
        <v>-60373.159335085656</v>
      </c>
      <c r="BT85" s="94">
        <f t="shared" si="112"/>
        <v>1</v>
      </c>
      <c r="BU85" s="92">
        <f t="shared" si="113"/>
        <v>0</v>
      </c>
      <c r="BV85" s="95"/>
      <c r="BW85" s="86">
        <f t="shared" si="148"/>
        <v>6302.9670000000006</v>
      </c>
      <c r="BX85" s="86">
        <f t="shared" si="114"/>
        <v>664104.75268594199</v>
      </c>
      <c r="BY85" s="92">
        <f t="shared" si="149"/>
        <v>0</v>
      </c>
      <c r="BZ85" s="92">
        <f t="shared" si="150"/>
        <v>1</v>
      </c>
      <c r="CA85" s="86">
        <f t="shared" si="151"/>
        <v>6302.9670000000006</v>
      </c>
      <c r="CB85" s="86">
        <f t="shared" si="115"/>
        <v>664104.75268594199</v>
      </c>
      <c r="CC85" s="96">
        <f t="shared" si="116"/>
        <v>0</v>
      </c>
      <c r="CD85" s="96">
        <f t="shared" si="117"/>
        <v>-60373.159335085656</v>
      </c>
      <c r="CE85" s="94">
        <f t="shared" si="118"/>
        <v>1</v>
      </c>
      <c r="CF85" s="92">
        <f t="shared" si="119"/>
        <v>0</v>
      </c>
      <c r="CG85" s="67"/>
      <c r="CH85" s="86">
        <f t="shared" si="120"/>
        <v>6851.8866548577307</v>
      </c>
      <c r="CI85" s="86">
        <f t="shared" si="121"/>
        <v>721941.03068545321</v>
      </c>
      <c r="CJ85" s="92">
        <f t="shared" si="152"/>
        <v>0</v>
      </c>
      <c r="CK85" s="92">
        <f t="shared" si="153"/>
        <v>1</v>
      </c>
      <c r="CL85" s="86">
        <f t="shared" si="154"/>
        <v>6302.9670000000006</v>
      </c>
      <c r="CM85" s="86">
        <f t="shared" si="122"/>
        <v>664104.75268594199</v>
      </c>
      <c r="CN85" s="97">
        <f t="shared" si="123"/>
        <v>1.1000000000000001</v>
      </c>
      <c r="CO85" s="554">
        <f t="shared" si="124"/>
        <v>61326</v>
      </c>
      <c r="CP85" s="153"/>
      <c r="CQ85" s="153">
        <f t="shared" si="125"/>
        <v>6492.06</v>
      </c>
      <c r="CR85" s="353"/>
      <c r="CS85" s="391" t="str">
        <f>VLOOKUP(A85,Characteristics!A78:M161,13,FALSE)</f>
        <v>CAH</v>
      </c>
      <c r="CT85" s="206">
        <f>VLOOKUP(A85,Characteristics!A78:C161,3,FALSE)</f>
        <v>0</v>
      </c>
      <c r="CU85" s="557">
        <f>IF(CT85=0,CQ85,"")</f>
        <v>6492.06</v>
      </c>
      <c r="CV85" s="557" t="str">
        <f t="shared" si="156"/>
        <v/>
      </c>
    </row>
    <row r="86" spans="1:102" s="125" customFormat="1" x14ac:dyDescent="0.3">
      <c r="A86" s="199">
        <v>61327</v>
      </c>
      <c r="B86" s="139"/>
      <c r="C86" s="558">
        <f>VLOOKUP($A86,'Fed Bs Rt+IME+GME+VBP+RAA+HAC'!$B$5:$AG$88,19,FALSE)</f>
        <v>6859.53</v>
      </c>
      <c r="D86" s="458">
        <f>VLOOKUP($A86,'Fed Bs Rt+IME+GME+VBP+RAA+HAC'!$B$5:$AG$88,25,FALSE)</f>
        <v>0</v>
      </c>
      <c r="E86" s="458">
        <f>VLOOKUP($A86,'Fed Bs Rt+IME+GME+VBP+RAA+HAC'!$B$5:$AG$88,29,FALSE)</f>
        <v>0</v>
      </c>
      <c r="F86" s="458">
        <f>VLOOKUP($A86,'Fed Bs Rt+IME+GME+VBP+RAA+HAC'!$B$5:$AG$88,27,FALSE)</f>
        <v>0</v>
      </c>
      <c r="G86" s="458">
        <f>VLOOKUP($A86,'Fed Bs Rt+IME+GME+VBP+RAA+HAC'!$B$5:$AG$88,32,FALSE)</f>
        <v>0</v>
      </c>
      <c r="H86" s="205">
        <f t="shared" si="126"/>
        <v>0</v>
      </c>
      <c r="I86" s="458">
        <f>VLOOKUP(A86,'Fed Bs Rt+IME+GME+VBP+RAA+HAC'!$B$5:$U$88,20,FALSE)</f>
        <v>0</v>
      </c>
      <c r="J86" s="459">
        <f>IF(Characteristics!M79="CAH",+C86*J$4,0)</f>
        <v>1714.8824999999999</v>
      </c>
      <c r="K86" s="459">
        <f>IF(OR(Characteristics!M79="SCH",Characteristics!M79="MDH"),+C86*K$4,0)</f>
        <v>0</v>
      </c>
      <c r="L86" s="460">
        <f>IF(OR(J86&gt;0,K86&gt;0,M86&gt;0),0,IF(VLOOKUP(A86,Characteristics!A:H,8,FALSE)&lt;=L$6,L$4*C86,IF(VLOOKUP(A86,Characteristics!A:H,8,FALSE)&gt;=L$5,0,(VLOOKUP(A86,Characteristics!A:H,8,FALSE)-L$5)/(L$6-L$5)*L$4*C86)))</f>
        <v>0</v>
      </c>
      <c r="M86" s="541">
        <f>IF(VLOOKUP($A86,Characteristics!$A:$E,3,FALSE)=2,M$4*C86,0)</f>
        <v>0</v>
      </c>
      <c r="N86" s="461">
        <f>IF(VLOOKUP($A86,Characteristics!$A:$K,6,FALSE)&gt;=N$5,N$4*C86,IF(VLOOKUP($A86,Characteristics!$A:$K,6,FALSE)&lt;=N$6,0,(VLOOKUP($A86,Characteristics!$A:$K,6,FALSE)-N$6)/(N$5-N$6)*N$4*C86))</f>
        <v>0</v>
      </c>
      <c r="O86" s="461">
        <f>IF(VLOOKUP($A86,Characteristics!$A:$K,11,FALSE)&lt;=O$6,O$4*C86,IF(VLOOKUP($A86,Characteristics!$A:$K,11,FALSE)&gt;=O$5,0,(VLOOKUP($A86,Characteristics!$A:$K,11,FALSE)-O$5)/(O$6-O$5)*O$4*C86))</f>
        <v>681.12099259523188</v>
      </c>
      <c r="P86" s="205">
        <f t="shared" si="127"/>
        <v>9255.533492595232</v>
      </c>
      <c r="Q86" s="205"/>
      <c r="R86" s="86">
        <v>7047.02</v>
      </c>
      <c r="S86" s="87">
        <f t="shared" si="90"/>
        <v>7187.96</v>
      </c>
      <c r="T86" s="471"/>
      <c r="U86" s="86">
        <f t="shared" si="91"/>
        <v>2965980.3396376087</v>
      </c>
      <c r="V86" s="89">
        <v>514.23779999999999</v>
      </c>
      <c r="W86" s="90">
        <v>0.80241422505307858</v>
      </c>
      <c r="X86" s="91">
        <f t="shared" si="92"/>
        <v>3819126.758064162</v>
      </c>
      <c r="Y86" s="196"/>
      <c r="Z86" s="86">
        <f t="shared" si="128"/>
        <v>7187.96</v>
      </c>
      <c r="AA86" s="86">
        <f t="shared" si="129"/>
        <v>6469.1639999999998</v>
      </c>
      <c r="AB86" s="86">
        <f t="shared" si="130"/>
        <v>7906.7560000000003</v>
      </c>
      <c r="AC86" s="469"/>
      <c r="AD86" s="100"/>
      <c r="AE86" s="86">
        <f t="shared" si="131"/>
        <v>7412.2079491813811</v>
      </c>
      <c r="AF86" s="86">
        <f t="shared" si="93"/>
        <v>3058512.1579109477</v>
      </c>
      <c r="AG86" s="92">
        <f t="shared" si="132"/>
        <v>0</v>
      </c>
      <c r="AH86" s="92">
        <f t="shared" si="133"/>
        <v>0</v>
      </c>
      <c r="AI86" s="86">
        <f t="shared" si="134"/>
        <v>7412.2079491813811</v>
      </c>
      <c r="AJ86" s="201"/>
      <c r="AK86" s="86">
        <f t="shared" si="94"/>
        <v>3058512.1579109477</v>
      </c>
      <c r="AL86" s="93">
        <f t="shared" si="95"/>
        <v>3819126.758064162</v>
      </c>
      <c r="AM86" s="93">
        <f t="shared" si="96"/>
        <v>2965980.3396376087</v>
      </c>
      <c r="AN86" s="94">
        <f t="shared" si="135"/>
        <v>0</v>
      </c>
      <c r="AO86" s="95"/>
      <c r="AP86" s="86">
        <f t="shared" si="136"/>
        <v>7387.1619512007701</v>
      </c>
      <c r="AQ86" s="86">
        <f t="shared" si="97"/>
        <v>3048177.384540326</v>
      </c>
      <c r="AR86" s="92">
        <f t="shared" si="137"/>
        <v>0</v>
      </c>
      <c r="AS86" s="92">
        <f t="shared" si="138"/>
        <v>0</v>
      </c>
      <c r="AT86" s="86">
        <f t="shared" si="139"/>
        <v>7387.1619512007701</v>
      </c>
      <c r="AU86" s="86">
        <f t="shared" si="98"/>
        <v>3048177.384540326</v>
      </c>
      <c r="AV86" s="93">
        <f t="shared" si="99"/>
        <v>3819126.758064162</v>
      </c>
      <c r="AW86" s="93">
        <f t="shared" si="100"/>
        <v>2965980.3396376087</v>
      </c>
      <c r="AX86" s="94">
        <f t="shared" si="101"/>
        <v>0</v>
      </c>
      <c r="AY86" s="92">
        <f t="shared" si="157"/>
        <v>0</v>
      </c>
      <c r="AZ86" s="95"/>
      <c r="BA86" s="86">
        <f t="shared" si="140"/>
        <v>7396.1761953045389</v>
      </c>
      <c r="BB86" s="86">
        <f t="shared" si="102"/>
        <v>3051896.9476414663</v>
      </c>
      <c r="BC86" s="92">
        <f t="shared" si="141"/>
        <v>0</v>
      </c>
      <c r="BD86" s="92">
        <f t="shared" si="142"/>
        <v>0</v>
      </c>
      <c r="BE86" s="86">
        <f t="shared" si="143"/>
        <v>7396.1761953045389</v>
      </c>
      <c r="BF86" s="86">
        <f t="shared" si="103"/>
        <v>3051896.9476414663</v>
      </c>
      <c r="BG86" s="93">
        <f t="shared" si="104"/>
        <v>3819126.758064162</v>
      </c>
      <c r="BH86" s="93">
        <f t="shared" si="105"/>
        <v>2965980.3396376087</v>
      </c>
      <c r="BI86" s="94">
        <f t="shared" si="106"/>
        <v>0</v>
      </c>
      <c r="BJ86" s="92">
        <f t="shared" si="107"/>
        <v>0</v>
      </c>
      <c r="BK86" s="95"/>
      <c r="BL86" s="86">
        <f t="shared" si="144"/>
        <v>7396.1762886380884</v>
      </c>
      <c r="BM86" s="86">
        <f t="shared" si="108"/>
        <v>3051896.9861538499</v>
      </c>
      <c r="BN86" s="92">
        <f t="shared" si="145"/>
        <v>0</v>
      </c>
      <c r="BO86" s="92">
        <f t="shared" si="146"/>
        <v>0</v>
      </c>
      <c r="BP86" s="86">
        <f t="shared" si="147"/>
        <v>7396.1762886380884</v>
      </c>
      <c r="BQ86" s="86">
        <f t="shared" si="109"/>
        <v>3051896.9861538499</v>
      </c>
      <c r="BR86" s="93">
        <f t="shared" si="110"/>
        <v>3819126.758064162</v>
      </c>
      <c r="BS86" s="93">
        <f t="shared" si="111"/>
        <v>2965980.3396376087</v>
      </c>
      <c r="BT86" s="94">
        <f t="shared" si="112"/>
        <v>0</v>
      </c>
      <c r="BU86" s="92">
        <f t="shared" si="113"/>
        <v>0</v>
      </c>
      <c r="BV86" s="95"/>
      <c r="BW86" s="86">
        <f t="shared" si="148"/>
        <v>7396.1762886380884</v>
      </c>
      <c r="BX86" s="86">
        <f t="shared" si="114"/>
        <v>3051896.9861538499</v>
      </c>
      <c r="BY86" s="92">
        <f t="shared" si="149"/>
        <v>0</v>
      </c>
      <c r="BZ86" s="92">
        <f t="shared" si="150"/>
        <v>0</v>
      </c>
      <c r="CA86" s="86">
        <f t="shared" si="151"/>
        <v>7396.1762886380884</v>
      </c>
      <c r="CB86" s="86">
        <f t="shared" si="115"/>
        <v>3051896.9861538499</v>
      </c>
      <c r="CC86" s="96">
        <f t="shared" si="116"/>
        <v>3819126.758064162</v>
      </c>
      <c r="CD86" s="96">
        <f t="shared" si="117"/>
        <v>2965980.3396376087</v>
      </c>
      <c r="CE86" s="94">
        <f t="shared" si="118"/>
        <v>0</v>
      </c>
      <c r="CF86" s="92">
        <f t="shared" si="119"/>
        <v>0</v>
      </c>
      <c r="CG86" s="67"/>
      <c r="CH86" s="86">
        <f t="shared" si="120"/>
        <v>7396.1762886380884</v>
      </c>
      <c r="CI86" s="86">
        <f t="shared" si="121"/>
        <v>3051896.9861538499</v>
      </c>
      <c r="CJ86" s="92">
        <f t="shared" si="152"/>
        <v>0</v>
      </c>
      <c r="CK86" s="92">
        <f t="shared" si="153"/>
        <v>0</v>
      </c>
      <c r="CL86" s="86">
        <f t="shared" si="154"/>
        <v>7396.1762886380884</v>
      </c>
      <c r="CM86" s="86">
        <f t="shared" si="122"/>
        <v>3051896.9861538499</v>
      </c>
      <c r="CN86" s="97">
        <f t="shared" si="123"/>
        <v>1.0289673688554317</v>
      </c>
      <c r="CO86" s="554">
        <f t="shared" si="124"/>
        <v>61327</v>
      </c>
      <c r="CP86" s="153"/>
      <c r="CQ86" s="153">
        <f t="shared" si="125"/>
        <v>7618.06</v>
      </c>
      <c r="CR86" s="353"/>
      <c r="CS86" s="391" t="str">
        <f>VLOOKUP(A86,Characteristics!A79:M162,13,FALSE)</f>
        <v>CAH</v>
      </c>
      <c r="CT86" s="206">
        <f>VLOOKUP(A86,Characteristics!A79:C162,3,FALSE)</f>
        <v>1</v>
      </c>
      <c r="CU86" s="557" t="str">
        <f t="shared" si="155"/>
        <v/>
      </c>
      <c r="CV86" s="557">
        <f t="shared" si="156"/>
        <v>7618.06</v>
      </c>
    </row>
    <row r="87" spans="1:102" s="125" customFormat="1" x14ac:dyDescent="0.3">
      <c r="A87" s="199">
        <v>61328</v>
      </c>
      <c r="B87" s="139"/>
      <c r="C87" s="558">
        <f>VLOOKUP($A87,'Fed Bs Rt+IME+GME+VBP+RAA+HAC'!$B$5:$AG$88,19,FALSE)</f>
        <v>6859.53</v>
      </c>
      <c r="D87" s="458">
        <f>VLOOKUP($A87,'Fed Bs Rt+IME+GME+VBP+RAA+HAC'!$B$5:$AG$88,25,FALSE)</f>
        <v>0</v>
      </c>
      <c r="E87" s="458">
        <f>VLOOKUP($A87,'Fed Bs Rt+IME+GME+VBP+RAA+HAC'!$B$5:$AG$88,29,FALSE)</f>
        <v>0</v>
      </c>
      <c r="F87" s="458">
        <f>VLOOKUP($A87,'Fed Bs Rt+IME+GME+VBP+RAA+HAC'!$B$5:$AG$88,27,FALSE)</f>
        <v>0</v>
      </c>
      <c r="G87" s="458">
        <f>VLOOKUP($A87,'Fed Bs Rt+IME+GME+VBP+RAA+HAC'!$B$5:$AG$88,32,FALSE)</f>
        <v>0</v>
      </c>
      <c r="H87" s="205">
        <f t="shared" si="126"/>
        <v>0</v>
      </c>
      <c r="I87" s="458">
        <f>VLOOKUP(A87,'Fed Bs Rt+IME+GME+VBP+RAA+HAC'!$B$5:$U$88,20,FALSE)</f>
        <v>0</v>
      </c>
      <c r="J87" s="459">
        <f>IF(Characteristics!M80="CAH",+C87*J$4,0)</f>
        <v>1714.8824999999999</v>
      </c>
      <c r="K87" s="459">
        <f>IF(OR(Characteristics!M80="SCH",Characteristics!M80="MDH"),+C87*K$4,0)</f>
        <v>0</v>
      </c>
      <c r="L87" s="460">
        <f>IF(OR(J87&gt;0,K87&gt;0,M87&gt;0),0,IF(VLOOKUP(A87,Characteristics!A:H,8,FALSE)&lt;=L$6,L$4*C87,IF(VLOOKUP(A87,Characteristics!A:H,8,FALSE)&gt;=L$5,0,(VLOOKUP(A87,Characteristics!A:H,8,FALSE)-L$5)/(L$6-L$5)*L$4*C87)))</f>
        <v>0</v>
      </c>
      <c r="M87" s="541">
        <f>IF(VLOOKUP($A87,Characteristics!$A:$E,3,FALSE)=2,M$4*C87,0)</f>
        <v>0</v>
      </c>
      <c r="N87" s="461">
        <f>IF(VLOOKUP($A87,Characteristics!$A:$K,6,FALSE)&gt;=N$5,N$4*C87,IF(VLOOKUP($A87,Characteristics!$A:$K,6,FALSE)&lt;=N$6,0,(VLOOKUP($A87,Characteristics!$A:$K,6,FALSE)-N$6)/(N$5-N$6)*N$4*C87))</f>
        <v>0</v>
      </c>
      <c r="O87" s="461">
        <f>IF(VLOOKUP($A87,Characteristics!$A:$K,11,FALSE)&lt;=O$6,O$4*C87,IF(VLOOKUP($A87,Characteristics!$A:$K,11,FALSE)&gt;=O$5,0,(VLOOKUP($A87,Characteristics!$A:$K,11,FALSE)-O$5)/(O$6-O$5)*O$4*C87))</f>
        <v>0</v>
      </c>
      <c r="P87" s="205">
        <f t="shared" si="127"/>
        <v>8574.4125000000004</v>
      </c>
      <c r="Q87" s="205"/>
      <c r="R87" s="86">
        <v>6905.06</v>
      </c>
      <c r="S87" s="87">
        <f t="shared" si="90"/>
        <v>7043.16</v>
      </c>
      <c r="T87" s="471"/>
      <c r="U87" s="86">
        <f t="shared" si="91"/>
        <v>279802.07275501202</v>
      </c>
      <c r="V87" s="89">
        <v>37.121200000000002</v>
      </c>
      <c r="W87" s="90">
        <v>1.0701911764705883</v>
      </c>
      <c r="X87" s="91">
        <f t="shared" si="92"/>
        <v>340633.80501883879</v>
      </c>
      <c r="Y87" s="196"/>
      <c r="Z87" s="86">
        <f t="shared" si="128"/>
        <v>7043.16</v>
      </c>
      <c r="AA87" s="86">
        <f t="shared" si="129"/>
        <v>6338.8440000000001</v>
      </c>
      <c r="AB87" s="86">
        <f t="shared" si="130"/>
        <v>7747.4760000000006</v>
      </c>
      <c r="AC87" s="469"/>
      <c r="AD87" s="100"/>
      <c r="AE87" s="86">
        <f t="shared" si="131"/>
        <v>6866.7385346189722</v>
      </c>
      <c r="AF87" s="86">
        <f t="shared" si="93"/>
        <v>272793.41588904726</v>
      </c>
      <c r="AG87" s="92">
        <f t="shared" si="132"/>
        <v>0</v>
      </c>
      <c r="AH87" s="92">
        <f t="shared" si="133"/>
        <v>0</v>
      </c>
      <c r="AI87" s="86">
        <f t="shared" si="134"/>
        <v>6866.7385346189722</v>
      </c>
      <c r="AJ87" s="201"/>
      <c r="AK87" s="86">
        <f t="shared" si="94"/>
        <v>272793.41588904726</v>
      </c>
      <c r="AL87" s="93">
        <f t="shared" si="95"/>
        <v>340633.80501883879</v>
      </c>
      <c r="AM87" s="93">
        <f t="shared" si="96"/>
        <v>279802.07275501202</v>
      </c>
      <c r="AN87" s="94">
        <f t="shared" si="135"/>
        <v>0</v>
      </c>
      <c r="AO87" s="95"/>
      <c r="AP87" s="86">
        <f t="shared" si="136"/>
        <v>6843.5356886315703</v>
      </c>
      <c r="AQ87" s="86">
        <f t="shared" si="97"/>
        <v>271871.6415148899</v>
      </c>
      <c r="AR87" s="92">
        <f t="shared" si="137"/>
        <v>0</v>
      </c>
      <c r="AS87" s="92">
        <f t="shared" si="138"/>
        <v>0</v>
      </c>
      <c r="AT87" s="86">
        <f t="shared" si="139"/>
        <v>6843.5356886315703</v>
      </c>
      <c r="AU87" s="86">
        <f t="shared" si="98"/>
        <v>271871.6415148899</v>
      </c>
      <c r="AV87" s="93">
        <f t="shared" si="99"/>
        <v>340633.80501883879</v>
      </c>
      <c r="AW87" s="93">
        <f t="shared" si="100"/>
        <v>279802.07275501202</v>
      </c>
      <c r="AX87" s="94">
        <f t="shared" si="101"/>
        <v>0</v>
      </c>
      <c r="AY87" s="92">
        <f t="shared" si="157"/>
        <v>0</v>
      </c>
      <c r="AZ87" s="95"/>
      <c r="BA87" s="86">
        <f t="shared" si="140"/>
        <v>6851.8865683926606</v>
      </c>
      <c r="BB87" s="86">
        <f t="shared" si="102"/>
        <v>272203.39508381078</v>
      </c>
      <c r="BC87" s="92">
        <f t="shared" si="141"/>
        <v>0</v>
      </c>
      <c r="BD87" s="92">
        <f t="shared" si="142"/>
        <v>0</v>
      </c>
      <c r="BE87" s="86">
        <f t="shared" si="143"/>
        <v>6851.8865683926606</v>
      </c>
      <c r="BF87" s="86">
        <f t="shared" si="103"/>
        <v>272203.39508381078</v>
      </c>
      <c r="BG87" s="93">
        <f t="shared" si="104"/>
        <v>340633.80501883879</v>
      </c>
      <c r="BH87" s="93">
        <f t="shared" si="105"/>
        <v>279802.07275501202</v>
      </c>
      <c r="BI87" s="94">
        <f t="shared" si="106"/>
        <v>0</v>
      </c>
      <c r="BJ87" s="92">
        <f t="shared" si="107"/>
        <v>0</v>
      </c>
      <c r="BK87" s="95"/>
      <c r="BL87" s="86">
        <f t="shared" si="144"/>
        <v>6851.8866548577307</v>
      </c>
      <c r="BM87" s="86">
        <f t="shared" si="108"/>
        <v>272203.39851878968</v>
      </c>
      <c r="BN87" s="92">
        <f t="shared" si="145"/>
        <v>0</v>
      </c>
      <c r="BO87" s="92">
        <f t="shared" si="146"/>
        <v>0</v>
      </c>
      <c r="BP87" s="86">
        <f t="shared" si="147"/>
        <v>6851.8866548577307</v>
      </c>
      <c r="BQ87" s="86">
        <f t="shared" si="109"/>
        <v>272203.39851878968</v>
      </c>
      <c r="BR87" s="93">
        <f t="shared" si="110"/>
        <v>340633.80501883879</v>
      </c>
      <c r="BS87" s="93">
        <f t="shared" si="111"/>
        <v>279802.07275501202</v>
      </c>
      <c r="BT87" s="94">
        <f t="shared" si="112"/>
        <v>0</v>
      </c>
      <c r="BU87" s="92">
        <f t="shared" si="113"/>
        <v>0</v>
      </c>
      <c r="BV87" s="95"/>
      <c r="BW87" s="86">
        <f t="shared" si="148"/>
        <v>6851.8866548577307</v>
      </c>
      <c r="BX87" s="86">
        <f t="shared" si="114"/>
        <v>272203.39851878968</v>
      </c>
      <c r="BY87" s="92">
        <f t="shared" si="149"/>
        <v>0</v>
      </c>
      <c r="BZ87" s="92">
        <f t="shared" si="150"/>
        <v>0</v>
      </c>
      <c r="CA87" s="86">
        <f t="shared" si="151"/>
        <v>6851.8866548577307</v>
      </c>
      <c r="CB87" s="86">
        <f t="shared" si="115"/>
        <v>272203.39851878968</v>
      </c>
      <c r="CC87" s="96">
        <f t="shared" si="116"/>
        <v>340633.80501883879</v>
      </c>
      <c r="CD87" s="96">
        <f t="shared" si="117"/>
        <v>279802.07275501202</v>
      </c>
      <c r="CE87" s="94">
        <f t="shared" si="118"/>
        <v>0</v>
      </c>
      <c r="CF87" s="92">
        <f t="shared" si="119"/>
        <v>0</v>
      </c>
      <c r="CG87" s="67"/>
      <c r="CH87" s="86">
        <f t="shared" si="120"/>
        <v>6851.8866548577307</v>
      </c>
      <c r="CI87" s="86">
        <f t="shared" si="121"/>
        <v>272203.39851878968</v>
      </c>
      <c r="CJ87" s="92">
        <f t="shared" si="152"/>
        <v>0</v>
      </c>
      <c r="CK87" s="92">
        <f t="shared" si="153"/>
        <v>0</v>
      </c>
      <c r="CL87" s="86">
        <f t="shared" si="154"/>
        <v>6851.8866548577307</v>
      </c>
      <c r="CM87" s="86">
        <f t="shared" si="122"/>
        <v>272203.39851878968</v>
      </c>
      <c r="CN87" s="97">
        <f t="shared" si="123"/>
        <v>0.97284268067994062</v>
      </c>
      <c r="CO87" s="554">
        <f t="shared" si="124"/>
        <v>61328</v>
      </c>
      <c r="CP87" s="153"/>
      <c r="CQ87" s="153">
        <f t="shared" si="125"/>
        <v>7057.44</v>
      </c>
      <c r="CR87" s="353"/>
      <c r="CS87" s="391" t="str">
        <f>VLOOKUP(A87,Characteristics!A80:M163,13,FALSE)</f>
        <v>CAH</v>
      </c>
      <c r="CT87" s="206">
        <f>VLOOKUP(A87,Characteristics!A80:C163,3,FALSE)</f>
        <v>1</v>
      </c>
      <c r="CU87" s="557" t="str">
        <f t="shared" si="155"/>
        <v/>
      </c>
      <c r="CV87" s="557">
        <f t="shared" si="156"/>
        <v>7057.44</v>
      </c>
    </row>
    <row r="88" spans="1:102" s="125" customFormat="1" x14ac:dyDescent="0.3">
      <c r="A88" s="199">
        <v>61336</v>
      </c>
      <c r="B88" s="139"/>
      <c r="C88" s="558">
        <f>VLOOKUP($A88,'Fed Bs Rt+IME+GME+VBP+RAA+HAC'!$B$5:$AG$88,19,FALSE)</f>
        <v>6859.53</v>
      </c>
      <c r="D88" s="458">
        <f>VLOOKUP($A88,'Fed Bs Rt+IME+GME+VBP+RAA+HAC'!$B$5:$AG$88,25,FALSE)</f>
        <v>0</v>
      </c>
      <c r="E88" s="458">
        <f>VLOOKUP($A88,'Fed Bs Rt+IME+GME+VBP+RAA+HAC'!$B$5:$AG$88,29,FALSE)</f>
        <v>0</v>
      </c>
      <c r="F88" s="458">
        <f>VLOOKUP($A88,'Fed Bs Rt+IME+GME+VBP+RAA+HAC'!$B$5:$AG$88,27,FALSE)</f>
        <v>0</v>
      </c>
      <c r="G88" s="458">
        <f>VLOOKUP($A88,'Fed Bs Rt+IME+GME+VBP+RAA+HAC'!$B$5:$AG$88,32,FALSE)</f>
        <v>0</v>
      </c>
      <c r="H88" s="205">
        <f t="shared" si="126"/>
        <v>0</v>
      </c>
      <c r="I88" s="458">
        <f>VLOOKUP(A88,'Fed Bs Rt+IME+GME+VBP+RAA+HAC'!$B$5:$U$88,20,FALSE)</f>
        <v>0</v>
      </c>
      <c r="J88" s="459">
        <f>IF(Characteristics!M81="CAH",+C88*J$4,0)</f>
        <v>1714.8824999999999</v>
      </c>
      <c r="K88" s="459">
        <f>IF(OR(Characteristics!M81="SCH",Characteristics!M81="MDH"),+C88*K$4,0)</f>
        <v>0</v>
      </c>
      <c r="L88" s="460">
        <f>IF(OR(J88&gt;0,K88&gt;0,M88&gt;0),0,IF(VLOOKUP(A88,Characteristics!A:H,8,FALSE)&lt;=L$6,L$4*C88,IF(VLOOKUP(A88,Characteristics!A:H,8,FALSE)&gt;=L$5,0,(VLOOKUP(A88,Characteristics!A:H,8,FALSE)-L$5)/(L$6-L$5)*L$4*C88)))</f>
        <v>0</v>
      </c>
      <c r="M88" s="541">
        <f>IF(VLOOKUP($A88,Characteristics!$A:$E,3,FALSE)=2,M$4*C88,0)</f>
        <v>0</v>
      </c>
      <c r="N88" s="461">
        <f>IF(VLOOKUP($A88,Characteristics!$A:$K,6,FALSE)&gt;=N$5,N$4*C88,IF(VLOOKUP($A88,Characteristics!$A:$K,6,FALSE)&lt;=N$6,0,(VLOOKUP($A88,Characteristics!$A:$K,6,FALSE)-N$6)/(N$5-N$6)*N$4*C88))</f>
        <v>0</v>
      </c>
      <c r="O88" s="461">
        <f>IF(VLOOKUP($A88,Characteristics!$A:$K,11,FALSE)&lt;=O$6,O$4*C88,IF(VLOOKUP($A88,Characteristics!$A:$K,11,FALSE)&gt;=O$5,0,(VLOOKUP($A88,Characteristics!$A:$K,11,FALSE)-O$5)/(O$6-O$5)*O$4*C88))</f>
        <v>1371.9059999999999</v>
      </c>
      <c r="P88" s="205">
        <f t="shared" si="127"/>
        <v>9946.3185000000012</v>
      </c>
      <c r="Q88" s="205"/>
      <c r="R88" s="86">
        <v>6944.38</v>
      </c>
      <c r="S88" s="87">
        <f t="shared" si="90"/>
        <v>7083.27</v>
      </c>
      <c r="T88" s="471"/>
      <c r="U88" s="86">
        <f t="shared" si="91"/>
        <v>2248634.4789408715</v>
      </c>
      <c r="V88" s="89">
        <v>389.77260000000001</v>
      </c>
      <c r="W88" s="90">
        <v>0.81446750700280113</v>
      </c>
      <c r="X88" s="91">
        <f t="shared" si="92"/>
        <v>3157529.603929746</v>
      </c>
      <c r="Y88" s="196"/>
      <c r="Z88" s="86">
        <f t="shared" si="128"/>
        <v>7083.27</v>
      </c>
      <c r="AA88" s="86">
        <f t="shared" si="129"/>
        <v>6374.9430000000002</v>
      </c>
      <c r="AB88" s="86">
        <f t="shared" si="130"/>
        <v>7791.5970000000007</v>
      </c>
      <c r="AC88" s="469"/>
      <c r="AD88" s="100"/>
      <c r="AE88" s="86">
        <f t="shared" si="131"/>
        <v>7965.4167001580081</v>
      </c>
      <c r="AF88" s="86">
        <f t="shared" si="93"/>
        <v>2528678.2278674562</v>
      </c>
      <c r="AG88" s="92">
        <f t="shared" si="132"/>
        <v>0</v>
      </c>
      <c r="AH88" s="92">
        <f t="shared" si="133"/>
        <v>1</v>
      </c>
      <c r="AI88" s="86">
        <f t="shared" si="134"/>
        <v>7791.5970000000007</v>
      </c>
      <c r="AJ88" s="201"/>
      <c r="AK88" s="86">
        <f t="shared" si="94"/>
        <v>2473497.9268349586</v>
      </c>
      <c r="AL88" s="93">
        <f t="shared" si="95"/>
        <v>3157529.603929746</v>
      </c>
      <c r="AM88" s="93">
        <f t="shared" si="96"/>
        <v>2248634.4789408715</v>
      </c>
      <c r="AN88" s="94">
        <f t="shared" si="135"/>
        <v>0</v>
      </c>
      <c r="AO88" s="95"/>
      <c r="AP88" s="86">
        <f t="shared" si="136"/>
        <v>7938.5013988126229</v>
      </c>
      <c r="AQ88" s="86">
        <f t="shared" si="97"/>
        <v>2520133.773877094</v>
      </c>
      <c r="AR88" s="92">
        <f t="shared" si="137"/>
        <v>0</v>
      </c>
      <c r="AS88" s="92">
        <f t="shared" si="138"/>
        <v>1</v>
      </c>
      <c r="AT88" s="86">
        <f t="shared" si="139"/>
        <v>7791.5970000000007</v>
      </c>
      <c r="AU88" s="86">
        <f t="shared" si="98"/>
        <v>2473497.9268349586</v>
      </c>
      <c r="AV88" s="93">
        <f t="shared" si="99"/>
        <v>0</v>
      </c>
      <c r="AW88" s="93">
        <f t="shared" si="100"/>
        <v>-224863.44789408706</v>
      </c>
      <c r="AX88" s="94">
        <f t="shared" si="101"/>
        <v>1</v>
      </c>
      <c r="AY88" s="92">
        <f t="shared" si="157"/>
        <v>1</v>
      </c>
      <c r="AZ88" s="95"/>
      <c r="BA88" s="86">
        <f t="shared" si="140"/>
        <v>7791.5970000000007</v>
      </c>
      <c r="BB88" s="86">
        <f t="shared" si="102"/>
        <v>2473497.9268349586</v>
      </c>
      <c r="BC88" s="92">
        <f t="shared" si="141"/>
        <v>0</v>
      </c>
      <c r="BD88" s="92">
        <f t="shared" si="142"/>
        <v>1</v>
      </c>
      <c r="BE88" s="86">
        <f t="shared" si="143"/>
        <v>7791.5970000000007</v>
      </c>
      <c r="BF88" s="86">
        <f t="shared" si="103"/>
        <v>2473497.9268349586</v>
      </c>
      <c r="BG88" s="93">
        <f t="shared" si="104"/>
        <v>0</v>
      </c>
      <c r="BH88" s="93">
        <f t="shared" si="105"/>
        <v>-224863.44789408706</v>
      </c>
      <c r="BI88" s="94">
        <f t="shared" si="106"/>
        <v>1</v>
      </c>
      <c r="BJ88" s="92">
        <f t="shared" si="107"/>
        <v>0</v>
      </c>
      <c r="BK88" s="95"/>
      <c r="BL88" s="86">
        <f t="shared" si="144"/>
        <v>7791.5970000000007</v>
      </c>
      <c r="BM88" s="86">
        <f t="shared" si="108"/>
        <v>2473497.9268349586</v>
      </c>
      <c r="BN88" s="92">
        <f t="shared" si="145"/>
        <v>0</v>
      </c>
      <c r="BO88" s="92">
        <f t="shared" si="146"/>
        <v>1</v>
      </c>
      <c r="BP88" s="86">
        <f t="shared" si="147"/>
        <v>7791.5970000000007</v>
      </c>
      <c r="BQ88" s="86">
        <f t="shared" si="109"/>
        <v>2473497.9268349586</v>
      </c>
      <c r="BR88" s="93">
        <f t="shared" si="110"/>
        <v>0</v>
      </c>
      <c r="BS88" s="93">
        <f t="shared" si="111"/>
        <v>-224863.44789408706</v>
      </c>
      <c r="BT88" s="94">
        <f t="shared" si="112"/>
        <v>1</v>
      </c>
      <c r="BU88" s="92">
        <f t="shared" si="113"/>
        <v>0</v>
      </c>
      <c r="BV88" s="95"/>
      <c r="BW88" s="86">
        <f t="shared" si="148"/>
        <v>7791.5970000000007</v>
      </c>
      <c r="BX88" s="86">
        <f t="shared" si="114"/>
        <v>2473497.9268349586</v>
      </c>
      <c r="BY88" s="92">
        <f t="shared" si="149"/>
        <v>0</v>
      </c>
      <c r="BZ88" s="92">
        <f t="shared" si="150"/>
        <v>1</v>
      </c>
      <c r="CA88" s="86">
        <f t="shared" si="151"/>
        <v>7791.5970000000007</v>
      </c>
      <c r="CB88" s="86">
        <f t="shared" si="115"/>
        <v>2473497.9268349586</v>
      </c>
      <c r="CC88" s="96">
        <f t="shared" si="116"/>
        <v>0</v>
      </c>
      <c r="CD88" s="96">
        <f t="shared" si="117"/>
        <v>-224863.44789408706</v>
      </c>
      <c r="CE88" s="94">
        <f t="shared" si="118"/>
        <v>1</v>
      </c>
      <c r="CF88" s="92">
        <f t="shared" si="119"/>
        <v>0</v>
      </c>
      <c r="CG88" s="67"/>
      <c r="CH88" s="86">
        <f t="shared" si="120"/>
        <v>7948.1885196349685</v>
      </c>
      <c r="CI88" s="86">
        <f t="shared" si="121"/>
        <v>2523209.01933333</v>
      </c>
      <c r="CJ88" s="92">
        <f t="shared" si="152"/>
        <v>0</v>
      </c>
      <c r="CK88" s="92">
        <f t="shared" si="153"/>
        <v>1</v>
      </c>
      <c r="CL88" s="86">
        <f t="shared" si="154"/>
        <v>7791.5970000000007</v>
      </c>
      <c r="CM88" s="86">
        <f t="shared" si="122"/>
        <v>2473497.9268349586</v>
      </c>
      <c r="CN88" s="97">
        <f t="shared" si="123"/>
        <v>1.1000000000000001</v>
      </c>
      <c r="CO88" s="554">
        <f t="shared" si="124"/>
        <v>61336</v>
      </c>
      <c r="CP88" s="153"/>
      <c r="CQ88" s="153">
        <f t="shared" si="125"/>
        <v>8025.34</v>
      </c>
      <c r="CR88" s="353"/>
      <c r="CS88" s="391" t="str">
        <f>VLOOKUP(A88,Characteristics!A81:M164,13,FALSE)</f>
        <v>CAH</v>
      </c>
      <c r="CT88" s="206">
        <f>VLOOKUP(A88,Characteristics!A81:C164,3,FALSE)</f>
        <v>1</v>
      </c>
      <c r="CU88" s="557" t="str">
        <f t="shared" si="155"/>
        <v/>
      </c>
      <c r="CV88" s="557">
        <f t="shared" si="156"/>
        <v>8025.34</v>
      </c>
    </row>
    <row r="89" spans="1:102" s="125" customFormat="1" x14ac:dyDescent="0.3">
      <c r="A89" s="199">
        <v>61343</v>
      </c>
      <c r="B89" s="139"/>
      <c r="C89" s="558">
        <f>VLOOKUP($A89,'Fed Bs Rt+IME+GME+VBP+RAA+HAC'!$B$5:$AG$88,19,FALSE)</f>
        <v>6859.53</v>
      </c>
      <c r="D89" s="458">
        <f>VLOOKUP($A89,'Fed Bs Rt+IME+GME+VBP+RAA+HAC'!$B$5:$AG$88,25,FALSE)</f>
        <v>0</v>
      </c>
      <c r="E89" s="458">
        <f>VLOOKUP($A89,'Fed Bs Rt+IME+GME+VBP+RAA+HAC'!$B$5:$AG$88,29,FALSE)</f>
        <v>0</v>
      </c>
      <c r="F89" s="458">
        <f>VLOOKUP($A89,'Fed Bs Rt+IME+GME+VBP+RAA+HAC'!$B$5:$AG$88,27,FALSE)</f>
        <v>0</v>
      </c>
      <c r="G89" s="458">
        <f>VLOOKUP($A89,'Fed Bs Rt+IME+GME+VBP+RAA+HAC'!$B$5:$AG$88,32,FALSE)</f>
        <v>0</v>
      </c>
      <c r="H89" s="205">
        <f t="shared" si="126"/>
        <v>0</v>
      </c>
      <c r="I89" s="458">
        <f>VLOOKUP(A89,'Fed Bs Rt+IME+GME+VBP+RAA+HAC'!$B$5:$U$88,20,FALSE)</f>
        <v>0</v>
      </c>
      <c r="J89" s="459">
        <f>IF(Characteristics!M82="CAH",+C89*J$4,0)</f>
        <v>1714.8824999999999</v>
      </c>
      <c r="K89" s="459">
        <f>IF(OR(Characteristics!M82="SCH",Characteristics!M82="MDH"),+C89*K$4,0)</f>
        <v>0</v>
      </c>
      <c r="L89" s="460">
        <f>IF(OR(J89&gt;0,K89&gt;0,M89&gt;0),0,IF(VLOOKUP(A89,Characteristics!A:H,8,FALSE)&lt;=L$6,L$4*C89,IF(VLOOKUP(A89,Characteristics!A:H,8,FALSE)&gt;=L$5,0,(VLOOKUP(A89,Characteristics!A:H,8,FALSE)-L$5)/(L$6-L$5)*L$4*C89)))</f>
        <v>0</v>
      </c>
      <c r="M89" s="541">
        <f>IF(VLOOKUP($A89,Characteristics!$A:$E,3,FALSE)=2,M$4*C89,0)</f>
        <v>0</v>
      </c>
      <c r="N89" s="461">
        <f>IF(VLOOKUP($A89,Characteristics!$A:$K,6,FALSE)&gt;=N$5,N$4*C89,IF(VLOOKUP($A89,Characteristics!$A:$K,6,FALSE)&lt;=N$6,0,(VLOOKUP($A89,Characteristics!$A:$K,6,FALSE)-N$6)/(N$5-N$6)*N$4*C89))</f>
        <v>0</v>
      </c>
      <c r="O89" s="461">
        <f>IF(VLOOKUP($A89,Characteristics!$A:$K,11,FALSE)&lt;=O$6,O$4*C89,IF(VLOOKUP($A89,Characteristics!$A:$K,11,FALSE)&gt;=O$5,0,(VLOOKUP($A89,Characteristics!$A:$K,11,FALSE)-O$5)/(O$6-O$5)*O$4*C89))</f>
        <v>0</v>
      </c>
      <c r="P89" s="205">
        <f t="shared" si="127"/>
        <v>8574.4125000000004</v>
      </c>
      <c r="Q89" s="205"/>
      <c r="R89" s="86">
        <v>6905.06</v>
      </c>
      <c r="S89" s="87">
        <f t="shared" si="90"/>
        <v>7043.16</v>
      </c>
      <c r="T89" s="471"/>
      <c r="U89" s="86">
        <f t="shared" si="91"/>
        <v>163256.22290399999</v>
      </c>
      <c r="V89" s="89">
        <v>30</v>
      </c>
      <c r="W89" s="90">
        <v>0.7726466666666667</v>
      </c>
      <c r="X89" s="91">
        <f t="shared" si="92"/>
        <v>198749.73710250002</v>
      </c>
      <c r="Y89" s="196"/>
      <c r="Z89" s="86">
        <f t="shared" si="128"/>
        <v>7043.16</v>
      </c>
      <c r="AA89" s="86">
        <f t="shared" si="129"/>
        <v>6338.8440000000001</v>
      </c>
      <c r="AB89" s="86">
        <f t="shared" si="130"/>
        <v>7747.4760000000006</v>
      </c>
      <c r="AC89" s="469"/>
      <c r="AD89" s="100"/>
      <c r="AE89" s="86">
        <f t="shared" si="131"/>
        <v>6866.7385346189722</v>
      </c>
      <c r="AF89" s="86">
        <f t="shared" si="93"/>
        <v>159166.879189347</v>
      </c>
      <c r="AG89" s="92">
        <f t="shared" si="132"/>
        <v>0</v>
      </c>
      <c r="AH89" s="92">
        <f t="shared" si="133"/>
        <v>0</v>
      </c>
      <c r="AI89" s="86">
        <f t="shared" si="134"/>
        <v>6866.7385346189722</v>
      </c>
      <c r="AJ89" s="201"/>
      <c r="AK89" s="86">
        <f t="shared" si="94"/>
        <v>159166.879189347</v>
      </c>
      <c r="AL89" s="93">
        <f t="shared" si="95"/>
        <v>198749.73710250002</v>
      </c>
      <c r="AM89" s="93">
        <f t="shared" si="96"/>
        <v>163256.22290399999</v>
      </c>
      <c r="AN89" s="94">
        <f t="shared" si="135"/>
        <v>0</v>
      </c>
      <c r="AO89" s="95"/>
      <c r="AP89" s="86">
        <f t="shared" si="136"/>
        <v>6843.5356886315703</v>
      </c>
      <c r="AQ89" s="86">
        <f t="shared" si="97"/>
        <v>158629.05114106662</v>
      </c>
      <c r="AR89" s="92">
        <f t="shared" si="137"/>
        <v>0</v>
      </c>
      <c r="AS89" s="92">
        <f t="shared" si="138"/>
        <v>0</v>
      </c>
      <c r="AT89" s="86">
        <f t="shared" si="139"/>
        <v>6843.5356886315703</v>
      </c>
      <c r="AU89" s="86">
        <f t="shared" si="98"/>
        <v>158629.05114106662</v>
      </c>
      <c r="AV89" s="93">
        <f t="shared" si="99"/>
        <v>198749.73710250002</v>
      </c>
      <c r="AW89" s="93">
        <f t="shared" si="100"/>
        <v>163256.22290399999</v>
      </c>
      <c r="AX89" s="94">
        <f t="shared" si="101"/>
        <v>0</v>
      </c>
      <c r="AY89" s="92">
        <f t="shared" si="157"/>
        <v>0</v>
      </c>
      <c r="AZ89" s="95"/>
      <c r="BA89" s="86">
        <f t="shared" si="140"/>
        <v>6851.8865683926606</v>
      </c>
      <c r="BB89" s="86">
        <f t="shared" si="102"/>
        <v>158822.61952340085</v>
      </c>
      <c r="BC89" s="92">
        <f t="shared" si="141"/>
        <v>0</v>
      </c>
      <c r="BD89" s="92">
        <f t="shared" si="142"/>
        <v>0</v>
      </c>
      <c r="BE89" s="86">
        <f t="shared" si="143"/>
        <v>6851.8865683926606</v>
      </c>
      <c r="BF89" s="86">
        <f t="shared" si="103"/>
        <v>158822.61952340085</v>
      </c>
      <c r="BG89" s="93">
        <f t="shared" si="104"/>
        <v>198749.73710250002</v>
      </c>
      <c r="BH89" s="93">
        <f t="shared" si="105"/>
        <v>163256.22290399999</v>
      </c>
      <c r="BI89" s="94">
        <f t="shared" si="106"/>
        <v>0</v>
      </c>
      <c r="BJ89" s="92">
        <f t="shared" si="107"/>
        <v>0</v>
      </c>
      <c r="BK89" s="95"/>
      <c r="BL89" s="86">
        <f t="shared" si="144"/>
        <v>6851.8866548577307</v>
      </c>
      <c r="BM89" s="86">
        <f t="shared" si="108"/>
        <v>158822.62152760927</v>
      </c>
      <c r="BN89" s="92">
        <f t="shared" si="145"/>
        <v>0</v>
      </c>
      <c r="BO89" s="92">
        <f t="shared" si="146"/>
        <v>0</v>
      </c>
      <c r="BP89" s="86">
        <f t="shared" si="147"/>
        <v>6851.8866548577307</v>
      </c>
      <c r="BQ89" s="86">
        <f t="shared" si="109"/>
        <v>158822.62152760927</v>
      </c>
      <c r="BR89" s="93">
        <f t="shared" si="110"/>
        <v>198749.73710250002</v>
      </c>
      <c r="BS89" s="93">
        <f t="shared" si="111"/>
        <v>163256.22290399999</v>
      </c>
      <c r="BT89" s="94">
        <f t="shared" si="112"/>
        <v>0</v>
      </c>
      <c r="BU89" s="92">
        <f t="shared" si="113"/>
        <v>0</v>
      </c>
      <c r="BV89" s="95"/>
      <c r="BW89" s="86">
        <f t="shared" si="148"/>
        <v>6851.8866548577307</v>
      </c>
      <c r="BX89" s="86">
        <f t="shared" si="114"/>
        <v>158822.62152760927</v>
      </c>
      <c r="BY89" s="92">
        <f t="shared" si="149"/>
        <v>0</v>
      </c>
      <c r="BZ89" s="92">
        <f t="shared" si="150"/>
        <v>0</v>
      </c>
      <c r="CA89" s="86">
        <f t="shared" si="151"/>
        <v>6851.8866548577307</v>
      </c>
      <c r="CB89" s="86">
        <f t="shared" si="115"/>
        <v>158822.62152760927</v>
      </c>
      <c r="CC89" s="96">
        <f t="shared" si="116"/>
        <v>198749.73710250002</v>
      </c>
      <c r="CD89" s="96">
        <f t="shared" si="117"/>
        <v>163256.22290399999</v>
      </c>
      <c r="CE89" s="94">
        <f t="shared" si="118"/>
        <v>0</v>
      </c>
      <c r="CF89" s="92">
        <f t="shared" si="119"/>
        <v>0</v>
      </c>
      <c r="CG89" s="67"/>
      <c r="CH89" s="86">
        <f t="shared" si="120"/>
        <v>6851.8866548577307</v>
      </c>
      <c r="CI89" s="86">
        <f t="shared" si="121"/>
        <v>158822.62152760927</v>
      </c>
      <c r="CJ89" s="92">
        <f t="shared" si="152"/>
        <v>0</v>
      </c>
      <c r="CK89" s="92">
        <f t="shared" si="153"/>
        <v>0</v>
      </c>
      <c r="CL89" s="86">
        <f t="shared" si="154"/>
        <v>6851.8866548577307</v>
      </c>
      <c r="CM89" s="86">
        <f t="shared" si="122"/>
        <v>158822.62152760927</v>
      </c>
      <c r="CN89" s="97">
        <f t="shared" si="123"/>
        <v>0.97284268067994062</v>
      </c>
      <c r="CO89" s="554">
        <f t="shared" si="124"/>
        <v>61343</v>
      </c>
      <c r="CP89" s="153"/>
      <c r="CQ89" s="153">
        <f t="shared" si="125"/>
        <v>7057.44</v>
      </c>
      <c r="CR89" s="353"/>
      <c r="CS89" s="391" t="str">
        <f>VLOOKUP(A89,Characteristics!A82:M165,13,FALSE)</f>
        <v>CAH</v>
      </c>
      <c r="CT89" s="206">
        <f>VLOOKUP(A89,Characteristics!A82:C165,3,FALSE)</f>
        <v>1</v>
      </c>
      <c r="CU89" s="557" t="str">
        <f t="shared" si="155"/>
        <v/>
      </c>
      <c r="CV89" s="557">
        <f t="shared" si="156"/>
        <v>7057.44</v>
      </c>
    </row>
    <row r="90" spans="1:102" s="125" customFormat="1" x14ac:dyDescent="0.3">
      <c r="A90" s="199">
        <v>61344</v>
      </c>
      <c r="B90" s="139"/>
      <c r="C90" s="558">
        <f>VLOOKUP($A90,'Fed Bs Rt+IME+GME+VBP+RAA+HAC'!$B$5:$AG$88,19,FALSE)</f>
        <v>6859.53</v>
      </c>
      <c r="D90" s="458">
        <f>VLOOKUP($A90,'Fed Bs Rt+IME+GME+VBP+RAA+HAC'!$B$5:$AG$88,25,FALSE)</f>
        <v>0</v>
      </c>
      <c r="E90" s="458">
        <f>VLOOKUP($A90,'Fed Bs Rt+IME+GME+VBP+RAA+HAC'!$B$5:$AG$88,29,FALSE)</f>
        <v>0</v>
      </c>
      <c r="F90" s="458">
        <f>VLOOKUP($A90,'Fed Bs Rt+IME+GME+VBP+RAA+HAC'!$B$5:$AG$88,27,FALSE)</f>
        <v>0</v>
      </c>
      <c r="G90" s="458">
        <f>VLOOKUP($A90,'Fed Bs Rt+IME+GME+VBP+RAA+HAC'!$B$5:$AG$88,32,FALSE)</f>
        <v>0</v>
      </c>
      <c r="H90" s="205">
        <f t="shared" si="126"/>
        <v>0</v>
      </c>
      <c r="I90" s="458">
        <f>VLOOKUP(A90,'Fed Bs Rt+IME+GME+VBP+RAA+HAC'!$B$5:$U$88,20,FALSE)</f>
        <v>0</v>
      </c>
      <c r="J90" s="459">
        <f>IF(Characteristics!M83="CAH",+C90*J$4,0)</f>
        <v>1714.8824999999999</v>
      </c>
      <c r="K90" s="459">
        <f>IF(OR(Characteristics!M83="SCH",Characteristics!M83="MDH"),+C90*K$4,0)</f>
        <v>0</v>
      </c>
      <c r="L90" s="460">
        <f>IF(OR(J90&gt;0,K90&gt;0,M90&gt;0),0,IF(VLOOKUP(A90,Characteristics!A:H,8,FALSE)&lt;=L$6,L$4*C90,IF(VLOOKUP(A90,Characteristics!A:H,8,FALSE)&gt;=L$5,0,(VLOOKUP(A90,Characteristics!A:H,8,FALSE)-L$5)/(L$6-L$5)*L$4*C90)))</f>
        <v>0</v>
      </c>
      <c r="M90" s="541">
        <f>IF(VLOOKUP($A90,Characteristics!$A:$E,3,FALSE)=2,M$4*C90,0)</f>
        <v>0</v>
      </c>
      <c r="N90" s="461">
        <f>IF(VLOOKUP($A90,Characteristics!$A:$K,6,FALSE)&gt;=N$5,N$4*C90,IF(VLOOKUP($A90,Characteristics!$A:$K,6,FALSE)&lt;=N$6,0,(VLOOKUP($A90,Characteristics!$A:$K,6,FALSE)-N$6)/(N$5-N$6)*N$4*C90))</f>
        <v>0</v>
      </c>
      <c r="O90" s="461">
        <f>IF(VLOOKUP($A90,Characteristics!$A:$K,11,FALSE)&lt;=O$6,O$4*C90,IF(VLOOKUP($A90,Characteristics!$A:$K,11,FALSE)&gt;=O$5,0,(VLOOKUP($A90,Characteristics!$A:$K,11,FALSE)-O$5)/(O$6-O$5)*O$4*C90))</f>
        <v>0</v>
      </c>
      <c r="P90" s="205">
        <f t="shared" si="127"/>
        <v>8574.4125000000004</v>
      </c>
      <c r="Q90" s="205"/>
      <c r="R90" s="86">
        <v>6905.06</v>
      </c>
      <c r="S90" s="87">
        <f t="shared" si="90"/>
        <v>7043.16</v>
      </c>
      <c r="T90" s="471"/>
      <c r="U90" s="86">
        <f>S90*V90*W90</f>
        <v>5990969.4331235345</v>
      </c>
      <c r="V90" s="89">
        <v>841.77780000000007</v>
      </c>
      <c r="W90" s="90">
        <v>1.0104901426718547</v>
      </c>
      <c r="X90" s="91">
        <f t="shared" si="92"/>
        <v>7293465.3187620835</v>
      </c>
      <c r="Y90" s="196"/>
      <c r="Z90" s="86">
        <f t="shared" si="128"/>
        <v>7043.16</v>
      </c>
      <c r="AA90" s="86">
        <f t="shared" si="129"/>
        <v>6338.8440000000001</v>
      </c>
      <c r="AB90" s="86">
        <f t="shared" si="130"/>
        <v>7747.4760000000006</v>
      </c>
      <c r="AC90" s="469"/>
      <c r="AD90" s="100"/>
      <c r="AE90" s="86">
        <f t="shared" si="131"/>
        <v>6866.7385346189722</v>
      </c>
      <c r="AF90" s="86">
        <f t="shared" si="93"/>
        <v>5840903.8934446694</v>
      </c>
      <c r="AG90" s="92">
        <f t="shared" si="132"/>
        <v>0</v>
      </c>
      <c r="AH90" s="92">
        <f t="shared" si="133"/>
        <v>0</v>
      </c>
      <c r="AI90" s="86">
        <f t="shared" si="134"/>
        <v>6866.7385346189722</v>
      </c>
      <c r="AJ90" s="201"/>
      <c r="AK90" s="86">
        <f t="shared" si="94"/>
        <v>5840903.8934446694</v>
      </c>
      <c r="AL90" s="93">
        <f t="shared" si="95"/>
        <v>7293465.3187620835</v>
      </c>
      <c r="AM90" s="93">
        <f>IF(OR(AND(AG90=1,AK$93&gt;$U$93),AND(AH90=1,AK$93&lt;$U$93)),$U90-AK90,$U90)</f>
        <v>5990969.4331235345</v>
      </c>
      <c r="AN90" s="94">
        <f t="shared" si="135"/>
        <v>0</v>
      </c>
      <c r="AO90" s="95"/>
      <c r="AP90" s="86">
        <f t="shared" si="136"/>
        <v>6843.5356886315703</v>
      </c>
      <c r="AQ90" s="86">
        <f t="shared" si="97"/>
        <v>5821167.3630986316</v>
      </c>
      <c r="AR90" s="92">
        <f t="shared" si="137"/>
        <v>0</v>
      </c>
      <c r="AS90" s="92">
        <f t="shared" si="138"/>
        <v>0</v>
      </c>
      <c r="AT90" s="86">
        <f t="shared" si="139"/>
        <v>6843.5356886315703</v>
      </c>
      <c r="AU90" s="86">
        <f t="shared" si="98"/>
        <v>5821167.3630986316</v>
      </c>
      <c r="AV90" s="93">
        <f t="shared" si="99"/>
        <v>7293465.3187620835</v>
      </c>
      <c r="AW90" s="93">
        <f t="shared" si="100"/>
        <v>5990969.4331235345</v>
      </c>
      <c r="AX90" s="94">
        <f t="shared" si="101"/>
        <v>0</v>
      </c>
      <c r="AY90" s="92">
        <f t="shared" si="157"/>
        <v>0</v>
      </c>
      <c r="AZ90" s="95"/>
      <c r="BA90" s="86">
        <f t="shared" si="140"/>
        <v>6851.8865683926606</v>
      </c>
      <c r="BB90" s="86">
        <f t="shared" si="102"/>
        <v>5828270.6896435898</v>
      </c>
      <c r="BC90" s="92">
        <f t="shared" si="141"/>
        <v>0</v>
      </c>
      <c r="BD90" s="92">
        <f t="shared" si="142"/>
        <v>0</v>
      </c>
      <c r="BE90" s="86">
        <f t="shared" si="143"/>
        <v>6851.8865683926606</v>
      </c>
      <c r="BF90" s="86">
        <f t="shared" si="103"/>
        <v>5828270.6896435898</v>
      </c>
      <c r="BG90" s="93">
        <f t="shared" si="104"/>
        <v>7293465.3187620835</v>
      </c>
      <c r="BH90" s="93">
        <f t="shared" si="105"/>
        <v>5990969.4331235345</v>
      </c>
      <c r="BI90" s="94">
        <f t="shared" si="106"/>
        <v>0</v>
      </c>
      <c r="BJ90" s="92">
        <f t="shared" si="107"/>
        <v>0</v>
      </c>
      <c r="BK90" s="95"/>
      <c r="BL90" s="86">
        <f t="shared" si="144"/>
        <v>6851.8866548577307</v>
      </c>
      <c r="BM90" s="86">
        <f t="shared" si="108"/>
        <v>5828270.7631914839</v>
      </c>
      <c r="BN90" s="92">
        <f t="shared" si="145"/>
        <v>0</v>
      </c>
      <c r="BO90" s="92">
        <f t="shared" si="146"/>
        <v>0</v>
      </c>
      <c r="BP90" s="86">
        <f t="shared" si="147"/>
        <v>6851.8866548577307</v>
      </c>
      <c r="BQ90" s="86">
        <f t="shared" si="109"/>
        <v>5828270.7631914839</v>
      </c>
      <c r="BR90" s="93">
        <f t="shared" si="110"/>
        <v>7293465.3187620835</v>
      </c>
      <c r="BS90" s="93">
        <f t="shared" si="111"/>
        <v>5990969.4331235345</v>
      </c>
      <c r="BT90" s="94">
        <f t="shared" si="112"/>
        <v>0</v>
      </c>
      <c r="BU90" s="92">
        <f t="shared" si="113"/>
        <v>0</v>
      </c>
      <c r="BV90" s="95"/>
      <c r="BW90" s="86">
        <f t="shared" si="148"/>
        <v>6851.8866548577307</v>
      </c>
      <c r="BX90" s="86">
        <f t="shared" si="114"/>
        <v>5828270.7631914839</v>
      </c>
      <c r="BY90" s="92">
        <f t="shared" si="149"/>
        <v>0</v>
      </c>
      <c r="BZ90" s="92">
        <f t="shared" si="150"/>
        <v>0</v>
      </c>
      <c r="CA90" s="86">
        <f t="shared" si="151"/>
        <v>6851.8866548577307</v>
      </c>
      <c r="CB90" s="86">
        <f t="shared" si="115"/>
        <v>5828270.7631914839</v>
      </c>
      <c r="CC90" s="96">
        <f t="shared" si="116"/>
        <v>7293465.3187620835</v>
      </c>
      <c r="CD90" s="96">
        <f t="shared" si="117"/>
        <v>5990969.4331235345</v>
      </c>
      <c r="CE90" s="94">
        <f t="shared" si="118"/>
        <v>0</v>
      </c>
      <c r="CF90" s="92">
        <f t="shared" si="119"/>
        <v>0</v>
      </c>
      <c r="CG90" s="67"/>
      <c r="CH90" s="86">
        <f t="shared" si="120"/>
        <v>6851.8866548577307</v>
      </c>
      <c r="CI90" s="86">
        <f t="shared" si="121"/>
        <v>5828270.7631914839</v>
      </c>
      <c r="CJ90" s="92">
        <f t="shared" si="152"/>
        <v>0</v>
      </c>
      <c r="CK90" s="92">
        <f t="shared" si="153"/>
        <v>0</v>
      </c>
      <c r="CL90" s="86">
        <f t="shared" si="154"/>
        <v>6851.8866548577307</v>
      </c>
      <c r="CM90" s="86">
        <f t="shared" si="122"/>
        <v>5828270.7631914839</v>
      </c>
      <c r="CN90" s="97">
        <f t="shared" si="123"/>
        <v>0.97284268067994062</v>
      </c>
      <c r="CO90" s="554">
        <f t="shared" si="124"/>
        <v>61344</v>
      </c>
      <c r="CP90" s="153"/>
      <c r="CQ90" s="153">
        <f t="shared" si="125"/>
        <v>7057.44</v>
      </c>
      <c r="CR90" s="353"/>
      <c r="CS90" s="391" t="str">
        <f>VLOOKUP(A90,Characteristics!A83:M166,13,FALSE)</f>
        <v>CAH</v>
      </c>
      <c r="CT90" s="206">
        <f>VLOOKUP(A90,Characteristics!A83:C166,3,FALSE)</f>
        <v>1</v>
      </c>
      <c r="CU90" s="557" t="str">
        <f t="shared" si="155"/>
        <v/>
      </c>
      <c r="CV90" s="557">
        <f t="shared" si="156"/>
        <v>7057.44</v>
      </c>
    </row>
    <row r="91" spans="1:102" s="125" customFormat="1" x14ac:dyDescent="0.3">
      <c r="A91" s="199">
        <v>63301</v>
      </c>
      <c r="B91" s="139"/>
      <c r="C91" s="558">
        <f>VLOOKUP($A91,'Fed Bs Rt+IME+GME+VBP+RAA+HAC'!$B$5:$AG$88,19,FALSE)</f>
        <v>6859.53</v>
      </c>
      <c r="D91" s="462">
        <f>VLOOKUP($A91,'Fed Bs Rt+IME+GME+VBP+RAA+HAC'!$B$5:$AG$88,25,FALSE)</f>
        <v>1872.71</v>
      </c>
      <c r="E91" s="458">
        <f>VLOOKUP($A91,'Fed Bs Rt+IME+GME+VBP+RAA+HAC'!$B$5:$AG$88,29,FALSE)</f>
        <v>0</v>
      </c>
      <c r="F91" s="458">
        <f>VLOOKUP($A91,'Fed Bs Rt+IME+GME+VBP+RAA+HAC'!$B$5:$AG$88,27,FALSE)</f>
        <v>0</v>
      </c>
      <c r="G91" s="458">
        <f>VLOOKUP($A91,'Fed Bs Rt+IME+GME+VBP+RAA+HAC'!$B$5:$AG$88,32,FALSE)</f>
        <v>0</v>
      </c>
      <c r="H91" s="205">
        <f t="shared" si="126"/>
        <v>1872.71</v>
      </c>
      <c r="I91" s="458">
        <f>VLOOKUP(A91,'Fed Bs Rt+IME+GME+VBP+RAA+HAC'!$B$5:$U$88,20,FALSE)</f>
        <v>179.00481664010366</v>
      </c>
      <c r="J91" s="459">
        <f>IF(Characteristics!M84="CAH",+C91*J$4,0)</f>
        <v>0</v>
      </c>
      <c r="K91" s="459">
        <f>IF(OR(Characteristics!M84="SCH",Characteristics!M84="MDH"),+C91*K$4,0)</f>
        <v>0</v>
      </c>
      <c r="L91" s="460">
        <f>IF(OR(J91&gt;0,K91&gt;0,M91&gt;0),0,IF(VLOOKUP(A91,Characteristics!A:H,8,FALSE)&lt;=L$6,L$4*C91,IF(VLOOKUP(A91,Characteristics!A:H,8,FALSE)&gt;=L$5,0,(VLOOKUP(A91,Characteristics!A:H,8,FALSE)-L$5)/(L$6-L$5)*L$4*C91)))</f>
        <v>0</v>
      </c>
      <c r="M91" s="541">
        <f>IF(VLOOKUP($A91,Characteristics!$A:$E,3,FALSE)=2,M$4*C91,0)</f>
        <v>1714.8824999999999</v>
      </c>
      <c r="N91" s="461">
        <f>IF(VLOOKUP($A91,Characteristics!$A:$K,6,FALSE)&gt;=N$5,N$4*C91,IF(VLOOKUP($A91,Characteristics!$A:$K,6,FALSE)&lt;=N$6,0,(VLOOKUP($A91,Characteristics!$A:$K,6,FALSE)-N$6)/(N$5-N$6)*N$4*C91))</f>
        <v>685.95299999999997</v>
      </c>
      <c r="O91" s="461">
        <f>IF(VLOOKUP($A91,Characteristics!$A:$K,11,FALSE)&lt;=O$6,O$4*C91,IF(VLOOKUP($A91,Characteristics!$A:$K,11,FALSE)&gt;=O$5,0,(VLOOKUP($A91,Characteristics!$A:$K,11,FALSE)-O$5)/(O$6-O$5)*O$4*C91))</f>
        <v>0</v>
      </c>
      <c r="P91" s="205">
        <f t="shared" si="127"/>
        <v>11312.080316640102</v>
      </c>
      <c r="Q91" s="205"/>
      <c r="R91" s="86">
        <v>8892.82</v>
      </c>
      <c r="S91" s="87">
        <f t="shared" si="90"/>
        <v>9070.68</v>
      </c>
      <c r="T91" s="471"/>
      <c r="U91" s="86">
        <f t="shared" si="91"/>
        <v>124620567.62416236</v>
      </c>
      <c r="V91" s="89">
        <v>7749.5964000000004</v>
      </c>
      <c r="W91" s="90">
        <v>1.7728451112989574</v>
      </c>
      <c r="X91" s="91">
        <f t="shared" si="92"/>
        <v>155414794.70886457</v>
      </c>
      <c r="Y91" s="196"/>
      <c r="Z91" s="86">
        <f t="shared" si="128"/>
        <v>9070.68</v>
      </c>
      <c r="AA91" s="86">
        <f t="shared" si="129"/>
        <v>8163.6120000000001</v>
      </c>
      <c r="AB91" s="86">
        <f t="shared" si="130"/>
        <v>9977.7480000000014</v>
      </c>
      <c r="AC91" s="469"/>
      <c r="AD91" s="100"/>
      <c r="AE91" s="86">
        <f t="shared" si="131"/>
        <v>9059.1743535755213</v>
      </c>
      <c r="AF91" s="86">
        <f t="shared" si="93"/>
        <v>124462493.45681201</v>
      </c>
      <c r="AG91" s="92">
        <f t="shared" si="132"/>
        <v>0</v>
      </c>
      <c r="AH91" s="92">
        <f t="shared" si="133"/>
        <v>0</v>
      </c>
      <c r="AI91" s="86">
        <f t="shared" si="134"/>
        <v>9059.1743535755213</v>
      </c>
      <c r="AJ91" s="201"/>
      <c r="AK91" s="86">
        <f t="shared" si="94"/>
        <v>124462493.45681201</v>
      </c>
      <c r="AL91" s="93">
        <f t="shared" si="95"/>
        <v>155414794.70886457</v>
      </c>
      <c r="AM91" s="93">
        <f t="shared" ref="AM91:AM92" si="158">IF(OR(AND(AG91=1,AK$93&gt;$U$93),AND(AH91=1,AK$93&lt;$U$93)),$U91-AK91,$U91)</f>
        <v>124620567.62416236</v>
      </c>
      <c r="AN91" s="94">
        <f t="shared" si="135"/>
        <v>0</v>
      </c>
      <c r="AO91" s="95"/>
      <c r="AP91" s="86">
        <f t="shared" si="136"/>
        <v>9028.5632233804063</v>
      </c>
      <c r="AQ91" s="86">
        <f t="shared" si="97"/>
        <v>124041932.21768415</v>
      </c>
      <c r="AR91" s="92">
        <f t="shared" si="137"/>
        <v>0</v>
      </c>
      <c r="AS91" s="92">
        <f t="shared" si="138"/>
        <v>0</v>
      </c>
      <c r="AT91" s="86">
        <f t="shared" si="139"/>
        <v>9028.5632233804063</v>
      </c>
      <c r="AU91" s="86">
        <f t="shared" si="98"/>
        <v>124041932.21768415</v>
      </c>
      <c r="AV91" s="93">
        <f t="shared" si="99"/>
        <v>155414794.70886457</v>
      </c>
      <c r="AW91" s="93">
        <f t="shared" si="100"/>
        <v>124620567.62416236</v>
      </c>
      <c r="AX91" s="94">
        <f>IF(OR(AND(AR91=1,AU$93&gt;$U$93),AND(AS91=1,AU$93&lt;$U$93),AN91=1),1,0)</f>
        <v>0</v>
      </c>
      <c r="AY91" s="92">
        <f t="shared" si="157"/>
        <v>0</v>
      </c>
      <c r="AZ91" s="95"/>
      <c r="BA91" s="86">
        <f t="shared" si="140"/>
        <v>9039.5804006589733</v>
      </c>
      <c r="BB91" s="86">
        <f t="shared" si="102"/>
        <v>124193295.38847959</v>
      </c>
      <c r="BC91" s="92">
        <f t="shared" si="141"/>
        <v>0</v>
      </c>
      <c r="BD91" s="92">
        <f t="shared" si="142"/>
        <v>0</v>
      </c>
      <c r="BE91" s="86">
        <f t="shared" si="143"/>
        <v>9039.5804006589733</v>
      </c>
      <c r="BF91" s="86">
        <f t="shared" si="103"/>
        <v>124193295.38847959</v>
      </c>
      <c r="BG91" s="93">
        <f t="shared" si="104"/>
        <v>155414794.70886457</v>
      </c>
      <c r="BH91" s="93">
        <f t="shared" si="105"/>
        <v>124620567.62416236</v>
      </c>
      <c r="BI91" s="94">
        <f t="shared" si="106"/>
        <v>0</v>
      </c>
      <c r="BJ91" s="92">
        <f t="shared" si="107"/>
        <v>0</v>
      </c>
      <c r="BK91" s="95"/>
      <c r="BL91" s="86">
        <f t="shared" si="144"/>
        <v>9039.5805147309075</v>
      </c>
      <c r="BM91" s="86">
        <f t="shared" si="108"/>
        <v>124193296.955695</v>
      </c>
      <c r="BN91" s="92">
        <f t="shared" si="145"/>
        <v>0</v>
      </c>
      <c r="BO91" s="92">
        <f t="shared" si="146"/>
        <v>0</v>
      </c>
      <c r="BP91" s="86">
        <f t="shared" si="147"/>
        <v>9039.5805147309075</v>
      </c>
      <c r="BQ91" s="86">
        <f t="shared" si="109"/>
        <v>124193296.955695</v>
      </c>
      <c r="BR91" s="93">
        <f t="shared" si="110"/>
        <v>155414794.70886457</v>
      </c>
      <c r="BS91" s="93">
        <f t="shared" si="111"/>
        <v>124620567.62416236</v>
      </c>
      <c r="BT91" s="94">
        <f t="shared" si="112"/>
        <v>0</v>
      </c>
      <c r="BU91" s="92">
        <f t="shared" si="113"/>
        <v>0</v>
      </c>
      <c r="BV91" s="95"/>
      <c r="BW91" s="86">
        <f t="shared" si="148"/>
        <v>9039.5805147309075</v>
      </c>
      <c r="BX91" s="86">
        <f t="shared" si="114"/>
        <v>124193296.955695</v>
      </c>
      <c r="BY91" s="92">
        <f t="shared" si="149"/>
        <v>0</v>
      </c>
      <c r="BZ91" s="92">
        <f t="shared" si="150"/>
        <v>0</v>
      </c>
      <c r="CA91" s="86">
        <f t="shared" si="151"/>
        <v>9039.5805147309075</v>
      </c>
      <c r="CB91" s="86">
        <f t="shared" si="115"/>
        <v>124193296.955695</v>
      </c>
      <c r="CC91" s="96">
        <f t="shared" si="116"/>
        <v>155414794.70886457</v>
      </c>
      <c r="CD91" s="96">
        <f t="shared" si="117"/>
        <v>124620567.62416236</v>
      </c>
      <c r="CE91" s="94">
        <f t="shared" si="118"/>
        <v>0</v>
      </c>
      <c r="CF91" s="92">
        <f t="shared" si="119"/>
        <v>0</v>
      </c>
      <c r="CG91" s="67"/>
      <c r="CH91" s="86">
        <f t="shared" si="120"/>
        <v>9039.5805147309075</v>
      </c>
      <c r="CI91" s="86">
        <f t="shared" si="121"/>
        <v>124193296.955695</v>
      </c>
      <c r="CJ91" s="92">
        <f t="shared" si="152"/>
        <v>0</v>
      </c>
      <c r="CK91" s="92">
        <f t="shared" si="153"/>
        <v>0</v>
      </c>
      <c r="CL91" s="86">
        <f t="shared" si="154"/>
        <v>9039.5805147309075</v>
      </c>
      <c r="CM91" s="86">
        <f t="shared" si="122"/>
        <v>124193296.955695</v>
      </c>
      <c r="CN91" s="97">
        <f t="shared" si="123"/>
        <v>0.99657142736056248</v>
      </c>
      <c r="CO91" s="554">
        <f t="shared" si="124"/>
        <v>63301</v>
      </c>
      <c r="CP91" s="153"/>
      <c r="CQ91" s="153">
        <f t="shared" si="125"/>
        <v>9310.77</v>
      </c>
      <c r="CR91" s="353"/>
      <c r="CS91" s="391" t="str">
        <f>VLOOKUP(A91,Characteristics!A84:M167,13,FALSE)</f>
        <v>PED</v>
      </c>
      <c r="CT91" s="206">
        <f>VLOOKUP(A91,Characteristics!A84:C167,3,FALSE)</f>
        <v>2</v>
      </c>
      <c r="CU91" s="557" t="str">
        <f t="shared" si="155"/>
        <v/>
      </c>
      <c r="CV91" s="557" t="str">
        <f t="shared" si="156"/>
        <v/>
      </c>
    </row>
    <row r="92" spans="1:102" s="125" customFormat="1" ht="13.5" thickBot="1" x14ac:dyDescent="0.35">
      <c r="A92" s="199">
        <v>63303</v>
      </c>
      <c r="B92" s="139"/>
      <c r="C92" s="558">
        <f>VLOOKUP($A92,'Fed Bs Rt+IME+GME+VBP+RAA+HAC'!$B$5:$AG$88,19,FALSE)</f>
        <v>6859.53</v>
      </c>
      <c r="D92" s="458">
        <f>VLOOKUP($A92,'Fed Bs Rt+IME+GME+VBP+RAA+HAC'!$B$5:$AG$88,25,FALSE)</f>
        <v>0</v>
      </c>
      <c r="E92" s="458">
        <f>VLOOKUP($A92,'Fed Bs Rt+IME+GME+VBP+RAA+HAC'!$B$5:$AG$88,29,FALSE)</f>
        <v>0</v>
      </c>
      <c r="F92" s="458">
        <f>VLOOKUP($A92,'Fed Bs Rt+IME+GME+VBP+RAA+HAC'!$B$5:$AG$88,27,FALSE)</f>
        <v>0</v>
      </c>
      <c r="G92" s="458">
        <f>VLOOKUP($A92,'Fed Bs Rt+IME+GME+VBP+RAA+HAC'!$B$5:$AG$88,32,FALSE)</f>
        <v>0</v>
      </c>
      <c r="H92" s="205">
        <f t="shared" si="126"/>
        <v>0</v>
      </c>
      <c r="I92" s="458">
        <f>VLOOKUP(A92,'Fed Bs Rt+IME+GME+VBP+RAA+HAC'!$B$5:$U$88,20,FALSE)</f>
        <v>0</v>
      </c>
      <c r="J92" s="459">
        <f>IF(Characteristics!M85="CAH",+C92*J$4,0)</f>
        <v>0</v>
      </c>
      <c r="K92" s="459">
        <f>IF(OR(Characteristics!M85="SCH",Characteristics!M85="MDH"),+C92*K$4,0)</f>
        <v>0</v>
      </c>
      <c r="L92" s="460">
        <f>IF(OR(J92&gt;0,K92&gt;0,M92&gt;0),0,IF(VLOOKUP(A92,Characteristics!A:H,8,FALSE)&lt;=L$6,L$4*C92,IF(VLOOKUP(A92,Characteristics!A:H,8,FALSE)&gt;=L$5,0,(VLOOKUP(A92,Characteristics!A:H,8,FALSE)-L$5)/(L$6-L$5)*L$4*C92)))</f>
        <v>0</v>
      </c>
      <c r="M92" s="541">
        <f>IF(VLOOKUP($A92,Characteristics!$A:$E,3,FALSE)=2,M$4*C92,0)</f>
        <v>1714.8824999999999</v>
      </c>
      <c r="N92" s="461">
        <f>IF(VLOOKUP($A92,Characteristics!$A:$K,6,FALSE)&gt;=N$5,N$4*C92,IF(VLOOKUP($A92,Characteristics!$A:$K,6,FALSE)&lt;=N$6,0,(VLOOKUP($A92,Characteristics!$A:$K,6,FALSE)-N$6)/(N$5-N$6)*N$4*C92))</f>
        <v>685.95299999999997</v>
      </c>
      <c r="O92" s="461">
        <f>IF(VLOOKUP($A92,Characteristics!$A:$K,11,FALSE)&lt;=O$6,O$4*C92,IF(VLOOKUP($A92,Characteristics!$A:$K,11,FALSE)&gt;=O$5,0,(VLOOKUP($A92,Characteristics!$A:$K,11,FALSE)-O$5)/(O$6-O$5)*O$4*C92))</f>
        <v>0</v>
      </c>
      <c r="P92" s="205">
        <f t="shared" si="127"/>
        <v>9260.3654999999999</v>
      </c>
      <c r="Q92" s="205"/>
      <c r="R92" s="86">
        <v>8892.82</v>
      </c>
      <c r="S92" s="87">
        <f t="shared" si="90"/>
        <v>9070.68</v>
      </c>
      <c r="T92" s="471"/>
      <c r="U92" s="103">
        <f t="shared" si="91"/>
        <v>35016271.643705502</v>
      </c>
      <c r="V92" s="89">
        <v>2270.9440000000004</v>
      </c>
      <c r="W92" s="90">
        <v>1.6999010096153846</v>
      </c>
      <c r="X92" s="91">
        <f t="shared" si="92"/>
        <v>35748529.753888212</v>
      </c>
      <c r="Y92" s="196"/>
      <c r="Z92" s="86">
        <f t="shared" si="128"/>
        <v>9070.68</v>
      </c>
      <c r="AA92" s="86">
        <f t="shared" si="129"/>
        <v>8163.6120000000001</v>
      </c>
      <c r="AB92" s="86">
        <f t="shared" si="130"/>
        <v>9977.7480000000014</v>
      </c>
      <c r="AC92" s="469"/>
      <c r="AD92" s="100"/>
      <c r="AE92" s="86">
        <f t="shared" si="131"/>
        <v>7416.0776173884897</v>
      </c>
      <c r="AF92" s="86">
        <f t="shared" si="93"/>
        <v>28628877.70060014</v>
      </c>
      <c r="AG92" s="92">
        <f t="shared" si="132"/>
        <v>1</v>
      </c>
      <c r="AH92" s="92">
        <f t="shared" si="133"/>
        <v>0</v>
      </c>
      <c r="AI92" s="86">
        <f t="shared" si="134"/>
        <v>8163.6120000000001</v>
      </c>
      <c r="AJ92" s="201"/>
      <c r="AK92" s="86">
        <f t="shared" si="94"/>
        <v>31514644.479334954</v>
      </c>
      <c r="AL92" s="93">
        <f t="shared" si="95"/>
        <v>0</v>
      </c>
      <c r="AM92" s="93">
        <f t="shared" si="158"/>
        <v>3501627.164370548</v>
      </c>
      <c r="AN92" s="94">
        <f t="shared" si="135"/>
        <v>1</v>
      </c>
      <c r="AO92" s="95"/>
      <c r="AP92" s="86">
        <f t="shared" si="136"/>
        <v>8163.6120000000001</v>
      </c>
      <c r="AQ92" s="86">
        <f t="shared" si="97"/>
        <v>31514644.479334954</v>
      </c>
      <c r="AR92" s="92">
        <f t="shared" si="137"/>
        <v>1</v>
      </c>
      <c r="AS92" s="92">
        <f t="shared" si="138"/>
        <v>0</v>
      </c>
      <c r="AT92" s="86">
        <f t="shared" si="139"/>
        <v>8163.6120000000001</v>
      </c>
      <c r="AU92" s="86">
        <f t="shared" si="98"/>
        <v>31514644.479334954</v>
      </c>
      <c r="AV92" s="93">
        <f t="shared" si="99"/>
        <v>0</v>
      </c>
      <c r="AW92" s="93">
        <f>IF(OR(AND(AR92=1,AU$93&gt;$U$93),AND(AS92=1,AU$93&lt;$U$93),AN92=1),$U92-AU92,$U92)</f>
        <v>3501627.164370548</v>
      </c>
      <c r="AX92" s="94">
        <f t="shared" ref="AX92" si="159">IF(OR(AND(AR92=1,AU$93&gt;$U$93),AND(AS92=1,AU$93&lt;$U$93),AN92=1),1,0)</f>
        <v>1</v>
      </c>
      <c r="AY92" s="92">
        <f t="shared" si="157"/>
        <v>0</v>
      </c>
      <c r="AZ92" s="95"/>
      <c r="BA92" s="86">
        <f t="shared" si="140"/>
        <v>8163.6120000000001</v>
      </c>
      <c r="BB92" s="86">
        <f t="shared" si="102"/>
        <v>31514644.479334954</v>
      </c>
      <c r="BC92" s="92">
        <f t="shared" si="141"/>
        <v>1</v>
      </c>
      <c r="BD92" s="92">
        <f t="shared" si="142"/>
        <v>0</v>
      </c>
      <c r="BE92" s="86">
        <f t="shared" si="143"/>
        <v>8163.6120000000001</v>
      </c>
      <c r="BF92" s="86">
        <f t="shared" si="103"/>
        <v>31514644.479334954</v>
      </c>
      <c r="BG92" s="93">
        <f t="shared" si="104"/>
        <v>0</v>
      </c>
      <c r="BH92" s="93">
        <f>IF(OR(AND(BC92=1,BF$93&gt;$U$93),AND(BD92=1,BF$93&lt;$U$93),AX92=1),$U92-BF92,$U92)</f>
        <v>3501627.164370548</v>
      </c>
      <c r="BI92" s="94">
        <f>IF(OR(AND(BC92=1,BF$93&gt;$U$93),AND(BD92=1,BF$93&lt;$U$93),AX92=1),1,0)</f>
        <v>1</v>
      </c>
      <c r="BJ92" s="92">
        <f>IF(BI92=AX92,0,1)</f>
        <v>0</v>
      </c>
      <c r="BK92" s="95"/>
      <c r="BL92" s="86">
        <f t="shared" si="144"/>
        <v>8163.6120000000001</v>
      </c>
      <c r="BM92" s="86">
        <f t="shared" si="108"/>
        <v>31514644.479334954</v>
      </c>
      <c r="BN92" s="92">
        <f t="shared" si="145"/>
        <v>1</v>
      </c>
      <c r="BO92" s="92">
        <f t="shared" si="146"/>
        <v>0</v>
      </c>
      <c r="BP92" s="86">
        <f t="shared" si="147"/>
        <v>8163.6120000000001</v>
      </c>
      <c r="BQ92" s="86">
        <f t="shared" si="109"/>
        <v>31514644.479334954</v>
      </c>
      <c r="BR92" s="93">
        <f t="shared" si="110"/>
        <v>0</v>
      </c>
      <c r="BS92" s="93">
        <f t="shared" si="111"/>
        <v>3501627.164370548</v>
      </c>
      <c r="BT92" s="94">
        <f t="shared" si="112"/>
        <v>1</v>
      </c>
      <c r="BU92" s="92">
        <f t="shared" si="113"/>
        <v>0</v>
      </c>
      <c r="BV92" s="95"/>
      <c r="BW92" s="86">
        <f t="shared" si="148"/>
        <v>8163.6120000000001</v>
      </c>
      <c r="BX92" s="86">
        <f t="shared" si="114"/>
        <v>31514644.479334954</v>
      </c>
      <c r="BY92" s="92">
        <f t="shared" si="149"/>
        <v>1</v>
      </c>
      <c r="BZ92" s="92">
        <f t="shared" si="150"/>
        <v>0</v>
      </c>
      <c r="CA92" s="86">
        <f t="shared" si="151"/>
        <v>8163.6120000000001</v>
      </c>
      <c r="CB92" s="86">
        <f t="shared" si="115"/>
        <v>31514644.479334954</v>
      </c>
      <c r="CC92" s="96">
        <f t="shared" si="116"/>
        <v>0</v>
      </c>
      <c r="CD92" s="96">
        <f t="shared" si="117"/>
        <v>3501627.164370548</v>
      </c>
      <c r="CE92" s="94">
        <f t="shared" si="118"/>
        <v>1</v>
      </c>
      <c r="CF92" s="92">
        <f t="shared" si="119"/>
        <v>0</v>
      </c>
      <c r="CG92" s="67"/>
      <c r="CH92" s="86">
        <f>$P92*CH$6</f>
        <v>7400.0375872463492</v>
      </c>
      <c r="CI92" s="86">
        <f t="shared" si="121"/>
        <v>28566957.089066006</v>
      </c>
      <c r="CJ92" s="92">
        <f t="shared" si="152"/>
        <v>1</v>
      </c>
      <c r="CK92" s="92">
        <f t="shared" si="153"/>
        <v>0</v>
      </c>
      <c r="CL92" s="86">
        <f t="shared" si="154"/>
        <v>8163.6120000000001</v>
      </c>
      <c r="CM92" s="86">
        <f t="shared" si="122"/>
        <v>31514644.479334954</v>
      </c>
      <c r="CN92" s="97">
        <f t="shared" si="123"/>
        <v>0.9</v>
      </c>
      <c r="CO92" s="554">
        <f t="shared" si="124"/>
        <v>63303</v>
      </c>
      <c r="CP92" s="153"/>
      <c r="CQ92" s="153">
        <f t="shared" si="125"/>
        <v>8408.52</v>
      </c>
      <c r="CR92" s="353"/>
      <c r="CS92" s="391" t="str">
        <f>VLOOKUP(A92,Characteristics!A85:M168,13,FALSE)</f>
        <v>PED</v>
      </c>
      <c r="CT92" s="206">
        <f>VLOOKUP(A92,Characteristics!A85:C168,3,FALSE)</f>
        <v>2</v>
      </c>
      <c r="CU92" s="557" t="str">
        <f t="shared" si="155"/>
        <v/>
      </c>
      <c r="CV92" s="557" t="str">
        <f t="shared" si="156"/>
        <v/>
      </c>
    </row>
    <row r="93" spans="1:102" s="125" customFormat="1" ht="13.5" thickBot="1" x14ac:dyDescent="0.35">
      <c r="A93" s="138"/>
      <c r="C93" s="463"/>
      <c r="D93" s="463"/>
      <c r="E93" s="463"/>
      <c r="F93" s="463"/>
      <c r="G93" s="463"/>
      <c r="H93" s="463"/>
      <c r="I93" s="463"/>
      <c r="J93" s="463"/>
      <c r="K93" s="463"/>
      <c r="L93" s="463"/>
      <c r="M93" s="542"/>
      <c r="N93" s="463"/>
      <c r="O93" s="464"/>
      <c r="P93" s="463"/>
      <c r="Q93" s="61"/>
      <c r="R93" s="197"/>
      <c r="S93" s="197"/>
      <c r="T93" s="122"/>
      <c r="U93" s="465">
        <f>SUM(U9:U92)</f>
        <v>1369934244.9591289</v>
      </c>
      <c r="V93" s="105">
        <v>149774.21580000001</v>
      </c>
      <c r="W93" s="106">
        <v>1.4322122305567098</v>
      </c>
      <c r="X93" s="107">
        <f>SUM(X9:X92)</f>
        <v>1710620151.7555542</v>
      </c>
      <c r="Y93" s="196"/>
      <c r="Z93" s="197"/>
      <c r="AA93" s="197"/>
      <c r="AB93" s="197"/>
      <c r="AC93" s="470"/>
      <c r="AD93" s="100"/>
      <c r="AE93" s="185"/>
      <c r="AF93" s="147">
        <f>SUM(AF9:AF92)</f>
        <v>1369934244.9591291</v>
      </c>
      <c r="AG93" s="185">
        <f>SUM(AG9:AG92)</f>
        <v>5</v>
      </c>
      <c r="AH93" s="185">
        <f>SUM(AH9:AH92)</f>
        <v>16</v>
      </c>
      <c r="AI93" s="185"/>
      <c r="AJ93" s="185"/>
      <c r="AK93" s="147">
        <f>SUM(AK9:AK92)</f>
        <v>1372717047.2987494</v>
      </c>
      <c r="AL93" s="147">
        <f>SUM(AL9:AL92)</f>
        <v>1664186928.8304248</v>
      </c>
      <c r="AM93" s="147">
        <f>SUM(AM9:AM92)</f>
        <v>1328245245.9576886</v>
      </c>
      <c r="AN93" s="185">
        <f>SUM(AN9:AN92)</f>
        <v>5</v>
      </c>
      <c r="AO93" s="197"/>
      <c r="AP93" s="185"/>
      <c r="AQ93" s="147">
        <f>SUM(AQ9:AQ92)</f>
        <v>1369934244.9591286</v>
      </c>
      <c r="AR93" s="185">
        <f>SUM(AR9:AR92)</f>
        <v>5</v>
      </c>
      <c r="AS93" s="185">
        <f>SUM(AS9:AS92)</f>
        <v>15</v>
      </c>
      <c r="AT93" s="185"/>
      <c r="AU93" s="147">
        <f>SUM(AU9:AU92)</f>
        <v>1368369211.6323984</v>
      </c>
      <c r="AV93" s="147">
        <f>SUM(AV9:AV92)</f>
        <v>1606925462.1727762</v>
      </c>
      <c r="AW93" s="147">
        <f>SUM(AW9:AW92)</f>
        <v>1284107918.8422313</v>
      </c>
      <c r="AX93" s="185">
        <f>SUM(AX9:AX92)</f>
        <v>20</v>
      </c>
      <c r="AY93" s="185">
        <f>SUM(AY9:AY92)</f>
        <v>15</v>
      </c>
      <c r="AZ93" s="197"/>
      <c r="BA93" s="185"/>
      <c r="BB93" s="147">
        <f>SUM(BB9:BB92)</f>
        <v>1369934244.9591296</v>
      </c>
      <c r="BC93" s="185">
        <f>SUM(BC9:BC92)</f>
        <v>5</v>
      </c>
      <c r="BD93" s="185">
        <f>SUM(BD9:BD92)</f>
        <v>16</v>
      </c>
      <c r="BE93" s="185"/>
      <c r="BF93" s="147">
        <f>SUM(BF9:BF92)</f>
        <v>1369934228.7581365</v>
      </c>
      <c r="BG93" s="147">
        <f>SUM(BG9:BG92)</f>
        <v>1606590919.7660971</v>
      </c>
      <c r="BH93" s="147">
        <f>SUM(BH9:BH92)</f>
        <v>1283840599.3367975</v>
      </c>
      <c r="BI93" s="185">
        <f>SUM(BI9:BI92)</f>
        <v>21</v>
      </c>
      <c r="BJ93" s="185">
        <f>SUM(BJ9:BJ92)</f>
        <v>1</v>
      </c>
      <c r="BK93" s="197"/>
      <c r="BL93" s="185"/>
      <c r="BM93" s="147">
        <f>SUM(BM9:BM92)</f>
        <v>1369934244.95913</v>
      </c>
      <c r="BN93" s="185">
        <f>SUM(BN9:BN92)</f>
        <v>5</v>
      </c>
      <c r="BO93" s="185">
        <f>SUM(BO9:BO92)</f>
        <v>16</v>
      </c>
      <c r="BP93" s="185"/>
      <c r="BQ93" s="147">
        <f>SUM(BQ9:BQ92)</f>
        <v>1369934244.95913</v>
      </c>
      <c r="BR93" s="147">
        <f>SUM(BR9:BR92)</f>
        <v>1606590919.7660971</v>
      </c>
      <c r="BS93" s="147">
        <f>SUM(BS9:BS92)</f>
        <v>1283840599.3367975</v>
      </c>
      <c r="BT93" s="185">
        <f>SUM(BT9:BT92)</f>
        <v>21</v>
      </c>
      <c r="BU93" s="185">
        <f>SUM(BU9:BU92)</f>
        <v>0</v>
      </c>
      <c r="BV93" s="197"/>
      <c r="BW93" s="185"/>
      <c r="BX93" s="147">
        <f>SUM(BX9:BX92)</f>
        <v>1369934244.95913</v>
      </c>
      <c r="BY93" s="185">
        <f>SUM(BY9:BY92)</f>
        <v>5</v>
      </c>
      <c r="BZ93" s="185">
        <f>SUM(BZ9:BZ92)</f>
        <v>16</v>
      </c>
      <c r="CA93" s="185"/>
      <c r="CB93" s="147">
        <f>SUM(CB9:CB92)</f>
        <v>1369934244.95913</v>
      </c>
      <c r="CC93" s="147">
        <f>SUM(CC9:CC92)</f>
        <v>1606590919.7660971</v>
      </c>
      <c r="CD93" s="147">
        <f>SUM(CD9:CD92)</f>
        <v>1283840599.3367975</v>
      </c>
      <c r="CE93" s="185">
        <f>SUM(CE9:CE92)</f>
        <v>21</v>
      </c>
      <c r="CF93" s="186">
        <f>SUM(CF9:CF92)</f>
        <v>0</v>
      </c>
      <c r="CG93" s="104"/>
      <c r="CH93" s="185"/>
      <c r="CI93" s="147">
        <f>SUM(CI9:CI92)</f>
        <v>1366971251.8898051</v>
      </c>
      <c r="CJ93" s="185">
        <f>SUM(CJ9:CJ92)</f>
        <v>5</v>
      </c>
      <c r="CK93" s="186">
        <f>SUM(CK9:CK92)</f>
        <v>16</v>
      </c>
      <c r="CL93" s="187"/>
      <c r="CM93" s="148">
        <f>SUM(CM9:CM92)</f>
        <v>1369934244.95913</v>
      </c>
      <c r="CN93" s="188"/>
      <c r="CO93" s="159"/>
      <c r="CP93" s="159"/>
      <c r="CQ93" s="154"/>
      <c r="CR93" s="154"/>
      <c r="CS93" s="194"/>
      <c r="CT93" s="194"/>
      <c r="CU93" s="555">
        <f>ROUND(AVERAGE(CU9:CU92),2)</f>
        <v>6094.95</v>
      </c>
      <c r="CV93" s="555">
        <f>ROUND(AVERAGE(CV9:CV92),2)</f>
        <v>7380.95</v>
      </c>
      <c r="CW93" s="556">
        <f>ROUND((CU93*0.9),2)</f>
        <v>5485.46</v>
      </c>
      <c r="CX93" s="556">
        <f>ROUND((CV93*0.9),2)</f>
        <v>6642.86</v>
      </c>
    </row>
    <row r="94" spans="1:102" s="125" customFormat="1" ht="13.5" thickBot="1" x14ac:dyDescent="0.35">
      <c r="A94" s="167"/>
      <c r="B94" s="168"/>
      <c r="C94" s="167"/>
      <c r="D94" s="169"/>
      <c r="E94" s="169"/>
      <c r="F94" s="169"/>
      <c r="G94" s="169"/>
      <c r="H94" s="169"/>
      <c r="I94" s="170"/>
      <c r="J94" s="169"/>
      <c r="K94" s="169"/>
      <c r="L94" s="169"/>
      <c r="M94" s="181"/>
      <c r="N94" s="169"/>
      <c r="O94" s="401"/>
      <c r="P94" s="169"/>
      <c r="Q94" s="171"/>
      <c r="R94" s="70"/>
      <c r="S94" s="466"/>
      <c r="T94" s="596" t="s">
        <v>3651</v>
      </c>
      <c r="U94" s="361">
        <f>CH6</f>
        <v>0.79910858672331553</v>
      </c>
      <c r="V94" s="69"/>
      <c r="W94" s="69"/>
      <c r="X94" s="69"/>
      <c r="Y94" s="197"/>
      <c r="Z94" s="70"/>
      <c r="AA94" s="59"/>
      <c r="AB94" s="59" t="s">
        <v>4</v>
      </c>
      <c r="AC94" s="470"/>
      <c r="AD94" s="197"/>
      <c r="AE94" s="194"/>
      <c r="AF94" s="194"/>
      <c r="AG94" s="194"/>
      <c r="AH94" s="194"/>
      <c r="AI94" s="194"/>
      <c r="AJ94" s="202"/>
      <c r="AK94" s="194"/>
      <c r="AL94" s="194"/>
      <c r="AM94" s="108" t="s">
        <v>4</v>
      </c>
      <c r="AN94" s="194"/>
      <c r="AO94" s="194"/>
      <c r="AP94" s="194"/>
      <c r="AQ94" s="194"/>
      <c r="AR94" s="194"/>
      <c r="AS94" s="194"/>
      <c r="AT94" s="194"/>
      <c r="AU94" s="194"/>
      <c r="AV94" s="194"/>
      <c r="AW94" s="108" t="s">
        <v>4</v>
      </c>
      <c r="AX94" s="194"/>
      <c r="AY94" s="59" t="str">
        <f>IF(AY93=0,"FINAL","See Next Round")</f>
        <v>See Next Round</v>
      </c>
      <c r="AZ94" s="194"/>
      <c r="BA94" s="194"/>
      <c r="BB94" s="194"/>
      <c r="BC94" s="194"/>
      <c r="BD94" s="194"/>
      <c r="BE94" s="194"/>
      <c r="BF94" s="194"/>
      <c r="BG94" s="194"/>
      <c r="BH94" s="108"/>
      <c r="BI94" s="194"/>
      <c r="BJ94" s="59" t="str">
        <f>IF(BJ93=0,"FINAL","See Next Round")</f>
        <v>See Next Round</v>
      </c>
      <c r="BK94" s="194"/>
      <c r="BL94" s="194"/>
      <c r="BM94" s="194"/>
      <c r="BN94" s="194"/>
      <c r="BO94" s="194"/>
      <c r="BP94" s="194"/>
      <c r="BQ94" s="194"/>
      <c r="BR94" s="194"/>
      <c r="BS94" s="108"/>
      <c r="BT94" s="194"/>
      <c r="BU94" s="59" t="str">
        <f>IF(BU93=0,"FINAL","See Next Round")</f>
        <v>FINAL</v>
      </c>
      <c r="BV94" s="194"/>
      <c r="BW94" s="194"/>
      <c r="BX94" s="194"/>
      <c r="BY94" s="194"/>
      <c r="BZ94" s="194"/>
      <c r="CA94" s="194"/>
      <c r="CB94" s="194"/>
      <c r="CC94" s="194"/>
      <c r="CD94" s="108"/>
      <c r="CE94" s="194"/>
      <c r="CF94" s="595" t="str">
        <f>IF(CF93=0,"FINAL","See Next Round")</f>
        <v>FINAL</v>
      </c>
      <c r="CG94" s="69"/>
      <c r="CH94" s="194"/>
      <c r="CI94" s="69"/>
      <c r="CJ94" s="69"/>
      <c r="CK94" s="172"/>
      <c r="CL94" s="85" t="s">
        <v>274</v>
      </c>
      <c r="CM94" s="204">
        <f>$U93</f>
        <v>1369934244.9591289</v>
      </c>
      <c r="CN94" s="69"/>
      <c r="CO94" s="158"/>
      <c r="CP94" s="158"/>
      <c r="CQ94" s="154"/>
      <c r="CR94" s="154"/>
      <c r="CS94" s="194"/>
      <c r="CT94" s="194"/>
    </row>
    <row r="95" spans="1:102" s="125" customFormat="1" x14ac:dyDescent="0.3">
      <c r="A95" s="173"/>
      <c r="B95" s="174"/>
      <c r="C95" s="173"/>
      <c r="D95" s="169"/>
      <c r="E95" s="169"/>
      <c r="F95" s="169"/>
      <c r="G95" s="169"/>
      <c r="H95" s="169"/>
      <c r="I95" s="169"/>
      <c r="J95" s="169"/>
      <c r="K95" s="169"/>
      <c r="L95" s="169"/>
      <c r="M95" s="181"/>
      <c r="N95" s="169"/>
      <c r="O95" s="169"/>
      <c r="P95" s="169"/>
      <c r="Q95" s="171"/>
      <c r="R95" s="360"/>
      <c r="Y95" s="194"/>
      <c r="Z95" s="70"/>
      <c r="AA95" s="59"/>
      <c r="AB95" s="59"/>
      <c r="AC95" s="70"/>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69"/>
      <c r="CH95" s="194"/>
      <c r="CI95" s="69"/>
      <c r="CJ95" s="69"/>
      <c r="CK95" s="69"/>
      <c r="CL95" s="128" t="s">
        <v>275</v>
      </c>
      <c r="CM95" s="108">
        <f>CM93-CM94</f>
        <v>0</v>
      </c>
      <c r="CN95" s="69"/>
      <c r="CO95" s="158"/>
      <c r="CP95" s="158"/>
      <c r="CQ95" s="154"/>
      <c r="CR95" s="154"/>
      <c r="CS95" s="194"/>
      <c r="CT95" s="194"/>
    </row>
    <row r="96" spans="1:102" s="125" customFormat="1" ht="26" x14ac:dyDescent="0.3">
      <c r="A96" s="173"/>
      <c r="B96" s="170"/>
      <c r="C96" s="169"/>
      <c r="D96" s="169"/>
      <c r="E96" s="169"/>
      <c r="F96" s="169"/>
      <c r="G96" s="169"/>
      <c r="H96" s="169"/>
      <c r="I96" s="169"/>
      <c r="J96" s="169"/>
      <c r="K96" s="169"/>
      <c r="L96" s="619"/>
      <c r="M96" s="619"/>
      <c r="N96" s="619"/>
      <c r="O96" s="619"/>
      <c r="P96" s="169"/>
      <c r="Q96" s="171"/>
      <c r="R96" s="70"/>
      <c r="U96" s="570" t="s">
        <v>3785</v>
      </c>
      <c r="V96" s="571">
        <f>MIN(V9:V92)</f>
        <v>30</v>
      </c>
      <c r="Y96" s="194"/>
      <c r="Z96" s="70"/>
      <c r="AA96" s="59"/>
      <c r="AB96" s="59"/>
      <c r="AC96" s="70"/>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69"/>
      <c r="CH96" s="194"/>
      <c r="CI96" s="69"/>
      <c r="CJ96" s="69"/>
      <c r="CK96" s="69"/>
      <c r="CL96" s="85" t="s">
        <v>3643</v>
      </c>
      <c r="CM96" s="335">
        <f>CH6</f>
        <v>0.79910858672331553</v>
      </c>
      <c r="CN96" s="69"/>
      <c r="CO96" s="158"/>
      <c r="CP96" s="158"/>
      <c r="CQ96" s="154"/>
      <c r="CR96" s="154"/>
      <c r="CS96" s="194"/>
      <c r="CT96" s="194"/>
    </row>
    <row r="97" spans="1:98" s="125" customFormat="1" x14ac:dyDescent="0.3">
      <c r="A97" s="173"/>
      <c r="B97" s="175"/>
      <c r="C97" s="175"/>
      <c r="D97" s="169"/>
      <c r="E97" s="169"/>
      <c r="F97" s="169"/>
      <c r="G97" s="169"/>
      <c r="H97" s="169"/>
      <c r="I97" s="169"/>
      <c r="J97" s="169"/>
      <c r="K97" s="169"/>
      <c r="L97" s="467"/>
      <c r="M97" s="574"/>
      <c r="N97" s="180"/>
      <c r="O97" s="180"/>
      <c r="P97" s="169"/>
      <c r="Q97" s="171"/>
      <c r="R97" s="70"/>
      <c r="S97" s="620"/>
      <c r="T97" s="561"/>
      <c r="U97" s="562"/>
      <c r="V97" s="563"/>
      <c r="W97" s="561"/>
      <c r="X97" s="564"/>
      <c r="Y97" s="194"/>
      <c r="Z97" s="70"/>
      <c r="AA97" s="59"/>
      <c r="AB97" s="59"/>
      <c r="AC97" s="70"/>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69"/>
      <c r="CH97" s="194"/>
      <c r="CI97" s="69"/>
      <c r="CJ97" s="69"/>
      <c r="CK97" s="69"/>
      <c r="CL97" s="69"/>
      <c r="CM97" s="69"/>
      <c r="CN97" s="69"/>
      <c r="CO97" s="158"/>
      <c r="CP97" s="158"/>
      <c r="CQ97" s="154"/>
      <c r="CR97" s="154"/>
      <c r="CS97" s="194"/>
      <c r="CT97" s="194"/>
    </row>
    <row r="98" spans="1:98" s="125" customFormat="1" x14ac:dyDescent="0.3">
      <c r="A98" s="173"/>
      <c r="B98" s="176"/>
      <c r="C98" s="176"/>
      <c r="D98" s="169"/>
      <c r="E98" s="169"/>
      <c r="F98" s="169"/>
      <c r="G98" s="169"/>
      <c r="H98" s="169"/>
      <c r="I98" s="169"/>
      <c r="J98" s="169"/>
      <c r="K98" s="169"/>
      <c r="L98" s="302"/>
      <c r="M98" s="575"/>
      <c r="N98" s="180"/>
      <c r="O98" s="180"/>
      <c r="P98" s="169"/>
      <c r="Q98" s="171"/>
      <c r="R98" s="70"/>
      <c r="S98" s="620"/>
      <c r="T98" s="565"/>
      <c r="U98" s="559"/>
      <c r="V98" s="560"/>
      <c r="W98" s="560"/>
      <c r="X98" s="559"/>
      <c r="Y98" s="194"/>
      <c r="Z98" s="146"/>
      <c r="AA98" s="59"/>
      <c r="AB98" s="59"/>
      <c r="AC98" s="70"/>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69"/>
      <c r="CH98" s="194"/>
      <c r="CI98" s="69"/>
      <c r="CJ98" s="69"/>
      <c r="CK98" s="69"/>
      <c r="CL98" s="69"/>
      <c r="CM98" s="69"/>
      <c r="CN98" s="69"/>
      <c r="CO98" s="159"/>
      <c r="CP98" s="159"/>
      <c r="CS98" s="194"/>
      <c r="CT98" s="194"/>
    </row>
    <row r="99" spans="1:98" s="125" customFormat="1" x14ac:dyDescent="0.3">
      <c r="A99" s="173"/>
      <c r="B99" s="176"/>
      <c r="C99" s="176"/>
      <c r="D99" s="169"/>
      <c r="E99" s="169"/>
      <c r="F99" s="169"/>
      <c r="G99" s="169"/>
      <c r="H99" s="169"/>
      <c r="I99" s="169"/>
      <c r="J99" s="169"/>
      <c r="K99" s="169"/>
      <c r="L99" s="302"/>
      <c r="M99" s="575"/>
      <c r="N99" s="180"/>
      <c r="O99" s="180"/>
      <c r="P99" s="169"/>
      <c r="Q99" s="171"/>
      <c r="R99" s="70"/>
      <c r="S99" s="360"/>
      <c r="T99" s="566"/>
      <c r="U99" s="567"/>
      <c r="V99" s="467"/>
      <c r="W99" s="467"/>
      <c r="X99" s="467"/>
      <c r="Y99" s="194"/>
      <c r="Z99" s="146"/>
      <c r="AA99" s="59"/>
      <c r="AB99" s="59"/>
      <c r="AC99" s="70"/>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69"/>
      <c r="CH99" s="194"/>
      <c r="CI99" s="69"/>
      <c r="CJ99" s="69"/>
      <c r="CK99" s="69"/>
      <c r="CL99" s="69"/>
      <c r="CM99" s="69"/>
      <c r="CN99" s="69"/>
      <c r="CO99" s="159"/>
      <c r="CP99" s="159"/>
      <c r="CS99" s="194"/>
      <c r="CT99" s="194"/>
    </row>
    <row r="100" spans="1:98" s="125" customFormat="1" x14ac:dyDescent="0.3">
      <c r="A100" s="173"/>
      <c r="B100" s="177"/>
      <c r="C100" s="173"/>
      <c r="D100" s="169"/>
      <c r="E100" s="169"/>
      <c r="F100" s="169"/>
      <c r="G100" s="169"/>
      <c r="H100" s="169"/>
      <c r="I100" s="169"/>
      <c r="J100" s="169"/>
      <c r="K100" s="169"/>
      <c r="L100" s="302"/>
      <c r="M100" s="564"/>
      <c r="N100" s="159"/>
      <c r="O100" s="158"/>
      <c r="P100" s="169"/>
      <c r="Q100" s="171"/>
      <c r="R100" s="70"/>
      <c r="S100" s="70"/>
      <c r="T100" s="123"/>
      <c r="U100" s="70"/>
      <c r="V100" s="69"/>
      <c r="W100" s="69"/>
      <c r="X100" s="69"/>
      <c r="Y100" s="194"/>
      <c r="Z100" s="70"/>
      <c r="AA100" s="59"/>
      <c r="AB100" s="59"/>
      <c r="AC100" s="70"/>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69"/>
      <c r="CH100" s="194"/>
      <c r="CI100" s="69"/>
      <c r="CJ100" s="69"/>
      <c r="CK100" s="69"/>
      <c r="CL100" s="69"/>
      <c r="CM100" s="69"/>
      <c r="CN100" s="69"/>
      <c r="CO100" s="159"/>
      <c r="CP100" s="159"/>
      <c r="CS100" s="194"/>
      <c r="CT100" s="194"/>
    </row>
    <row r="101" spans="1:98" s="125" customFormat="1" x14ac:dyDescent="0.3">
      <c r="A101" s="173"/>
      <c r="B101" s="177"/>
      <c r="C101" s="173"/>
      <c r="D101" s="169"/>
      <c r="E101" s="169"/>
      <c r="F101" s="169"/>
      <c r="G101" s="169"/>
      <c r="H101" s="169"/>
      <c r="I101" s="169"/>
      <c r="J101" s="169"/>
      <c r="K101" s="169"/>
      <c r="L101" s="467"/>
      <c r="M101" s="360"/>
      <c r="N101" s="159"/>
      <c r="O101" s="158"/>
      <c r="P101" s="169"/>
      <c r="Q101" s="171"/>
      <c r="R101" s="70"/>
      <c r="S101" s="70"/>
      <c r="T101" s="123"/>
      <c r="U101" s="70"/>
      <c r="V101" s="69"/>
      <c r="W101" s="69"/>
      <c r="X101" s="69"/>
      <c r="Y101" s="194"/>
      <c r="Z101" s="70"/>
      <c r="AA101" s="59"/>
      <c r="AB101" s="59"/>
      <c r="AC101" s="70"/>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69"/>
      <c r="CH101" s="194"/>
      <c r="CI101" s="69"/>
      <c r="CJ101" s="69"/>
      <c r="CK101" s="69"/>
      <c r="CL101" s="69"/>
      <c r="CM101" s="69"/>
      <c r="CN101" s="69"/>
      <c r="CO101" s="159"/>
      <c r="CP101" s="159"/>
      <c r="CS101" s="194"/>
      <c r="CT101" s="194"/>
    </row>
    <row r="102" spans="1:98" s="125" customFormat="1" x14ac:dyDescent="0.3">
      <c r="A102" s="178"/>
      <c r="B102" s="179"/>
      <c r="C102" s="179"/>
      <c r="D102" s="180"/>
      <c r="E102" s="169"/>
      <c r="F102" s="169"/>
      <c r="G102" s="169"/>
      <c r="H102" s="169"/>
      <c r="I102" s="169"/>
      <c r="J102" s="169"/>
      <c r="K102" s="169"/>
      <c r="L102" s="302"/>
      <c r="M102" s="575"/>
      <c r="N102" s="349"/>
      <c r="O102" s="579"/>
      <c r="P102" s="169"/>
      <c r="Q102" s="171"/>
      <c r="R102" s="70"/>
      <c r="S102" s="70"/>
      <c r="T102" s="123"/>
      <c r="U102" s="70"/>
      <c r="V102" s="69"/>
      <c r="W102" s="69"/>
      <c r="X102" s="69"/>
      <c r="Y102" s="194"/>
      <c r="Z102" s="70"/>
      <c r="AA102" s="59"/>
      <c r="AB102" s="59"/>
      <c r="AC102" s="70"/>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69"/>
      <c r="CH102" s="194"/>
      <c r="CI102" s="69"/>
      <c r="CJ102" s="69"/>
      <c r="CK102" s="69"/>
      <c r="CL102" s="69"/>
      <c r="CM102" s="69"/>
      <c r="CN102" s="69"/>
      <c r="CO102" s="159"/>
      <c r="CP102" s="159"/>
      <c r="CS102" s="194"/>
      <c r="CT102" s="194"/>
    </row>
    <row r="103" spans="1:98" s="125" customFormat="1" x14ac:dyDescent="0.3">
      <c r="A103" s="178"/>
      <c r="B103" s="179"/>
      <c r="C103" s="179"/>
      <c r="D103" s="180"/>
      <c r="E103" s="169"/>
      <c r="F103" s="169"/>
      <c r="G103" s="169"/>
      <c r="H103" s="169"/>
      <c r="I103" s="169"/>
      <c r="J103" s="181"/>
      <c r="K103" s="181"/>
      <c r="L103" s="576"/>
      <c r="M103" s="577"/>
      <c r="N103" s="578"/>
      <c r="O103" s="578"/>
      <c r="P103" s="181"/>
      <c r="Q103" s="171"/>
      <c r="R103" s="70"/>
      <c r="S103" s="70"/>
      <c r="T103" s="123"/>
      <c r="U103" s="70"/>
      <c r="V103" s="69"/>
      <c r="W103" s="69"/>
      <c r="X103" s="69"/>
      <c r="Y103" s="194"/>
      <c r="Z103" s="70"/>
      <c r="AA103" s="59"/>
      <c r="AB103" s="59"/>
      <c r="AC103" s="70"/>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69"/>
      <c r="CH103" s="194"/>
      <c r="CI103" s="69"/>
      <c r="CJ103" s="69"/>
      <c r="CK103" s="69"/>
      <c r="CL103" s="69"/>
      <c r="CM103" s="69"/>
      <c r="CN103" s="69"/>
      <c r="CO103" s="159"/>
      <c r="CP103" s="159"/>
      <c r="CS103" s="194"/>
      <c r="CT103" s="194"/>
    </row>
    <row r="104" spans="1:98" s="125" customFormat="1" x14ac:dyDescent="0.3">
      <c r="A104" s="182"/>
      <c r="B104" s="183"/>
      <c r="C104" s="178"/>
      <c r="D104" s="180"/>
      <c r="E104" s="169"/>
      <c r="F104" s="169"/>
      <c r="G104" s="169"/>
      <c r="H104" s="169"/>
      <c r="I104" s="169"/>
      <c r="J104" s="181"/>
      <c r="K104" s="181"/>
      <c r="L104" s="302"/>
      <c r="M104" s="580"/>
      <c r="N104" s="578"/>
      <c r="O104" s="578"/>
      <c r="P104" s="181"/>
      <c r="Q104" s="171"/>
      <c r="R104" s="70"/>
      <c r="S104" s="70"/>
      <c r="T104" s="123"/>
      <c r="U104" s="70"/>
      <c r="V104" s="69"/>
      <c r="W104" s="69"/>
      <c r="X104" s="69"/>
      <c r="Y104" s="194"/>
      <c r="Z104" s="70"/>
      <c r="AA104" s="59"/>
      <c r="AB104" s="59"/>
      <c r="AC104" s="70"/>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69"/>
      <c r="CH104" s="194"/>
      <c r="CI104" s="69"/>
      <c r="CJ104" s="69"/>
      <c r="CK104" s="69"/>
      <c r="CL104" s="69"/>
      <c r="CM104" s="69"/>
      <c r="CN104" s="69"/>
      <c r="CO104" s="159"/>
      <c r="CP104" s="159"/>
      <c r="CS104" s="194"/>
      <c r="CT104" s="194"/>
    </row>
    <row r="105" spans="1:98" s="125" customFormat="1" x14ac:dyDescent="0.3">
      <c r="A105" s="138"/>
      <c r="C105" s="169"/>
      <c r="D105" s="169"/>
      <c r="E105" s="169"/>
      <c r="F105" s="169"/>
      <c r="G105" s="169"/>
      <c r="H105" s="169"/>
      <c r="I105" s="169"/>
      <c r="J105" s="181"/>
      <c r="K105" s="181"/>
      <c r="L105" s="181"/>
      <c r="M105" s="181"/>
      <c r="N105" s="181"/>
      <c r="O105" s="181"/>
      <c r="P105" s="181"/>
      <c r="R105" s="70"/>
      <c r="S105" s="70"/>
      <c r="T105" s="123"/>
      <c r="U105" s="70"/>
      <c r="V105" s="69"/>
      <c r="W105" s="69"/>
      <c r="X105" s="69"/>
      <c r="Y105" s="194"/>
      <c r="Z105" s="70"/>
      <c r="AA105" s="59"/>
      <c r="AB105" s="59"/>
      <c r="AC105" s="70"/>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69"/>
      <c r="CH105" s="194"/>
      <c r="CI105" s="69"/>
      <c r="CJ105" s="69"/>
      <c r="CK105" s="69"/>
      <c r="CL105" s="69"/>
      <c r="CM105" s="69"/>
      <c r="CN105" s="69"/>
      <c r="CO105" s="159"/>
      <c r="CP105" s="159"/>
      <c r="CS105" s="194"/>
      <c r="CT105" s="194"/>
    </row>
    <row r="106" spans="1:98" s="125" customFormat="1" x14ac:dyDescent="0.3">
      <c r="A106" s="184"/>
      <c r="C106" s="169"/>
      <c r="D106" s="169"/>
      <c r="E106" s="169"/>
      <c r="F106" s="169"/>
      <c r="G106" s="169"/>
      <c r="H106" s="169"/>
      <c r="I106" s="169"/>
      <c r="J106" s="181"/>
      <c r="K106" s="181"/>
      <c r="L106" s="181"/>
      <c r="M106" s="181"/>
      <c r="N106" s="181"/>
      <c r="O106" s="181"/>
      <c r="P106" s="181"/>
      <c r="R106" s="70"/>
      <c r="S106" s="70"/>
      <c r="T106" s="123"/>
      <c r="U106" s="70"/>
      <c r="V106" s="69"/>
      <c r="W106" s="69"/>
      <c r="X106" s="69"/>
      <c r="Y106" s="194"/>
      <c r="Z106" s="70"/>
      <c r="AA106" s="59"/>
      <c r="AB106" s="59"/>
      <c r="AC106" s="70"/>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69"/>
      <c r="CH106" s="194"/>
      <c r="CI106" s="69"/>
      <c r="CJ106" s="69"/>
      <c r="CK106" s="69"/>
      <c r="CL106" s="69"/>
      <c r="CM106" s="69"/>
      <c r="CN106" s="69"/>
      <c r="CO106" s="159"/>
      <c r="CP106" s="159"/>
      <c r="CS106" s="194"/>
      <c r="CT106" s="194"/>
    </row>
    <row r="107" spans="1:98" x14ac:dyDescent="0.3">
      <c r="A107" s="191">
        <v>1</v>
      </c>
      <c r="B107" s="192"/>
      <c r="C107" s="193">
        <v>3</v>
      </c>
      <c r="D107" s="191">
        <v>4</v>
      </c>
      <c r="E107" s="192">
        <v>5</v>
      </c>
      <c r="F107" s="193">
        <v>6</v>
      </c>
      <c r="G107" s="191">
        <v>7</v>
      </c>
      <c r="H107" s="192">
        <v>8</v>
      </c>
      <c r="I107" s="191">
        <v>9</v>
      </c>
      <c r="J107" s="192">
        <v>10</v>
      </c>
      <c r="K107" s="192"/>
      <c r="L107" s="193">
        <v>11</v>
      </c>
      <c r="M107" s="191">
        <v>12</v>
      </c>
      <c r="N107" s="192">
        <v>13</v>
      </c>
      <c r="O107" s="193">
        <v>14</v>
      </c>
      <c r="P107" s="191">
        <v>15</v>
      </c>
      <c r="Q107" s="192">
        <v>16</v>
      </c>
      <c r="R107" s="191">
        <v>17</v>
      </c>
      <c r="S107" s="192">
        <v>18</v>
      </c>
      <c r="T107" s="193">
        <v>19</v>
      </c>
      <c r="U107" s="191">
        <v>20</v>
      </c>
      <c r="V107" s="192">
        <v>21</v>
      </c>
      <c r="W107" s="193">
        <v>22</v>
      </c>
      <c r="X107" s="191">
        <v>23</v>
      </c>
      <c r="Y107" s="125"/>
      <c r="Z107" s="191">
        <v>25</v>
      </c>
      <c r="AA107" s="192">
        <v>26</v>
      </c>
      <c r="AB107" s="193">
        <v>27</v>
      </c>
      <c r="AD107" s="192">
        <v>29</v>
      </c>
      <c r="AE107" s="193">
        <v>30</v>
      </c>
      <c r="AF107" s="191">
        <v>31</v>
      </c>
      <c r="AG107" s="192">
        <v>32</v>
      </c>
      <c r="AH107" s="191">
        <v>33</v>
      </c>
      <c r="AI107" s="192">
        <v>34</v>
      </c>
      <c r="AJ107" s="125"/>
      <c r="AK107" s="193">
        <v>35</v>
      </c>
      <c r="AL107" s="191">
        <v>36</v>
      </c>
      <c r="AM107" s="192">
        <v>37</v>
      </c>
      <c r="AN107" s="193">
        <v>38</v>
      </c>
      <c r="AO107" s="191">
        <v>39</v>
      </c>
      <c r="AP107" s="192">
        <v>40</v>
      </c>
      <c r="AQ107" s="191">
        <v>41</v>
      </c>
      <c r="AR107" s="192">
        <v>42</v>
      </c>
      <c r="AS107" s="193">
        <v>43</v>
      </c>
      <c r="AT107" s="191">
        <v>44</v>
      </c>
      <c r="AU107" s="192">
        <v>45</v>
      </c>
      <c r="AV107" s="193">
        <v>46</v>
      </c>
      <c r="AW107" s="191">
        <v>47</v>
      </c>
      <c r="AX107" s="192">
        <v>48</v>
      </c>
      <c r="AY107" s="191">
        <v>49</v>
      </c>
      <c r="AZ107" s="192">
        <v>50</v>
      </c>
      <c r="BA107" s="193">
        <v>51</v>
      </c>
      <c r="BB107" s="191">
        <v>52</v>
      </c>
      <c r="BC107" s="192">
        <v>53</v>
      </c>
      <c r="BD107" s="193">
        <v>54</v>
      </c>
      <c r="BE107" s="191">
        <v>55</v>
      </c>
      <c r="BF107" s="192">
        <v>56</v>
      </c>
      <c r="BG107" s="191">
        <v>57</v>
      </c>
      <c r="BH107" s="192">
        <v>58</v>
      </c>
      <c r="BI107" s="193">
        <v>59</v>
      </c>
      <c r="BJ107" s="191">
        <v>60</v>
      </c>
      <c r="BK107" s="192">
        <v>61</v>
      </c>
      <c r="BL107" s="193">
        <v>62</v>
      </c>
      <c r="BM107" s="191">
        <v>63</v>
      </c>
      <c r="BN107" s="192">
        <v>64</v>
      </c>
      <c r="BO107" s="191">
        <v>65</v>
      </c>
      <c r="BP107" s="192">
        <v>66</v>
      </c>
      <c r="BQ107" s="193">
        <v>67</v>
      </c>
      <c r="BR107" s="191">
        <v>68</v>
      </c>
      <c r="BS107" s="192">
        <v>69</v>
      </c>
      <c r="BT107" s="193">
        <v>70</v>
      </c>
      <c r="BU107" s="191">
        <v>71</v>
      </c>
      <c r="BV107" s="192">
        <v>72</v>
      </c>
      <c r="BW107" s="191">
        <v>73</v>
      </c>
      <c r="BX107" s="192">
        <v>74</v>
      </c>
      <c r="BY107" s="193">
        <v>75</v>
      </c>
      <c r="BZ107" s="191">
        <v>76</v>
      </c>
      <c r="CA107" s="192">
        <v>77</v>
      </c>
      <c r="CB107" s="193">
        <v>78</v>
      </c>
      <c r="CC107" s="191">
        <v>79</v>
      </c>
      <c r="CD107" s="192">
        <v>80</v>
      </c>
      <c r="CE107" s="191">
        <v>81</v>
      </c>
      <c r="CF107" s="192">
        <v>82</v>
      </c>
      <c r="CG107" s="193">
        <v>83</v>
      </c>
      <c r="CH107" s="191">
        <v>84</v>
      </c>
      <c r="CI107" s="192">
        <v>85</v>
      </c>
      <c r="CJ107" s="193">
        <v>86</v>
      </c>
      <c r="CK107" s="191">
        <v>87</v>
      </c>
      <c r="CL107" s="192">
        <v>88</v>
      </c>
      <c r="CM107" s="191">
        <v>89</v>
      </c>
      <c r="CN107" s="192">
        <v>90</v>
      </c>
      <c r="CO107" s="193">
        <v>94</v>
      </c>
      <c r="CP107" s="59"/>
      <c r="CQ107" s="13">
        <v>96</v>
      </c>
      <c r="CR107" s="169"/>
      <c r="CS107" s="57">
        <v>98</v>
      </c>
      <c r="CT107" s="13">
        <v>99</v>
      </c>
    </row>
  </sheetData>
  <autoFilter ref="A8:EP92" xr:uid="{6550F6CF-ACE0-4BED-90A2-B96940CAE53D}"/>
  <mergeCells count="10">
    <mergeCell ref="CQ3:CQ5"/>
    <mergeCell ref="L96:O96"/>
    <mergeCell ref="S97:S98"/>
    <mergeCell ref="CS7:CT7"/>
    <mergeCell ref="AA6:AB6"/>
    <mergeCell ref="I4:I6"/>
    <mergeCell ref="AA7:AB7"/>
    <mergeCell ref="T5:T8"/>
    <mergeCell ref="J7:M7"/>
    <mergeCell ref="X5:X6"/>
  </mergeCells>
  <conditionalFormatting sqref="V9:V92">
    <cfRule type="cellIs" dxfId="7" priority="2" operator="lessThan">
      <formula>30</formula>
    </cfRule>
  </conditionalFormatting>
  <conditionalFormatting sqref="CR9:CR92">
    <cfRule type="cellIs" dxfId="6" priority="1" operator="lessThan">
      <formula>0</formula>
    </cfRule>
  </conditionalFormatting>
  <hyperlinks>
    <hyperlink ref="I8" r:id="rId1" display="https://hcpf.colorado.gov/inpatient-hospital-payment" xr:uid="{9945C5A1-CD80-434C-9A6A-2B60AD71E6BC}"/>
    <hyperlink ref="U7" r:id="rId2" xr:uid="{5CF2DF41-FE9B-4164-B65A-A45955FDFC20}"/>
  </hyperlinks>
  <pageMargins left="0.7" right="0.7" top="0.75" bottom="0.75" header="0.3" footer="0.3"/>
  <pageSetup orientation="portrait" horizontalDpi="1200" verticalDpi="1200"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18B2-7103-4B5D-91B0-8256C831469E}">
  <sheetPr>
    <tabColor rgb="FF00B0F0"/>
  </sheetPr>
  <dimension ref="A1:AR95"/>
  <sheetViews>
    <sheetView zoomScale="120" zoomScaleNormal="120" workbookViewId="0">
      <pane xSplit="2" ySplit="1" topLeftCell="C2" activePane="bottomRight" state="frozen"/>
      <selection activeCell="M2" sqref="M2:M85"/>
      <selection pane="topRight" activeCell="M2" sqref="M2:M85"/>
      <selection pane="bottomLeft" activeCell="M2" sqref="M2:M85"/>
      <selection pane="bottomRight" sqref="A1:C1048576"/>
    </sheetView>
  </sheetViews>
  <sheetFormatPr defaultRowHeight="14.5" outlineLevelCol="1" x14ac:dyDescent="0.35"/>
  <cols>
    <col min="1" max="1" width="9.26953125" style="1"/>
    <col min="2" max="2" width="30.26953125" style="289" hidden="1" customWidth="1"/>
    <col min="3" max="3" width="13.7265625" style="1" customWidth="1"/>
    <col min="4" max="4" width="21.36328125" style="10" customWidth="1"/>
    <col min="5" max="5" width="11.6328125" style="1" customWidth="1"/>
    <col min="6" max="6" width="21.6328125" style="191" customWidth="1"/>
    <col min="7" max="7" width="12.90625" style="191" customWidth="1"/>
    <col min="8" max="8" width="21.6328125" style="191" customWidth="1"/>
    <col min="9" max="9" width="15.6328125" customWidth="1" outlineLevel="1"/>
    <col min="10" max="10" width="14.7265625" customWidth="1" outlineLevel="1"/>
    <col min="11" max="11" width="21.6328125" style="1" customWidth="1"/>
    <col min="12" max="12" width="13.81640625" style="191" customWidth="1"/>
    <col min="13" max="13" width="9" style="57" customWidth="1"/>
    <col min="14" max="14" width="23.6328125" style="9" bestFit="1" customWidth="1"/>
    <col min="15" max="23" width="8.7265625" style="9"/>
    <col min="24" max="24" width="11.08984375" style="9" bestFit="1" customWidth="1"/>
    <col min="25" max="25" width="8.81640625" style="9" bestFit="1"/>
    <col min="26" max="26" width="11.08984375" style="9" bestFit="1" customWidth="1"/>
    <col min="27" max="44" width="8.7265625" style="9"/>
  </cols>
  <sheetData>
    <row r="1" spans="1:26" ht="107.75" customHeight="1" thickBot="1" x14ac:dyDescent="0.4">
      <c r="A1" s="52" t="s">
        <v>3724</v>
      </c>
      <c r="B1" s="136"/>
      <c r="C1" s="135" t="s">
        <v>3728</v>
      </c>
      <c r="D1" s="379" t="s">
        <v>3717</v>
      </c>
      <c r="E1" s="294" t="s">
        <v>577</v>
      </c>
      <c r="F1" s="337" t="s">
        <v>3718</v>
      </c>
      <c r="G1" s="135" t="s">
        <v>3644</v>
      </c>
      <c r="H1" s="135" t="s">
        <v>3719</v>
      </c>
      <c r="I1" s="385" t="s">
        <v>3678</v>
      </c>
      <c r="J1" s="83" t="s">
        <v>3679</v>
      </c>
      <c r="K1" s="387" t="s">
        <v>3720</v>
      </c>
      <c r="L1" s="398" t="s">
        <v>3721</v>
      </c>
      <c r="M1" s="137" t="s">
        <v>3725</v>
      </c>
    </row>
    <row r="2" spans="1:26" ht="15" customHeight="1" x14ac:dyDescent="0.35">
      <c r="A2" s="405">
        <v>60001</v>
      </c>
      <c r="B2" s="359"/>
      <c r="C2" s="498">
        <v>0</v>
      </c>
      <c r="D2" s="499" t="str">
        <f>VLOOKUP(A2,'Solvency Metric'!$G$2:$H$85,2,FALSE)</f>
        <v>Banner Health</v>
      </c>
      <c r="E2" s="500" t="str">
        <f>VLOOKUP($A2,'[1]Payer Mix 3 yrs avg'!$B$5:$N$101,11,FALSE)</f>
        <v>2019-2021</v>
      </c>
      <c r="F2" s="500">
        <f>VLOOKUP($A2,'[1]Payer Mix 3 yrs avg'!$B$5:$N$101,12,FALSE)</f>
        <v>0.35099114358304506</v>
      </c>
      <c r="G2" s="500" t="str">
        <f>VLOOKUP($A2,'[2]3 yr avg FY22-23'!$A$4:$L$89,11,FALSE)</f>
        <v>2019-2021</v>
      </c>
      <c r="H2" s="501">
        <f>VLOOKUP($A2,'[2]3 yr avg FY22-23'!$A$4:$L$89,12,FALSE)</f>
        <v>8879.6666666666661</v>
      </c>
      <c r="I2" s="502">
        <f>VLOOKUP($A2,'Solvency Metric'!$G$2:$AJ$85,28,FALSE)</f>
        <v>8.3947936667866499E-2</v>
      </c>
      <c r="J2" s="502">
        <f>VLOOKUP($A2,'Solvency Metric'!$G$2:$AJ$85,29,FALSE)</f>
        <v>0.11078338818904038</v>
      </c>
      <c r="K2" s="502">
        <f>VLOOKUP($A2,'Solvency Metric'!$G$2:$AJ$85,30,FALSE)</f>
        <v>0.11078338818904038</v>
      </c>
      <c r="L2" s="502"/>
      <c r="M2" s="503" t="s">
        <v>216</v>
      </c>
      <c r="P2" s="125"/>
      <c r="Q2" s="125"/>
      <c r="R2" s="125"/>
      <c r="S2" s="125"/>
      <c r="T2" s="125"/>
      <c r="U2" s="125"/>
      <c r="V2" s="125"/>
      <c r="W2" s="125"/>
    </row>
    <row r="3" spans="1:26" ht="15" customHeight="1" x14ac:dyDescent="0.35">
      <c r="A3" s="404">
        <v>60003</v>
      </c>
      <c r="B3" s="359"/>
      <c r="C3" s="498">
        <v>0</v>
      </c>
      <c r="D3" s="499" t="str">
        <f>VLOOKUP(A3,'Solvency Metric'!$G$2:$H$85,2,FALSE)</f>
        <v>Centura Health CHI</v>
      </c>
      <c r="E3" s="500" t="str">
        <f>VLOOKUP($A3,'[1]Payer Mix 3 yrs avg'!$B$5:$N$101,11,FALSE)</f>
        <v>2019-2021</v>
      </c>
      <c r="F3" s="500">
        <f>VLOOKUP($A3,'[1]Payer Mix 3 yrs avg'!$B$5:$N$101,12,FALSE)</f>
        <v>0.27359966621466569</v>
      </c>
      <c r="G3" s="500" t="str">
        <f>VLOOKUP($A3,'[2]3 yr avg FY22-23'!$A$4:$L$89,11,FALSE)</f>
        <v>2019-2021</v>
      </c>
      <c r="H3" s="501">
        <f>VLOOKUP($A3,'[2]3 yr avg FY22-23'!$A$4:$L$89,12,FALSE)</f>
        <v>3864</v>
      </c>
      <c r="I3" s="502">
        <f>VLOOKUP($A3,'Solvency Metric'!$G$2:$AJ$85,28,FALSE)</f>
        <v>0.10088846624439692</v>
      </c>
      <c r="J3" s="502">
        <f>VLOOKUP($A3,'Solvency Metric'!$G$2:$AJ$85,29,FALSE)</f>
        <v>0.18263437911393374</v>
      </c>
      <c r="K3" s="502">
        <f>VLOOKUP($A3,'Solvency Metric'!$G$2:$AJ$85,30,FALSE)</f>
        <v>0.18263437911393374</v>
      </c>
      <c r="L3" s="502"/>
      <c r="M3" s="503" t="s">
        <v>216</v>
      </c>
      <c r="P3" s="125"/>
      <c r="Q3" s="125"/>
      <c r="R3" s="125"/>
      <c r="S3" s="125"/>
      <c r="T3" s="125"/>
      <c r="U3" s="125"/>
      <c r="V3" s="125"/>
      <c r="W3" s="125"/>
      <c r="Y3" s="295"/>
      <c r="Z3" s="296"/>
    </row>
    <row r="4" spans="1:26" ht="15" customHeight="1" x14ac:dyDescent="0.35">
      <c r="A4" s="404">
        <v>60004</v>
      </c>
      <c r="B4" s="359"/>
      <c r="C4" s="498">
        <v>0</v>
      </c>
      <c r="D4" s="499" t="str">
        <f>VLOOKUP(A4,'Solvency Metric'!$G$2:$H$85,2,FALSE)</f>
        <v>SCL Health</v>
      </c>
      <c r="E4" s="500" t="str">
        <f>VLOOKUP($A4,'[1]Payer Mix 3 yrs avg'!$B$5:$N$101,11,FALSE)</f>
        <v>2019-2021</v>
      </c>
      <c r="F4" s="500">
        <f>VLOOKUP($A4,'[1]Payer Mix 3 yrs avg'!$B$5:$N$101,12,FALSE)</f>
        <v>0.33982973149967255</v>
      </c>
      <c r="G4" s="500" t="str">
        <f>VLOOKUP($A4,'[2]3 yr avg FY22-23'!$A$4:$L$89,11,FALSE)</f>
        <v>2019-2021</v>
      </c>
      <c r="H4" s="501">
        <f>VLOOKUP($A4,'[2]3 yr avg FY22-23'!$A$4:$L$89,12,FALSE)</f>
        <v>2930.6666666666665</v>
      </c>
      <c r="I4" s="502">
        <f>VLOOKUP($A4,'Solvency Metric'!$G$2:$AJ$85,28,FALSE)</f>
        <v>0.10134300105476103</v>
      </c>
      <c r="J4" s="502">
        <f>VLOOKUP($A4,'Solvency Metric'!$G$2:$AJ$85,29,FALSE)</f>
        <v>0.11887326721033377</v>
      </c>
      <c r="K4" s="502">
        <f>VLOOKUP($A4,'Solvency Metric'!$G$2:$AJ$85,30,FALSE)</f>
        <v>0.11887326721033377</v>
      </c>
      <c r="L4" s="502"/>
      <c r="M4" s="503" t="s">
        <v>216</v>
      </c>
      <c r="P4" s="125"/>
      <c r="Q4" s="125"/>
      <c r="R4" s="125"/>
      <c r="S4" s="125"/>
      <c r="T4" s="125"/>
      <c r="U4" s="125"/>
      <c r="V4" s="125"/>
      <c r="W4" s="125"/>
    </row>
    <row r="5" spans="1:26" ht="15" customHeight="1" x14ac:dyDescent="0.35">
      <c r="A5" s="404">
        <v>60006</v>
      </c>
      <c r="B5" s="359"/>
      <c r="C5" s="498">
        <v>1</v>
      </c>
      <c r="D5" s="499" t="str">
        <f>VLOOKUP(A5,'Solvency Metric'!$G$2:$H$85,2,FALSE)</f>
        <v/>
      </c>
      <c r="E5" s="500" t="str">
        <f>VLOOKUP($A5,'[1]Payer Mix 3 yrs avg'!$B$5:$N$101,11,FALSE)</f>
        <v>2019-2021</v>
      </c>
      <c r="F5" s="500">
        <f>VLOOKUP($A5,'[1]Payer Mix 3 yrs avg'!$B$5:$N$101,12,FALSE)</f>
        <v>0.18261791202967673</v>
      </c>
      <c r="G5" s="500" t="str">
        <f>VLOOKUP($A5,'[2]3 yr avg FY22-23'!$A$4:$L$89,11,FALSE)</f>
        <v>2019-2021</v>
      </c>
      <c r="H5" s="501">
        <f>VLOOKUP($A5,'[2]3 yr avg FY22-23'!$A$4:$L$89,12,FALSE)</f>
        <v>2642</v>
      </c>
      <c r="I5" s="502">
        <f>VLOOKUP($A5,'Solvency Metric'!$G$2:$AJ$85,28,FALSE)</f>
        <v>0.12112791811174915</v>
      </c>
      <c r="J5" s="502" t="str">
        <f>VLOOKUP($A5,'Solvency Metric'!$G$2:$AJ$85,29,FALSE)</f>
        <v>NA</v>
      </c>
      <c r="K5" s="502">
        <f>VLOOKUP($A5,'Solvency Metric'!$G$2:$AJ$85,30,FALSE)</f>
        <v>0.12112791811174915</v>
      </c>
      <c r="L5" s="502"/>
      <c r="M5" s="503" t="s">
        <v>219</v>
      </c>
      <c r="P5" s="125"/>
      <c r="Q5" s="125"/>
      <c r="R5" s="125"/>
      <c r="S5" s="125"/>
      <c r="T5" s="125"/>
      <c r="U5" s="125"/>
      <c r="V5" s="125"/>
      <c r="W5" s="125"/>
      <c r="X5" s="295"/>
      <c r="Y5" s="295"/>
      <c r="Z5" s="295"/>
    </row>
    <row r="6" spans="1:26" x14ac:dyDescent="0.35">
      <c r="A6" s="403">
        <v>60008</v>
      </c>
      <c r="B6" s="410"/>
      <c r="C6" s="504">
        <v>1</v>
      </c>
      <c r="D6" s="499" t="str">
        <f>VLOOKUP(A6,'Solvency Metric'!$G$2:$H$85,2,FALSE)</f>
        <v>San Luis Valley</v>
      </c>
      <c r="E6" s="500" t="str">
        <f>VLOOKUP($A6,'[1]Payer Mix 3 yrs avg'!$B$5:$N$101,11,FALSE)</f>
        <v>2019-2021</v>
      </c>
      <c r="F6" s="500">
        <f>VLOOKUP($A6,'[1]Payer Mix 3 yrs avg'!$B$5:$N$101,12,FALSE)</f>
        <v>0.28673986486486486</v>
      </c>
      <c r="G6" s="500" t="str">
        <f>VLOOKUP($A6,'[2]3 yr avg FY22-23'!$A$4:$L$89,11,FALSE)</f>
        <v>2019-2021</v>
      </c>
      <c r="H6" s="501">
        <f>VLOOKUP($A6,'[2]3 yr avg FY22-23'!$A$4:$L$89,12,FALSE)</f>
        <v>1966.6666666666667</v>
      </c>
      <c r="I6" s="502">
        <f>VLOOKUP($A6,'Solvency Metric'!$G$2:$AJ$85,28,FALSE)</f>
        <v>5.9351405258824118E-2</v>
      </c>
      <c r="J6" s="502">
        <f>VLOOKUP($A6,'Solvency Metric'!$G$2:$AJ$85,29,FALSE)</f>
        <v>6.7682572413602177E-2</v>
      </c>
      <c r="K6" s="502">
        <f>VLOOKUP($A6,'Solvency Metric'!$G$2:$AJ$85,30,FALSE)</f>
        <v>6.7682572413602177E-2</v>
      </c>
      <c r="L6" s="502"/>
      <c r="M6" s="503" t="s">
        <v>219</v>
      </c>
      <c r="P6" s="125"/>
      <c r="Q6" s="125"/>
      <c r="R6" s="125"/>
      <c r="S6" s="125"/>
      <c r="T6" s="125"/>
      <c r="U6" s="125"/>
      <c r="V6" s="125"/>
      <c r="W6" s="125"/>
      <c r="Z6" s="297"/>
    </row>
    <row r="7" spans="1:26" ht="14.75" customHeight="1" x14ac:dyDescent="0.35">
      <c r="A7" s="404">
        <v>60009</v>
      </c>
      <c r="B7" s="359"/>
      <c r="C7" s="498">
        <v>0</v>
      </c>
      <c r="D7" s="499" t="str">
        <f>VLOOKUP(A7,'Solvency Metric'!$G$2:$H$85,2,FALSE)</f>
        <v>SCL Health</v>
      </c>
      <c r="E7" s="500" t="str">
        <f>VLOOKUP($A7,'[1]Payer Mix 3 yrs avg'!$B$5:$N$101,11,FALSE)</f>
        <v>2019-2021</v>
      </c>
      <c r="F7" s="500">
        <f>VLOOKUP($A7,'[1]Payer Mix 3 yrs avg'!$B$5:$N$101,12,FALSE)</f>
        <v>0.26464796412990788</v>
      </c>
      <c r="G7" s="500" t="str">
        <f>VLOOKUP($A7,'[2]3 yr avg FY22-23'!$A$4:$L$89,11,FALSE)</f>
        <v>2019-2021</v>
      </c>
      <c r="H7" s="501">
        <f>VLOOKUP($A7,'[2]3 yr avg FY22-23'!$A$4:$L$89,12,FALSE)</f>
        <v>14051</v>
      </c>
      <c r="I7" s="502">
        <f>VLOOKUP($A7,'Solvency Metric'!$G$2:$AJ$85,28,FALSE)</f>
        <v>5.1682738930925405E-2</v>
      </c>
      <c r="J7" s="502">
        <f>VLOOKUP($A7,'Solvency Metric'!$G$2:$AJ$85,29,FALSE)</f>
        <v>0.11887326721033377</v>
      </c>
      <c r="K7" s="502">
        <f>VLOOKUP($A7,'Solvency Metric'!$G$2:$AJ$85,30,FALSE)</f>
        <v>0.11887326721033377</v>
      </c>
      <c r="L7" s="502"/>
      <c r="M7" s="503" t="s">
        <v>216</v>
      </c>
      <c r="P7" s="125"/>
      <c r="Q7" s="125"/>
      <c r="R7" s="125"/>
      <c r="S7" s="125"/>
      <c r="T7" s="125"/>
      <c r="U7" s="125"/>
      <c r="V7" s="125"/>
      <c r="W7" s="125"/>
      <c r="Z7" s="296"/>
    </row>
    <row r="8" spans="1:26" ht="14.75" customHeight="1" x14ac:dyDescent="0.35">
      <c r="A8" s="404">
        <v>60010</v>
      </c>
      <c r="B8" s="359"/>
      <c r="C8" s="498">
        <v>0</v>
      </c>
      <c r="D8" s="499" t="str">
        <f>VLOOKUP(A8,'Solvency Metric'!$G$2:$H$85,2,FALSE)</f>
        <v>UCHealth</v>
      </c>
      <c r="E8" s="500" t="str">
        <f>VLOOKUP($A8,'[1]Payer Mix 3 yrs avg'!$B$5:$N$101,11,FALSE)</f>
        <v>2020-2022</v>
      </c>
      <c r="F8" s="500">
        <f>VLOOKUP($A8,'[1]Payer Mix 3 yrs avg'!$B$5:$N$101,12,FALSE)</f>
        <v>0.24350139164193207</v>
      </c>
      <c r="G8" s="500" t="str">
        <f>VLOOKUP($A8,'[2]3 yr avg FY22-23'!$A$4:$L$89,11,FALSE)</f>
        <v>2020-2022</v>
      </c>
      <c r="H8" s="501">
        <f>VLOOKUP($A8,'[2]3 yr avg FY22-23'!$A$4:$L$89,12,FALSE)</f>
        <v>12687.333333333334</v>
      </c>
      <c r="I8" s="502">
        <f>VLOOKUP($A8,'Solvency Metric'!$G$2:$AJ$85,28,FALSE)</f>
        <v>0.2052814914536758</v>
      </c>
      <c r="J8" s="502">
        <f>VLOOKUP($A8,'Solvency Metric'!$G$2:$AJ$85,29,FALSE)</f>
        <v>0.13728158862602113</v>
      </c>
      <c r="K8" s="502">
        <f>VLOOKUP($A8,'Solvency Metric'!$G$2:$AJ$85,30,FALSE)</f>
        <v>0.2052814914536758</v>
      </c>
      <c r="L8" s="502"/>
      <c r="M8" s="503" t="s">
        <v>216</v>
      </c>
      <c r="P8" s="125"/>
      <c r="Q8" s="125"/>
      <c r="R8" s="125"/>
      <c r="S8" s="125"/>
      <c r="T8" s="125"/>
      <c r="U8" s="125"/>
      <c r="V8" s="125"/>
      <c r="W8" s="125"/>
    </row>
    <row r="9" spans="1:26" ht="14.75" customHeight="1" x14ac:dyDescent="0.35">
      <c r="A9" s="404">
        <v>60011</v>
      </c>
      <c r="B9" s="359"/>
      <c r="C9" s="498">
        <v>0</v>
      </c>
      <c r="D9" s="499" t="str">
        <f>VLOOKUP(A9,'Solvency Metric'!$G$2:$H$85,2,FALSE)</f>
        <v/>
      </c>
      <c r="E9" s="500" t="str">
        <f>VLOOKUP($A9,'[1]Payer Mix 3 yrs avg'!$B$5:$N$101,11,FALSE)</f>
        <v>2019-2021</v>
      </c>
      <c r="F9" s="500">
        <f>VLOOKUP($A9,'[1]Payer Mix 3 yrs avg'!$B$5:$N$101,12,FALSE)</f>
        <v>0.55279589249703898</v>
      </c>
      <c r="G9" s="500" t="str">
        <f>VLOOKUP($A9,'[2]3 yr avg FY22-23'!$A$4:$L$89,11,FALSE)</f>
        <v>2019-2021</v>
      </c>
      <c r="H9" s="501">
        <f>VLOOKUP($A9,'[2]3 yr avg FY22-23'!$A$4:$L$89,12,FALSE)</f>
        <v>19387.333333333332</v>
      </c>
      <c r="I9" s="502">
        <f>VLOOKUP($A9,'Solvency Metric'!$G$2:$AJ$85,28,FALSE)</f>
        <v>4.6035977325487691E-2</v>
      </c>
      <c r="J9" s="502" t="str">
        <f>VLOOKUP($A9,'Solvency Metric'!$G$2:$AJ$85,29,FALSE)</f>
        <v>NA</v>
      </c>
      <c r="K9" s="502">
        <f>VLOOKUP($A9,'Solvency Metric'!$G$2:$AJ$85,30,FALSE)</f>
        <v>4.6035977325487691E-2</v>
      </c>
      <c r="L9" s="502"/>
      <c r="M9" s="503" t="s">
        <v>216</v>
      </c>
      <c r="P9" s="125"/>
      <c r="Q9" s="125"/>
      <c r="R9" s="125"/>
      <c r="S9" s="125"/>
      <c r="T9" s="125"/>
      <c r="U9" s="125"/>
      <c r="V9" s="125"/>
      <c r="W9" s="125"/>
    </row>
    <row r="10" spans="1:26" ht="14.75" customHeight="1" x14ac:dyDescent="0.35">
      <c r="A10" s="404">
        <v>60012</v>
      </c>
      <c r="B10" s="359"/>
      <c r="C10" s="498">
        <v>0</v>
      </c>
      <c r="D10" s="499" t="str">
        <f>VLOOKUP(A10,'Solvency Metric'!$G$2:$H$85,2,FALSE)</f>
        <v>Centura Health CHI</v>
      </c>
      <c r="E10" s="500" t="str">
        <f>VLOOKUP($A10,'[1]Payer Mix 3 yrs avg'!$B$5:$N$101,11,FALSE)</f>
        <v>2020-2022</v>
      </c>
      <c r="F10" s="500">
        <f>VLOOKUP($A10,'[1]Payer Mix 3 yrs avg'!$B$5:$N$101,12,FALSE)</f>
        <v>0.27090857444304672</v>
      </c>
      <c r="G10" s="500" t="str">
        <f>VLOOKUP($A10,'[2]3 yr avg FY22-23'!$A$4:$L$89,11,FALSE)</f>
        <v>2020-2022</v>
      </c>
      <c r="H10" s="501">
        <f>VLOOKUP($A10,'[2]3 yr avg FY22-23'!$A$4:$L$89,12,FALSE)</f>
        <v>1692.3333333333333</v>
      </c>
      <c r="I10" s="502">
        <f>VLOOKUP($A10,'Solvency Metric'!$G$2:$AJ$85,28,FALSE)</f>
        <v>2.4963576023792646E-2</v>
      </c>
      <c r="J10" s="502">
        <f>VLOOKUP($A10,'Solvency Metric'!$G$2:$AJ$85,29,FALSE)</f>
        <v>0.18263437911393374</v>
      </c>
      <c r="K10" s="502">
        <f>VLOOKUP($A10,'Solvency Metric'!$G$2:$AJ$85,30,FALSE)</f>
        <v>0.18263437911393374</v>
      </c>
      <c r="L10" s="502"/>
      <c r="M10" s="503" t="s">
        <v>216</v>
      </c>
      <c r="P10" s="125"/>
      <c r="Q10" s="125"/>
      <c r="R10" s="125"/>
      <c r="S10" s="125"/>
      <c r="T10" s="125"/>
      <c r="U10" s="125"/>
      <c r="V10" s="125"/>
      <c r="W10" s="125"/>
    </row>
    <row r="11" spans="1:26" ht="15" customHeight="1" x14ac:dyDescent="0.35">
      <c r="A11" s="404">
        <v>60013</v>
      </c>
      <c r="B11" s="359"/>
      <c r="C11" s="498">
        <v>1</v>
      </c>
      <c r="D11" s="499" t="str">
        <f>VLOOKUP(A11,'Solvency Metric'!$G$2:$H$85,2,FALSE)</f>
        <v>Centura Health CHI</v>
      </c>
      <c r="E11" s="500" t="str">
        <f>VLOOKUP($A11,'[1]Payer Mix 3 yrs avg'!$B$5:$N$101,11,FALSE)</f>
        <v>2020-2022</v>
      </c>
      <c r="F11" s="500">
        <f>VLOOKUP($A11,'[1]Payer Mix 3 yrs avg'!$B$5:$N$101,12,FALSE)</f>
        <v>0.28599827463335958</v>
      </c>
      <c r="G11" s="500" t="str">
        <f>VLOOKUP($A11,'[2]3 yr avg FY22-23'!$A$4:$L$89,11,FALSE)</f>
        <v>2020-2022</v>
      </c>
      <c r="H11" s="501">
        <f>VLOOKUP($A11,'[2]3 yr avg FY22-23'!$A$4:$L$89,12,FALSE)</f>
        <v>4279</v>
      </c>
      <c r="I11" s="502">
        <f>VLOOKUP($A11,'Solvency Metric'!$G$2:$AJ$85,28,FALSE)</f>
        <v>0.20991021457396816</v>
      </c>
      <c r="J11" s="502">
        <f>VLOOKUP($A11,'Solvency Metric'!$G$2:$AJ$85,29,FALSE)</f>
        <v>0.18263437911393374</v>
      </c>
      <c r="K11" s="502">
        <f>VLOOKUP($A11,'Solvency Metric'!$G$2:$AJ$85,30,FALSE)</f>
        <v>0.20991021457396816</v>
      </c>
      <c r="L11" s="502"/>
      <c r="M11" s="503" t="s">
        <v>219</v>
      </c>
      <c r="P11" s="125"/>
      <c r="Q11" s="125"/>
      <c r="R11" s="125"/>
      <c r="S11" s="125"/>
      <c r="T11" s="125"/>
      <c r="U11" s="125"/>
      <c r="V11" s="125"/>
      <c r="W11" s="125"/>
    </row>
    <row r="12" spans="1:26" x14ac:dyDescent="0.35">
      <c r="A12" s="404">
        <v>60014</v>
      </c>
      <c r="B12" s="359"/>
      <c r="C12" s="498">
        <v>0</v>
      </c>
      <c r="D12" s="499" t="str">
        <f>VLOOKUP(A12,'Solvency Metric'!$G$2:$H$85,2,FALSE)</f>
        <v>HealthONE</v>
      </c>
      <c r="E12" s="500" t="str">
        <f>VLOOKUP($A12,'[1]Payer Mix 3 yrs avg'!$B$5:$N$101,11,FALSE)</f>
        <v>2019-2021</v>
      </c>
      <c r="F12" s="500">
        <f>VLOOKUP($A12,'[1]Payer Mix 3 yrs avg'!$B$5:$N$101,12,FALSE)</f>
        <v>0.43791782929244166</v>
      </c>
      <c r="G12" s="500" t="str">
        <f>VLOOKUP($A12,'[2]3 yr avg FY22-23'!$A$4:$L$89,11,FALSE)</f>
        <v>2019-2021</v>
      </c>
      <c r="H12" s="501">
        <f>VLOOKUP($A12,'[2]3 yr avg FY22-23'!$A$4:$L$89,12,FALSE)</f>
        <v>10033.666666666666</v>
      </c>
      <c r="I12" s="502">
        <f>VLOOKUP($A12,'Solvency Metric'!$G$2:$AJ$85,28,FALSE)</f>
        <v>0.29852419668336355</v>
      </c>
      <c r="J12" s="502">
        <f>VLOOKUP($A12,'Solvency Metric'!$G$2:$AJ$85,29,FALSE)</f>
        <v>0.26543659879096182</v>
      </c>
      <c r="K12" s="502">
        <f>VLOOKUP($A12,'Solvency Metric'!$G$2:$AJ$85,30,FALSE)</f>
        <v>0.29852419668336355</v>
      </c>
      <c r="L12" s="502"/>
      <c r="M12" s="503" t="s">
        <v>216</v>
      </c>
      <c r="P12" s="125"/>
      <c r="Q12" s="125"/>
      <c r="R12" s="125"/>
      <c r="S12" s="125"/>
      <c r="T12" s="125"/>
      <c r="U12" s="125"/>
      <c r="V12" s="125"/>
      <c r="W12" s="125"/>
    </row>
    <row r="13" spans="1:26" x14ac:dyDescent="0.35">
      <c r="A13" s="404">
        <v>60015</v>
      </c>
      <c r="B13" s="359"/>
      <c r="C13" s="498">
        <v>0</v>
      </c>
      <c r="D13" s="499" t="str">
        <f>VLOOKUP(A13,'Solvency Metric'!$G$2:$H$85,2,FALSE)</f>
        <v>Centura Health CHI</v>
      </c>
      <c r="E13" s="500" t="str">
        <f>VLOOKUP($A13,'[1]Payer Mix 3 yrs avg'!$B$5:$N$101,11,FALSE)</f>
        <v>2020-2022</v>
      </c>
      <c r="F13" s="500">
        <f>VLOOKUP($A13,'[1]Payer Mix 3 yrs avg'!$B$5:$N$101,12,FALSE)</f>
        <v>0.2240113869630892</v>
      </c>
      <c r="G13" s="500" t="str">
        <f>VLOOKUP($A13,'[2]3 yr avg FY22-23'!$A$4:$L$89,11,FALSE)</f>
        <v>2020-2022</v>
      </c>
      <c r="H13" s="501">
        <f>VLOOKUP($A13,'[2]3 yr avg FY22-23'!$A$4:$L$89,12,FALSE)</f>
        <v>12317.333333333334</v>
      </c>
      <c r="I13" s="502">
        <f>VLOOKUP($A13,'Solvency Metric'!$G$2:$AJ$85,28,FALSE)</f>
        <v>0.15909000041913915</v>
      </c>
      <c r="J13" s="502">
        <f>VLOOKUP($A13,'Solvency Metric'!$G$2:$AJ$85,29,FALSE)</f>
        <v>0.18263437911393374</v>
      </c>
      <c r="K13" s="502">
        <f>VLOOKUP($A13,'Solvency Metric'!$G$2:$AJ$85,30,FALSE)</f>
        <v>0.18263437911393374</v>
      </c>
      <c r="L13" s="502"/>
      <c r="M13" s="503" t="s">
        <v>216</v>
      </c>
      <c r="P13" s="125"/>
      <c r="Q13" s="125"/>
      <c r="R13" s="125"/>
      <c r="S13" s="125"/>
      <c r="T13" s="125"/>
      <c r="U13" s="125"/>
      <c r="V13" s="125"/>
      <c r="W13" s="125"/>
    </row>
    <row r="14" spans="1:26" x14ac:dyDescent="0.35">
      <c r="A14" s="404">
        <v>60020</v>
      </c>
      <c r="B14" s="359"/>
      <c r="C14" s="498">
        <v>0</v>
      </c>
      <c r="D14" s="499" t="str">
        <f>VLOOKUP(A14,'Solvency Metric'!$G$2:$H$85,2,FALSE)</f>
        <v/>
      </c>
      <c r="E14" s="500" t="str">
        <f>VLOOKUP($A14,'[1]Payer Mix 3 yrs avg'!$B$5:$N$101,11,FALSE)</f>
        <v>2020-2022</v>
      </c>
      <c r="F14" s="500">
        <f>VLOOKUP($A14,'[1]Payer Mix 3 yrs avg'!$B$5:$N$101,12,FALSE)</f>
        <v>0.29624559546063622</v>
      </c>
      <c r="G14" s="500" t="str">
        <f>VLOOKUP($A14,'[2]3 yr avg FY22-23'!$A$4:$L$89,11,FALSE)</f>
        <v>2020-2022</v>
      </c>
      <c r="H14" s="501">
        <f>VLOOKUP($A14,'[2]3 yr avg FY22-23'!$A$4:$L$89,12,FALSE)</f>
        <v>17263</v>
      </c>
      <c r="I14" s="502">
        <f>VLOOKUP($A14,'Solvency Metric'!$G$2:$AJ$85,28,FALSE)</f>
        <v>6.1439619743623886E-2</v>
      </c>
      <c r="J14" s="502" t="str">
        <f>VLOOKUP($A14,'Solvency Metric'!$G$2:$AJ$85,29,FALSE)</f>
        <v>NA</v>
      </c>
      <c r="K14" s="502">
        <f>VLOOKUP($A14,'Solvency Metric'!$G$2:$AJ$85,30,FALSE)</f>
        <v>6.1439619743623886E-2</v>
      </c>
      <c r="L14" s="502"/>
      <c r="M14" s="503" t="s">
        <v>216</v>
      </c>
      <c r="P14" s="125"/>
      <c r="Q14" s="125"/>
      <c r="R14" s="125"/>
      <c r="S14" s="125"/>
      <c r="T14" s="125"/>
      <c r="U14" s="125"/>
      <c r="V14" s="125"/>
      <c r="W14" s="125"/>
    </row>
    <row r="15" spans="1:26" x14ac:dyDescent="0.35">
      <c r="A15" s="404">
        <v>60022</v>
      </c>
      <c r="B15" s="359"/>
      <c r="C15" s="498">
        <v>0</v>
      </c>
      <c r="D15" s="499" t="str">
        <f>VLOOKUP(A15,'Solvency Metric'!$G$2:$H$85,2,FALSE)</f>
        <v>UCHealth</v>
      </c>
      <c r="E15" s="500" t="str">
        <f>VLOOKUP($A15,'[1]Payer Mix 3 yrs avg'!$B$5:$N$101,11,FALSE)</f>
        <v>2020-2022</v>
      </c>
      <c r="F15" s="500">
        <f>VLOOKUP($A15,'[1]Payer Mix 3 yrs avg'!$B$5:$N$101,12,FALSE)</f>
        <v>0.30530193858516658</v>
      </c>
      <c r="G15" s="500" t="str">
        <f>VLOOKUP($A15,'[2]3 yr avg FY22-23'!$A$4:$L$89,11,FALSE)</f>
        <v>2020-2022</v>
      </c>
      <c r="H15" s="501">
        <f>VLOOKUP($A15,'[2]3 yr avg FY22-23'!$A$4:$L$89,12,FALSE)</f>
        <v>24790</v>
      </c>
      <c r="I15" s="502">
        <f>VLOOKUP($A15,'Solvency Metric'!$G$2:$AJ$85,28,FALSE)</f>
        <v>0.11382059826289707</v>
      </c>
      <c r="J15" s="502">
        <f>VLOOKUP($A15,'Solvency Metric'!$G$2:$AJ$85,29,FALSE)</f>
        <v>0.13728158862602113</v>
      </c>
      <c r="K15" s="502">
        <f>VLOOKUP($A15,'Solvency Metric'!$G$2:$AJ$85,30,FALSE)</f>
        <v>0.13728158862602113</v>
      </c>
      <c r="L15" s="502"/>
      <c r="M15" s="503" t="s">
        <v>216</v>
      </c>
      <c r="P15" s="125"/>
      <c r="Q15" s="125"/>
      <c r="R15" s="125"/>
      <c r="S15" s="125"/>
      <c r="T15" s="125"/>
      <c r="U15" s="125"/>
      <c r="V15" s="125"/>
      <c r="W15" s="125"/>
    </row>
    <row r="16" spans="1:26" x14ac:dyDescent="0.35">
      <c r="A16" s="404">
        <v>60023</v>
      </c>
      <c r="B16" s="359"/>
      <c r="C16" s="498">
        <v>0</v>
      </c>
      <c r="D16" s="499" t="str">
        <f>VLOOKUP(A16,'Solvency Metric'!$G$2:$H$85,2,FALSE)</f>
        <v>SCL Health</v>
      </c>
      <c r="E16" s="500" t="str">
        <f>VLOOKUP($A16,'[1]Payer Mix 3 yrs avg'!$B$5:$N$101,11,FALSE)</f>
        <v>2019-2021</v>
      </c>
      <c r="F16" s="500">
        <f>VLOOKUP($A16,'[1]Payer Mix 3 yrs avg'!$B$5:$N$101,12,FALSE)</f>
        <v>0.28972110415614494</v>
      </c>
      <c r="G16" s="500" t="str">
        <f>VLOOKUP($A16,'[2]3 yr avg FY22-23'!$A$4:$L$89,11,FALSE)</f>
        <v>2019-2021</v>
      </c>
      <c r="H16" s="501">
        <f>VLOOKUP($A16,'[2]3 yr avg FY22-23'!$A$4:$L$89,12,FALSE)</f>
        <v>13342</v>
      </c>
      <c r="I16" s="502">
        <f>VLOOKUP($A16,'Solvency Metric'!$G$2:$AJ$85,28,FALSE)</f>
        <v>0.12721068284286433</v>
      </c>
      <c r="J16" s="502">
        <f>VLOOKUP($A16,'Solvency Metric'!$G$2:$AJ$85,29,FALSE)</f>
        <v>0.11887326721033377</v>
      </c>
      <c r="K16" s="502">
        <f>VLOOKUP($A16,'Solvency Metric'!$G$2:$AJ$85,30,FALSE)</f>
        <v>0.12721068284286433</v>
      </c>
      <c r="L16" s="502"/>
      <c r="M16" s="503" t="s">
        <v>219</v>
      </c>
      <c r="P16" s="125"/>
      <c r="Q16" s="125"/>
      <c r="R16" s="125"/>
      <c r="S16" s="125"/>
      <c r="T16" s="125"/>
      <c r="U16" s="125"/>
      <c r="V16" s="125"/>
      <c r="W16" s="125"/>
    </row>
    <row r="17" spans="1:23" x14ac:dyDescent="0.35">
      <c r="A17" s="404">
        <v>60024</v>
      </c>
      <c r="B17" s="359"/>
      <c r="C17" s="498">
        <v>0</v>
      </c>
      <c r="D17" s="499" t="str">
        <f>VLOOKUP(A17,'Solvency Metric'!$G$2:$H$85,2,FALSE)</f>
        <v>UCHealth</v>
      </c>
      <c r="E17" s="500" t="str">
        <f>VLOOKUP($A17,'[1]Payer Mix 3 yrs avg'!$B$5:$N$101,11,FALSE)</f>
        <v>2020-2022</v>
      </c>
      <c r="F17" s="500">
        <f>VLOOKUP($A17,'[1]Payer Mix 3 yrs avg'!$B$5:$N$101,12,FALSE)</f>
        <v>0.33766467600416994</v>
      </c>
      <c r="G17" s="500" t="str">
        <f>VLOOKUP($A17,'[2]3 yr avg FY22-23'!$A$4:$L$89,11,FALSE)</f>
        <v>2020-2022</v>
      </c>
      <c r="H17" s="501">
        <f>VLOOKUP($A17,'[2]3 yr avg FY22-23'!$A$4:$L$89,12,FALSE)</f>
        <v>31469.333333333332</v>
      </c>
      <c r="I17" s="502">
        <f>VLOOKUP($A17,'Solvency Metric'!$G$2:$AJ$85,28,FALSE)</f>
        <v>0.15798706935943116</v>
      </c>
      <c r="J17" s="502">
        <f>VLOOKUP($A17,'Solvency Metric'!$G$2:$AJ$85,29,FALSE)</f>
        <v>0.13728158862602113</v>
      </c>
      <c r="K17" s="502">
        <f>VLOOKUP($A17,'Solvency Metric'!$G$2:$AJ$85,30,FALSE)</f>
        <v>0.15798706935943116</v>
      </c>
      <c r="L17" s="502"/>
      <c r="M17" s="503" t="s">
        <v>216</v>
      </c>
      <c r="P17" s="125"/>
      <c r="Q17" s="125"/>
      <c r="R17" s="125"/>
      <c r="S17" s="125"/>
      <c r="T17" s="125"/>
      <c r="U17" s="125"/>
      <c r="V17" s="125"/>
      <c r="W17" s="125"/>
    </row>
    <row r="18" spans="1:23" x14ac:dyDescent="0.35">
      <c r="A18" s="404">
        <v>60027</v>
      </c>
      <c r="B18" s="359"/>
      <c r="C18" s="498">
        <v>0</v>
      </c>
      <c r="D18" s="499" t="str">
        <f>VLOOKUP(A18,'Solvency Metric'!$G$2:$H$85,2,FALSE)</f>
        <v/>
      </c>
      <c r="E18" s="500" t="str">
        <f>VLOOKUP($A18,'[1]Payer Mix 3 yrs avg'!$B$5:$N$101,11,FALSE)</f>
        <v>2019-2021</v>
      </c>
      <c r="F18" s="500">
        <f>VLOOKUP($A18,'[1]Payer Mix 3 yrs avg'!$B$5:$N$101,12,FALSE)</f>
        <v>0.18385540891503685</v>
      </c>
      <c r="G18" s="500" t="str">
        <f>VLOOKUP($A18,'[2]3 yr avg FY22-23'!$A$4:$L$89,11,FALSE)</f>
        <v>2019-2021</v>
      </c>
      <c r="H18" s="501">
        <f>VLOOKUP($A18,'[2]3 yr avg FY22-23'!$A$4:$L$89,12,FALSE)</f>
        <v>8417.6666666666661</v>
      </c>
      <c r="I18" s="502">
        <f>VLOOKUP($A18,'Solvency Metric'!$G$2:$AJ$85,28,FALSE)</f>
        <v>5.3285506597883038E-2</v>
      </c>
      <c r="J18" s="502" t="str">
        <f>VLOOKUP($A18,'Solvency Metric'!$G$2:$AJ$85,29,FALSE)</f>
        <v>NA</v>
      </c>
      <c r="K18" s="502">
        <f>VLOOKUP($A18,'Solvency Metric'!$G$2:$AJ$85,30,FALSE)</f>
        <v>5.3285506597883038E-2</v>
      </c>
      <c r="L18" s="502"/>
      <c r="M18" s="503" t="s">
        <v>216</v>
      </c>
      <c r="P18" s="125"/>
      <c r="Q18" s="125"/>
      <c r="R18" s="125"/>
      <c r="S18" s="125"/>
      <c r="T18" s="125"/>
      <c r="U18" s="125"/>
      <c r="V18" s="125"/>
      <c r="W18" s="125"/>
    </row>
    <row r="19" spans="1:23" x14ac:dyDescent="0.35">
      <c r="A19" s="404">
        <v>60028</v>
      </c>
      <c r="B19" s="359"/>
      <c r="C19" s="498">
        <v>0</v>
      </c>
      <c r="D19" s="499" t="str">
        <f>VLOOKUP(A19,'Solvency Metric'!$G$2:$H$85,2,FALSE)</f>
        <v>SCL Health</v>
      </c>
      <c r="E19" s="500" t="str">
        <f>VLOOKUP($A19,'[1]Payer Mix 3 yrs avg'!$B$5:$N$101,11,FALSE)</f>
        <v>2019-2021</v>
      </c>
      <c r="F19" s="500">
        <f>VLOOKUP($A19,'[1]Payer Mix 3 yrs avg'!$B$5:$N$101,12,FALSE)</f>
        <v>0.27914051810461465</v>
      </c>
      <c r="G19" s="500" t="str">
        <f>VLOOKUP($A19,'[2]3 yr avg FY22-23'!$A$4:$L$89,11,FALSE)</f>
        <v>2019-2021</v>
      </c>
      <c r="H19" s="501">
        <f>VLOOKUP($A19,'[2]3 yr avg FY22-23'!$A$4:$L$89,12,FALSE)</f>
        <v>17136.333333333332</v>
      </c>
      <c r="I19" s="502">
        <f>VLOOKUP($A19,'Solvency Metric'!$G$2:$AJ$85,28,FALSE)</f>
        <v>0.14110427889277177</v>
      </c>
      <c r="J19" s="502">
        <f>VLOOKUP($A19,'Solvency Metric'!$G$2:$AJ$85,29,FALSE)</f>
        <v>0.11887326721033377</v>
      </c>
      <c r="K19" s="502">
        <f>VLOOKUP($A19,'Solvency Metric'!$G$2:$AJ$85,30,FALSE)</f>
        <v>0.14110427889277177</v>
      </c>
      <c r="L19" s="502"/>
      <c r="M19" s="503" t="s">
        <v>216</v>
      </c>
      <c r="P19" s="125"/>
      <c r="Q19" s="125"/>
      <c r="R19" s="125"/>
      <c r="S19" s="125"/>
      <c r="T19" s="125"/>
      <c r="U19" s="125"/>
      <c r="V19" s="125"/>
      <c r="W19" s="125"/>
    </row>
    <row r="20" spans="1:23" x14ac:dyDescent="0.35">
      <c r="A20" s="404">
        <v>60030</v>
      </c>
      <c r="B20" s="359"/>
      <c r="C20" s="498">
        <v>0</v>
      </c>
      <c r="D20" s="499" t="str">
        <f>VLOOKUP(A20,'Solvency Metric'!$G$2:$H$85,2,FALSE)</f>
        <v>Banner Health</v>
      </c>
      <c r="E20" s="500" t="str">
        <f>VLOOKUP($A20,'[1]Payer Mix 3 yrs avg'!$B$5:$N$101,11,FALSE)</f>
        <v>2019-2021</v>
      </c>
      <c r="F20" s="500">
        <f>VLOOKUP($A20,'[1]Payer Mix 3 yrs avg'!$B$5:$N$101,12,FALSE)</f>
        <v>0.22698985536074565</v>
      </c>
      <c r="G20" s="500" t="str">
        <f>VLOOKUP($A20,'[2]3 yr avg FY22-23'!$A$4:$L$89,11,FALSE)</f>
        <v>2019-2021</v>
      </c>
      <c r="H20" s="501">
        <f>VLOOKUP($A20,'[2]3 yr avg FY22-23'!$A$4:$L$89,12,FALSE)</f>
        <v>2737.3333333333335</v>
      </c>
      <c r="I20" s="502">
        <f>VLOOKUP($A20,'Solvency Metric'!$G$2:$AJ$85,28,FALSE)</f>
        <v>0.1363100688617275</v>
      </c>
      <c r="J20" s="502">
        <f>VLOOKUP($A20,'Solvency Metric'!$G$2:$AJ$85,29,FALSE)</f>
        <v>0.11078338818904038</v>
      </c>
      <c r="K20" s="502">
        <f>VLOOKUP($A20,'Solvency Metric'!$G$2:$AJ$85,30,FALSE)</f>
        <v>0.1363100688617275</v>
      </c>
      <c r="L20" s="502"/>
      <c r="M20" s="503" t="s">
        <v>216</v>
      </c>
      <c r="P20" s="125"/>
      <c r="Q20" s="125"/>
      <c r="R20" s="125"/>
      <c r="S20" s="125"/>
      <c r="T20" s="125"/>
      <c r="U20" s="125"/>
      <c r="V20" s="125"/>
      <c r="W20" s="125"/>
    </row>
    <row r="21" spans="1:23" x14ac:dyDescent="0.35">
      <c r="A21" s="404">
        <v>60031</v>
      </c>
      <c r="B21" s="359"/>
      <c r="C21" s="498">
        <v>0</v>
      </c>
      <c r="D21" s="499" t="str">
        <f>VLOOKUP(A21,'Solvency Metric'!$G$2:$H$85,2,FALSE)</f>
        <v>Centura Health CHI</v>
      </c>
      <c r="E21" s="500" t="str">
        <f>VLOOKUP($A21,'[1]Payer Mix 3 yrs avg'!$B$5:$N$101,11,FALSE)</f>
        <v>2020-2022</v>
      </c>
      <c r="F21" s="500">
        <f>VLOOKUP($A21,'[1]Payer Mix 3 yrs avg'!$B$5:$N$101,12,FALSE)</f>
        <v>0.26009228646730809</v>
      </c>
      <c r="G21" s="500" t="str">
        <f>VLOOKUP($A21,'[2]3 yr avg FY22-23'!$A$4:$L$89,11,FALSE)</f>
        <v>2020-2022</v>
      </c>
      <c r="H21" s="501">
        <f>VLOOKUP($A21,'[2]3 yr avg FY22-23'!$A$4:$L$89,12,FALSE)</f>
        <v>24492</v>
      </c>
      <c r="I21" s="502">
        <f>VLOOKUP($A21,'Solvency Metric'!$G$2:$AJ$85,28,FALSE)</f>
        <v>0.160068187593745</v>
      </c>
      <c r="J21" s="502">
        <f>VLOOKUP($A21,'Solvency Metric'!$G$2:$AJ$85,29,FALSE)</f>
        <v>0.18263437911393374</v>
      </c>
      <c r="K21" s="502">
        <f>VLOOKUP($A21,'Solvency Metric'!$G$2:$AJ$85,30,FALSE)</f>
        <v>0.18263437911393374</v>
      </c>
      <c r="L21" s="502"/>
      <c r="M21" s="503" t="s">
        <v>216</v>
      </c>
      <c r="P21" s="125"/>
      <c r="Q21" s="125"/>
      <c r="R21" s="125"/>
      <c r="S21" s="125"/>
      <c r="T21" s="125"/>
      <c r="U21" s="125"/>
      <c r="V21" s="125"/>
      <c r="W21" s="125"/>
    </row>
    <row r="22" spans="1:23" x14ac:dyDescent="0.35">
      <c r="A22" s="404">
        <v>60032</v>
      </c>
      <c r="B22" s="359"/>
      <c r="C22" s="498">
        <v>0</v>
      </c>
      <c r="D22" s="499" t="str">
        <f>VLOOKUP(A22,'Solvency Metric'!$G$2:$H$85,2,FALSE)</f>
        <v>HealthONE</v>
      </c>
      <c r="E22" s="500" t="str">
        <f>VLOOKUP($A22,'[1]Payer Mix 3 yrs avg'!$B$5:$N$101,11,FALSE)</f>
        <v>2019-2021</v>
      </c>
      <c r="F22" s="500">
        <f>VLOOKUP($A22,'[1]Payer Mix 3 yrs avg'!$B$5:$N$101,12,FALSE)</f>
        <v>0.2482994117249307</v>
      </c>
      <c r="G22" s="500" t="str">
        <f>VLOOKUP($A22,'[2]3 yr avg FY22-23'!$A$4:$L$89,11,FALSE)</f>
        <v>2019-2021</v>
      </c>
      <c r="H22" s="501">
        <f>VLOOKUP($A22,'[2]3 yr avg FY22-23'!$A$4:$L$89,12,FALSE)</f>
        <v>10815</v>
      </c>
      <c r="I22" s="502">
        <f>VLOOKUP($A22,'Solvency Metric'!$G$2:$AJ$85,28,FALSE)</f>
        <v>0.25465836210693044</v>
      </c>
      <c r="J22" s="502">
        <f>VLOOKUP($A22,'Solvency Metric'!$G$2:$AJ$85,29,FALSE)</f>
        <v>0.26543659879096182</v>
      </c>
      <c r="K22" s="502">
        <f>VLOOKUP($A22,'Solvency Metric'!$G$2:$AJ$85,30,FALSE)</f>
        <v>0.26543659879096182</v>
      </c>
      <c r="L22" s="502"/>
      <c r="M22" s="503" t="s">
        <v>216</v>
      </c>
      <c r="P22" s="125"/>
      <c r="Q22" s="125"/>
      <c r="R22" s="125"/>
      <c r="S22" s="125"/>
      <c r="T22" s="125"/>
      <c r="U22" s="125"/>
      <c r="V22" s="125"/>
      <c r="W22" s="125"/>
    </row>
    <row r="23" spans="1:23" x14ac:dyDescent="0.35">
      <c r="A23" s="404">
        <v>60034</v>
      </c>
      <c r="B23" s="359"/>
      <c r="C23" s="498">
        <v>0</v>
      </c>
      <c r="D23" s="499" t="str">
        <f>VLOOKUP(A23,'Solvency Metric'!$G$2:$H$85,2,FALSE)</f>
        <v>HealthONE</v>
      </c>
      <c r="E23" s="500" t="str">
        <f>VLOOKUP($A23,'[1]Payer Mix 3 yrs avg'!$B$5:$N$101,11,FALSE)</f>
        <v>2019-2021</v>
      </c>
      <c r="F23" s="500">
        <f>VLOOKUP($A23,'[1]Payer Mix 3 yrs avg'!$B$5:$N$101,12,FALSE)</f>
        <v>0.24324208345210838</v>
      </c>
      <c r="G23" s="500" t="str">
        <f>VLOOKUP($A23,'[2]3 yr avg FY22-23'!$A$4:$L$89,11,FALSE)</f>
        <v>2019-2021</v>
      </c>
      <c r="H23" s="501">
        <f>VLOOKUP($A23,'[2]3 yr avg FY22-23'!$A$4:$L$89,12,FALSE)</f>
        <v>20412</v>
      </c>
      <c r="I23" s="502">
        <f>VLOOKUP($A23,'Solvency Metric'!$G$2:$AJ$85,28,FALSE)</f>
        <v>0.2880297088800266</v>
      </c>
      <c r="J23" s="502">
        <f>VLOOKUP($A23,'Solvency Metric'!$G$2:$AJ$85,29,FALSE)</f>
        <v>0.26543659879096182</v>
      </c>
      <c r="K23" s="502">
        <f>VLOOKUP($A23,'Solvency Metric'!$G$2:$AJ$85,30,FALSE)</f>
        <v>0.2880297088800266</v>
      </c>
      <c r="L23" s="502"/>
      <c r="M23" s="503" t="s">
        <v>216</v>
      </c>
      <c r="P23" s="125"/>
      <c r="Q23" s="125"/>
      <c r="R23" s="125"/>
      <c r="S23" s="125"/>
      <c r="T23" s="125"/>
      <c r="U23" s="125"/>
      <c r="V23" s="125"/>
      <c r="W23" s="125"/>
    </row>
    <row r="24" spans="1:23" x14ac:dyDescent="0.35">
      <c r="A24" s="404">
        <v>60044</v>
      </c>
      <c r="B24" s="359"/>
      <c r="C24" s="498">
        <v>1</v>
      </c>
      <c r="D24" s="499" t="str">
        <f>VLOOKUP(A24,'Solvency Metric'!$G$2:$H$85,2,FALSE)</f>
        <v>Lifepoints</v>
      </c>
      <c r="E24" s="500" t="str">
        <f>VLOOKUP($A24,'[1]Payer Mix 3 yrs avg'!$B$5:$N$101,11,FALSE)</f>
        <v>2019-2021</v>
      </c>
      <c r="F24" s="500">
        <f>VLOOKUP($A24,'[1]Payer Mix 3 yrs avg'!$B$5:$N$101,12,FALSE)</f>
        <v>0.18336194212849435</v>
      </c>
      <c r="G24" s="500" t="str">
        <f>VLOOKUP($A24,'[2]3 yr avg FY22-23'!$A$4:$L$89,11,FALSE)</f>
        <v>2019-2021</v>
      </c>
      <c r="H24" s="501">
        <f>VLOOKUP($A24,'[2]3 yr avg FY22-23'!$A$4:$L$89,12,FALSE)</f>
        <v>886.33333333333337</v>
      </c>
      <c r="I24" s="502">
        <f>VLOOKUP($A24,'Solvency Metric'!$G$2:$AJ$85,28,FALSE)</f>
        <v>0.21620463277684263</v>
      </c>
      <c r="J24" s="505">
        <f>VLOOKUP($A24,'Solvency Metric'!$G$2:$AJ$85,29,FALSE)</f>
        <v>0.21620463277684263</v>
      </c>
      <c r="K24" s="505">
        <f>VLOOKUP($A24,'Solvency Metric'!$G$2:$AJ$85,30,FALSE)</f>
        <v>0.21620463277684263</v>
      </c>
      <c r="L24" s="505" t="s">
        <v>3722</v>
      </c>
      <c r="M24" s="503" t="s">
        <v>219</v>
      </c>
      <c r="P24" s="125"/>
      <c r="Q24" s="125"/>
      <c r="R24" s="125"/>
      <c r="S24" s="125"/>
      <c r="T24" s="125"/>
      <c r="U24" s="125"/>
      <c r="V24" s="125"/>
      <c r="W24" s="125"/>
    </row>
    <row r="25" spans="1:23" x14ac:dyDescent="0.35">
      <c r="A25" s="404">
        <v>60049</v>
      </c>
      <c r="B25" s="359"/>
      <c r="C25" s="498">
        <v>1</v>
      </c>
      <c r="D25" s="499" t="str">
        <f>VLOOKUP(A25,'Solvency Metric'!$G$2:$H$85,2,FALSE)</f>
        <v>UCHealth</v>
      </c>
      <c r="E25" s="500" t="str">
        <f>VLOOKUP($A25,'[1]Payer Mix 3 yrs avg'!$B$5:$N$101,11,FALSE)</f>
        <v>2020-2022</v>
      </c>
      <c r="F25" s="500">
        <f>VLOOKUP($A25,'[1]Payer Mix 3 yrs avg'!$B$5:$N$101,12,FALSE)</f>
        <v>0.26009815024537564</v>
      </c>
      <c r="G25" s="500" t="str">
        <f>VLOOKUP($A25,'[2]3 yr avg FY22-23'!$A$4:$L$89,11,FALSE)</f>
        <v>2020-2022</v>
      </c>
      <c r="H25" s="501">
        <f>VLOOKUP($A25,'[2]3 yr avg FY22-23'!$A$4:$L$89,12,FALSE)</f>
        <v>1110.3333333333333</v>
      </c>
      <c r="I25" s="502">
        <f>VLOOKUP($A25,'Solvency Metric'!$G$2:$AJ$85,28,FALSE)</f>
        <v>0.1323599956239524</v>
      </c>
      <c r="J25" s="502">
        <f>VLOOKUP($A25,'Solvency Metric'!$G$2:$AJ$85,29,FALSE)</f>
        <v>0.13728158862602113</v>
      </c>
      <c r="K25" s="502">
        <f>VLOOKUP($A25,'Solvency Metric'!$G$2:$AJ$85,30,FALSE)</f>
        <v>0.13728158862602113</v>
      </c>
      <c r="L25" s="502"/>
      <c r="M25" s="503" t="s">
        <v>219</v>
      </c>
      <c r="P25" s="125"/>
      <c r="Q25" s="125"/>
      <c r="R25" s="125"/>
      <c r="S25" s="125"/>
      <c r="T25" s="125"/>
      <c r="U25" s="125"/>
      <c r="V25" s="125"/>
      <c r="W25" s="125"/>
    </row>
    <row r="26" spans="1:23" x14ac:dyDescent="0.35">
      <c r="A26" s="404">
        <v>60054</v>
      </c>
      <c r="B26" s="359"/>
      <c r="C26" s="498">
        <v>0</v>
      </c>
      <c r="D26" s="499" t="str">
        <f>VLOOKUP(A26,'Solvency Metric'!$G$2:$H$85,2,FALSE)</f>
        <v/>
      </c>
      <c r="E26" s="500" t="str">
        <f>VLOOKUP($A26,'[1]Payer Mix 3 yrs avg'!$B$5:$N$101,11,FALSE)</f>
        <v>2019-2021</v>
      </c>
      <c r="F26" s="500">
        <f>VLOOKUP($A26,'[1]Payer Mix 3 yrs avg'!$B$5:$N$101,12,FALSE)</f>
        <v>0.21981557779085736</v>
      </c>
      <c r="G26" s="500" t="str">
        <f>VLOOKUP($A26,'[2]3 yr avg FY22-23'!$A$4:$L$89,11,FALSE)</f>
        <v>2019-2021</v>
      </c>
      <c r="H26" s="501">
        <f>VLOOKUP($A26,'[2]3 yr avg FY22-23'!$A$4:$L$89,12,FALSE)</f>
        <v>3111.6666666666665</v>
      </c>
      <c r="I26" s="502">
        <f>VLOOKUP($A26,'Solvency Metric'!$G$2:$AJ$85,28,FALSE)</f>
        <v>0.12525870531453945</v>
      </c>
      <c r="J26" s="502" t="str">
        <f>VLOOKUP($A26,'Solvency Metric'!$G$2:$AJ$85,29,FALSE)</f>
        <v>NA</v>
      </c>
      <c r="K26" s="502">
        <f>VLOOKUP($A26,'Solvency Metric'!$G$2:$AJ$85,30,FALSE)</f>
        <v>0.12525870531453945</v>
      </c>
      <c r="L26" s="502"/>
      <c r="M26" s="503" t="s">
        <v>216</v>
      </c>
      <c r="P26" s="125"/>
      <c r="Q26" s="125"/>
      <c r="R26" s="125"/>
      <c r="S26" s="125"/>
      <c r="T26" s="125"/>
      <c r="U26" s="125"/>
      <c r="V26" s="125"/>
      <c r="W26" s="125"/>
    </row>
    <row r="27" spans="1:23" x14ac:dyDescent="0.35">
      <c r="A27" s="404">
        <v>60064</v>
      </c>
      <c r="B27" s="359"/>
      <c r="C27" s="498">
        <v>0</v>
      </c>
      <c r="D27" s="499" t="str">
        <f>VLOOKUP(A27,'Solvency Metric'!$G$2:$H$85,2,FALSE)</f>
        <v>Centura Health Adventist</v>
      </c>
      <c r="E27" s="500" t="str">
        <f>VLOOKUP($A27,'[1]Payer Mix 3 yrs avg'!$B$5:$N$101,11,FALSE)</f>
        <v>2019-2021</v>
      </c>
      <c r="F27" s="500">
        <f>VLOOKUP($A27,'[1]Payer Mix 3 yrs avg'!$B$5:$N$101,12,FALSE)</f>
        <v>0.18866846078734906</v>
      </c>
      <c r="G27" s="500" t="str">
        <f>VLOOKUP($A27,'[2]3 yr avg FY22-23'!$A$4:$L$89,11,FALSE)</f>
        <v>2019-2021</v>
      </c>
      <c r="H27" s="501">
        <f>VLOOKUP($A27,'[2]3 yr avg FY22-23'!$A$4:$L$89,12,FALSE)</f>
        <v>7729.666666666667</v>
      </c>
      <c r="I27" s="502">
        <f>VLOOKUP($A27,'Solvency Metric'!$G$2:$AJ$85,28,FALSE)</f>
        <v>1.0440724939786017E-2</v>
      </c>
      <c r="J27" s="502">
        <f>VLOOKUP($A27,'Solvency Metric'!$G$2:$AJ$85,29,FALSE)</f>
        <v>0.14947619686580935</v>
      </c>
      <c r="K27" s="502">
        <f>VLOOKUP($A27,'Solvency Metric'!$G$2:$AJ$85,30,FALSE)</f>
        <v>0.14947619686580935</v>
      </c>
      <c r="L27" s="502"/>
      <c r="M27" s="503" t="s">
        <v>216</v>
      </c>
      <c r="P27" s="125"/>
      <c r="Q27" s="125"/>
      <c r="R27" s="125"/>
      <c r="S27" s="125"/>
      <c r="T27" s="125"/>
      <c r="U27" s="125"/>
      <c r="V27" s="125"/>
      <c r="W27" s="125"/>
    </row>
    <row r="28" spans="1:23" x14ac:dyDescent="0.35">
      <c r="A28" s="404">
        <v>60065</v>
      </c>
      <c r="B28" s="359"/>
      <c r="C28" s="498">
        <v>0</v>
      </c>
      <c r="D28" s="499" t="str">
        <f>VLOOKUP(A28,'Solvency Metric'!$G$2:$H$85,2,FALSE)</f>
        <v>HealthONE</v>
      </c>
      <c r="E28" s="500" t="str">
        <f>VLOOKUP($A28,'[1]Payer Mix 3 yrs avg'!$B$5:$N$101,11,FALSE)</f>
        <v>2019-2021</v>
      </c>
      <c r="F28" s="500">
        <f>VLOOKUP($A28,'[1]Payer Mix 3 yrs avg'!$B$5:$N$101,12,FALSE)</f>
        <v>0.39586597211342628</v>
      </c>
      <c r="G28" s="500" t="str">
        <f>VLOOKUP($A28,'[2]3 yr avg FY22-23'!$A$4:$L$89,11,FALSE)</f>
        <v>2019-2021</v>
      </c>
      <c r="H28" s="501">
        <f>VLOOKUP($A28,'[2]3 yr avg FY22-23'!$A$4:$L$89,12,FALSE)</f>
        <v>7409.333333333333</v>
      </c>
      <c r="I28" s="502">
        <f>VLOOKUP($A28,'Solvency Metric'!$G$2:$AJ$85,28,FALSE)</f>
        <v>0.1685459066867942</v>
      </c>
      <c r="J28" s="502">
        <f>VLOOKUP($A28,'Solvency Metric'!$G$2:$AJ$85,29,FALSE)</f>
        <v>0.26543659879096182</v>
      </c>
      <c r="K28" s="502">
        <f>VLOOKUP($A28,'Solvency Metric'!$G$2:$AJ$85,30,FALSE)</f>
        <v>0.26543659879096182</v>
      </c>
      <c r="L28" s="502"/>
      <c r="M28" s="503" t="s">
        <v>216</v>
      </c>
      <c r="P28" s="125"/>
      <c r="Q28" s="125"/>
      <c r="R28" s="125"/>
      <c r="S28" s="125"/>
      <c r="T28" s="125"/>
      <c r="U28" s="125"/>
      <c r="V28" s="125"/>
      <c r="W28" s="125"/>
    </row>
    <row r="29" spans="1:23" x14ac:dyDescent="0.35">
      <c r="A29" s="402">
        <v>60071</v>
      </c>
      <c r="B29" s="409"/>
      <c r="C29" s="506">
        <v>1</v>
      </c>
      <c r="D29" s="499" t="str">
        <f>VLOOKUP(A29,'Solvency Metric'!$G$2:$H$85,2,FALSE)</f>
        <v/>
      </c>
      <c r="E29" s="500" t="str">
        <f>VLOOKUP($A29,'[1]Payer Mix 3 yrs avg'!$B$5:$N$101,11,FALSE)</f>
        <v>2019-2021</v>
      </c>
      <c r="F29" s="500">
        <f>VLOOKUP($A29,'[1]Payer Mix 3 yrs avg'!$B$5:$N$101,12,FALSE)</f>
        <v>0.19526553106212424</v>
      </c>
      <c r="G29" s="500" t="str">
        <f>VLOOKUP($A29,'[2]3 yr avg FY22-23'!$A$4:$L$89,11,FALSE)</f>
        <v>2019-2021</v>
      </c>
      <c r="H29" s="501">
        <f>VLOOKUP($A29,'[2]3 yr avg FY22-23'!$A$4:$L$89,12,FALSE)</f>
        <v>1340</v>
      </c>
      <c r="I29" s="502">
        <f>VLOOKUP($A29,'Solvency Metric'!$G$2:$AJ$85,28,FALSE)</f>
        <v>9.3323458657444319E-2</v>
      </c>
      <c r="J29" s="502" t="str">
        <f>VLOOKUP($A29,'Solvency Metric'!$G$2:$AJ$85,29,FALSE)</f>
        <v>NA</v>
      </c>
      <c r="K29" s="502">
        <f>VLOOKUP($A29,'Solvency Metric'!$G$2:$AJ$85,30,FALSE)</f>
        <v>9.3323458657444319E-2</v>
      </c>
      <c r="L29" s="502"/>
      <c r="M29" s="507" t="s">
        <v>219</v>
      </c>
      <c r="P29" s="125"/>
      <c r="Q29" s="125"/>
      <c r="R29" s="125"/>
      <c r="S29" s="125"/>
      <c r="T29" s="125"/>
      <c r="U29" s="125"/>
      <c r="V29" s="125"/>
      <c r="W29" s="125"/>
    </row>
    <row r="30" spans="1:23" x14ac:dyDescent="0.35">
      <c r="A30" s="404">
        <v>60075</v>
      </c>
      <c r="B30" s="359"/>
      <c r="C30" s="498">
        <v>1</v>
      </c>
      <c r="D30" s="499" t="str">
        <f>VLOOKUP(A30,'Solvency Metric'!$G$2:$H$85,2,FALSE)</f>
        <v/>
      </c>
      <c r="E30" s="500" t="str">
        <f>VLOOKUP($A30,'[1]Payer Mix 3 yrs avg'!$B$5:$N$101,11,FALSE)</f>
        <v>2019-2021</v>
      </c>
      <c r="F30" s="500">
        <f>VLOOKUP($A30,'[1]Payer Mix 3 yrs avg'!$B$5:$N$101,12,FALSE)</f>
        <v>0.36854384553499597</v>
      </c>
      <c r="G30" s="500" t="str">
        <f>VLOOKUP($A30,'[2]3 yr avg FY22-23'!$A$4:$L$89,11,FALSE)</f>
        <v>2019-2021</v>
      </c>
      <c r="H30" s="501">
        <f>VLOOKUP($A30,'[2]3 yr avg FY22-23'!$A$4:$L$89,12,FALSE)</f>
        <v>2905.6666666666665</v>
      </c>
      <c r="I30" s="502">
        <f>VLOOKUP($A30,'Solvency Metric'!$G$2:$AJ$85,28,FALSE)</f>
        <v>0.13061414532133953</v>
      </c>
      <c r="J30" s="502" t="str">
        <f>VLOOKUP($A30,'Solvency Metric'!$G$2:$AJ$85,29,FALSE)</f>
        <v>NA</v>
      </c>
      <c r="K30" s="502">
        <f>VLOOKUP($A30,'Solvency Metric'!$G$2:$AJ$85,30,FALSE)</f>
        <v>0.13061414532133953</v>
      </c>
      <c r="L30" s="502"/>
      <c r="M30" s="503" t="s">
        <v>219</v>
      </c>
      <c r="P30" s="125"/>
      <c r="Q30" s="125"/>
      <c r="R30" s="125"/>
      <c r="S30" s="125"/>
      <c r="T30" s="125"/>
      <c r="U30" s="125"/>
      <c r="V30" s="125"/>
      <c r="W30" s="125"/>
    </row>
    <row r="31" spans="1:23" x14ac:dyDescent="0.35">
      <c r="A31" s="404">
        <v>60076</v>
      </c>
      <c r="B31" s="359"/>
      <c r="C31" s="498">
        <v>1</v>
      </c>
      <c r="D31" s="499" t="str">
        <f>VLOOKUP(A31,'Solvency Metric'!$G$2:$H$85,2,FALSE)</f>
        <v>Banner Health</v>
      </c>
      <c r="E31" s="500" t="str">
        <f>VLOOKUP($A31,'[1]Payer Mix 3 yrs avg'!$B$5:$N$101,11,FALSE)</f>
        <v>2019-2021</v>
      </c>
      <c r="F31" s="500">
        <f>VLOOKUP($A31,'[1]Payer Mix 3 yrs avg'!$B$5:$N$101,12,FALSE)</f>
        <v>0.27377786868480264</v>
      </c>
      <c r="G31" s="500" t="str">
        <f>VLOOKUP($A31,'[2]3 yr avg FY22-23'!$A$4:$L$89,11,FALSE)</f>
        <v>2019-2021</v>
      </c>
      <c r="H31" s="501">
        <f>VLOOKUP($A31,'[2]3 yr avg FY22-23'!$A$4:$L$89,12,FALSE)</f>
        <v>1012.6666666666666</v>
      </c>
      <c r="I31" s="502">
        <f>VLOOKUP($A31,'Solvency Metric'!$G$2:$AJ$85,28,FALSE)</f>
        <v>0.18912693921959964</v>
      </c>
      <c r="J31" s="502">
        <f>VLOOKUP($A31,'Solvency Metric'!$G$2:$AJ$85,29,FALSE)</f>
        <v>0.11078338818904038</v>
      </c>
      <c r="K31" s="502">
        <f>VLOOKUP($A31,'Solvency Metric'!$G$2:$AJ$85,30,FALSE)</f>
        <v>0.18912693921959964</v>
      </c>
      <c r="L31" s="502"/>
      <c r="M31" s="503" t="s">
        <v>219</v>
      </c>
      <c r="P31" s="125"/>
      <c r="Q31" s="125"/>
      <c r="R31" s="125"/>
      <c r="S31" s="125"/>
      <c r="T31" s="125"/>
      <c r="U31" s="125"/>
      <c r="V31" s="125"/>
      <c r="W31" s="125"/>
    </row>
    <row r="32" spans="1:23" x14ac:dyDescent="0.35">
      <c r="A32" s="404">
        <v>60096</v>
      </c>
      <c r="B32" s="409"/>
      <c r="C32" s="498">
        <v>1</v>
      </c>
      <c r="D32" s="499" t="str">
        <f>VLOOKUP(A32,'Solvency Metric'!$G$2:$H$85,2,FALSE)</f>
        <v/>
      </c>
      <c r="E32" s="500" t="str">
        <f>VLOOKUP($A32,'[1]Payer Mix 3 yrs avg'!$B$5:$N$101,11,FALSE)</f>
        <v>2019-2021</v>
      </c>
      <c r="F32" s="500">
        <f>VLOOKUP($A32,'[1]Payer Mix 3 yrs avg'!$B$5:$N$101,12,FALSE)</f>
        <v>0.15323835002799727</v>
      </c>
      <c r="G32" s="500" t="str">
        <f>VLOOKUP($A32,'[2]3 yr avg FY22-23'!$A$4:$L$89,11,FALSE)</f>
        <v>2019-2021</v>
      </c>
      <c r="H32" s="501">
        <f>VLOOKUP($A32,'[2]3 yr avg FY22-23'!$A$4:$L$89,12,FALSE)</f>
        <v>1711.6666666666667</v>
      </c>
      <c r="I32" s="502">
        <f>VLOOKUP($A32,'Solvency Metric'!$G$2:$AJ$85,28,FALSE)</f>
        <v>0.10772031605037027</v>
      </c>
      <c r="J32" s="502" t="str">
        <f>VLOOKUP($A32,'Solvency Metric'!$G$2:$AJ$85,29,FALSE)</f>
        <v>NA</v>
      </c>
      <c r="K32" s="502">
        <f>VLOOKUP($A32,'Solvency Metric'!$G$2:$AJ$85,30,FALSE)</f>
        <v>0.10772031605037027</v>
      </c>
      <c r="L32" s="502"/>
      <c r="M32" s="503" t="s">
        <v>219</v>
      </c>
      <c r="N32" s="145"/>
      <c r="P32" s="125"/>
      <c r="Q32" s="125"/>
      <c r="R32" s="125"/>
      <c r="S32" s="125"/>
      <c r="T32" s="125"/>
      <c r="U32" s="125"/>
      <c r="V32" s="125"/>
      <c r="W32" s="125"/>
    </row>
    <row r="33" spans="1:23" x14ac:dyDescent="0.35">
      <c r="A33" s="404">
        <v>60100</v>
      </c>
      <c r="B33" s="359"/>
      <c r="C33" s="498">
        <v>0</v>
      </c>
      <c r="D33" s="499" t="str">
        <f>VLOOKUP(A33,'Solvency Metric'!$G$2:$H$85,2,FALSE)</f>
        <v>HealthONE</v>
      </c>
      <c r="E33" s="500" t="str">
        <f>VLOOKUP($A33,'[1]Payer Mix 3 yrs avg'!$B$5:$N$101,11,FALSE)</f>
        <v>2019-2021</v>
      </c>
      <c r="F33" s="500">
        <f>VLOOKUP($A33,'[1]Payer Mix 3 yrs avg'!$B$5:$N$101,12,FALSE)</f>
        <v>0.31940297391934769</v>
      </c>
      <c r="G33" s="500" t="str">
        <f>VLOOKUP($A33,'[2]3 yr avg FY22-23'!$A$4:$L$89,11,FALSE)</f>
        <v>2019-2021</v>
      </c>
      <c r="H33" s="501">
        <f>VLOOKUP($A33,'[2]3 yr avg FY22-23'!$A$4:$L$89,12,FALSE)</f>
        <v>16717.333333333332</v>
      </c>
      <c r="I33" s="502">
        <f>VLOOKUP($A33,'Solvency Metric'!$G$2:$AJ$85,28,FALSE)</f>
        <v>0.15091908495305151</v>
      </c>
      <c r="J33" s="502">
        <f>VLOOKUP($A33,'Solvency Metric'!$G$2:$AJ$85,29,FALSE)</f>
        <v>0.26543659879096182</v>
      </c>
      <c r="K33" s="502">
        <f>VLOOKUP($A33,'Solvency Metric'!$G$2:$AJ$85,30,FALSE)</f>
        <v>0.26543659879096182</v>
      </c>
      <c r="L33" s="502"/>
      <c r="M33" s="503" t="s">
        <v>216</v>
      </c>
      <c r="P33" s="125"/>
      <c r="Q33" s="125"/>
      <c r="R33" s="125"/>
      <c r="S33" s="125"/>
      <c r="T33" s="125"/>
      <c r="U33" s="125"/>
      <c r="V33" s="125"/>
      <c r="W33" s="125"/>
    </row>
    <row r="34" spans="1:23" x14ac:dyDescent="0.35">
      <c r="A34" s="404">
        <v>60103</v>
      </c>
      <c r="B34" s="359"/>
      <c r="C34" s="498">
        <v>0</v>
      </c>
      <c r="D34" s="499" t="str">
        <f>VLOOKUP(A34,'Solvency Metric'!$G$2:$H$85,2,FALSE)</f>
        <v>Centura Health Adventist</v>
      </c>
      <c r="E34" s="500" t="str">
        <f>VLOOKUP($A34,'[1]Payer Mix 3 yrs avg'!$B$5:$N$101,11,FALSE)</f>
        <v>2019-2021</v>
      </c>
      <c r="F34" s="500">
        <f>VLOOKUP($A34,'[1]Payer Mix 3 yrs avg'!$B$5:$N$101,12,FALSE)</f>
        <v>0.33747493332782041</v>
      </c>
      <c r="G34" s="500" t="str">
        <f>VLOOKUP($A34,'[2]3 yr avg FY22-23'!$A$4:$L$89,11,FALSE)</f>
        <v>2019-2021</v>
      </c>
      <c r="H34" s="501">
        <f>VLOOKUP($A34,'[2]3 yr avg FY22-23'!$A$4:$L$89,12,FALSE)</f>
        <v>4270</v>
      </c>
      <c r="I34" s="502">
        <f>VLOOKUP($A34,'Solvency Metric'!$G$2:$AJ$85,28,FALSE)</f>
        <v>0.19934238006472954</v>
      </c>
      <c r="J34" s="502">
        <f>VLOOKUP($A34,'Solvency Metric'!$G$2:$AJ$85,29,FALSE)</f>
        <v>0.14947619686580935</v>
      </c>
      <c r="K34" s="502">
        <f>VLOOKUP($A34,'Solvency Metric'!$G$2:$AJ$85,30,FALSE)</f>
        <v>0.19934238006472954</v>
      </c>
      <c r="L34" s="502"/>
      <c r="M34" s="503" t="s">
        <v>216</v>
      </c>
      <c r="N34" s="407"/>
      <c r="P34" s="125"/>
      <c r="Q34" s="125"/>
      <c r="R34" s="125"/>
      <c r="S34" s="125"/>
      <c r="T34" s="125"/>
      <c r="U34" s="125"/>
      <c r="V34" s="125"/>
      <c r="W34" s="125"/>
    </row>
    <row r="35" spans="1:23" x14ac:dyDescent="0.35">
      <c r="A35" s="404">
        <v>60104</v>
      </c>
      <c r="B35" s="359"/>
      <c r="C35" s="498">
        <v>0</v>
      </c>
      <c r="D35" s="499" t="str">
        <f>VLOOKUP(A35,'Solvency Metric'!$G$2:$H$85,2,FALSE)</f>
        <v>Centura Health CHI</v>
      </c>
      <c r="E35" s="500" t="str">
        <f>VLOOKUP($A35,'[1]Payer Mix 3 yrs avg'!$B$5:$N$101,11,FALSE)</f>
        <v>2020-2022</v>
      </c>
      <c r="F35" s="500">
        <f>VLOOKUP($A35,'[1]Payer Mix 3 yrs avg'!$B$5:$N$101,12,FALSE)</f>
        <v>0.27262978371534147</v>
      </c>
      <c r="G35" s="500" t="str">
        <f>VLOOKUP($A35,'[2]3 yr avg FY22-23'!$A$4:$L$89,11,FALSE)</f>
        <v>2020-2022</v>
      </c>
      <c r="H35" s="501">
        <f>VLOOKUP($A35,'[2]3 yr avg FY22-23'!$A$4:$L$89,12,FALSE)</f>
        <v>6518</v>
      </c>
      <c r="I35" s="502">
        <f>VLOOKUP($A35,'Solvency Metric'!$G$2:$AJ$85,28,FALSE)</f>
        <v>0.20420469181854176</v>
      </c>
      <c r="J35" s="502">
        <f>VLOOKUP($A35,'Solvency Metric'!$G$2:$AJ$85,29,FALSE)</f>
        <v>0.18263437911393374</v>
      </c>
      <c r="K35" s="502">
        <f>VLOOKUP($A35,'Solvency Metric'!$G$2:$AJ$85,30,FALSE)</f>
        <v>0.20420469181854176</v>
      </c>
      <c r="L35" s="502"/>
      <c r="M35" s="503" t="s">
        <v>216</v>
      </c>
      <c r="N35" s="411"/>
      <c r="P35" s="125"/>
      <c r="Q35" s="125"/>
      <c r="R35" s="125"/>
      <c r="S35" s="125"/>
      <c r="T35" s="125"/>
      <c r="U35" s="125"/>
      <c r="V35" s="125"/>
      <c r="W35" s="125"/>
    </row>
    <row r="36" spans="1:23" x14ac:dyDescent="0.35">
      <c r="A36" s="404">
        <v>60107</v>
      </c>
      <c r="B36" s="359"/>
      <c r="C36" s="498">
        <v>0</v>
      </c>
      <c r="D36" s="499" t="str">
        <f>VLOOKUP(A36,'Solvency Metric'!$G$2:$H$85,2,FALSE)</f>
        <v/>
      </c>
      <c r="E36" s="500" t="str">
        <f>VLOOKUP($A36,'[1]Payer Mix 3 yrs avg'!$B$5:$N$101,11,FALSE)</f>
        <v>2020-2022</v>
      </c>
      <c r="F36" s="500">
        <f>VLOOKUP($A36,'[1]Payer Mix 3 yrs avg'!$B$5:$N$101,12,FALSE)</f>
        <v>0.15167682926829268</v>
      </c>
      <c r="G36" s="500" t="str">
        <f>VLOOKUP($A36,'[2]3 yr avg FY22-23'!$A$4:$L$89,11,FALSE)</f>
        <v>2020-2022</v>
      </c>
      <c r="H36" s="501">
        <f>VLOOKUP($A36,'[2]3 yr avg FY22-23'!$A$4:$L$89,12,FALSE)</f>
        <v>67.333333333333329</v>
      </c>
      <c r="I36" s="502">
        <f>VLOOKUP($A36,'Solvency Metric'!$G$2:$AJ$85,28,FALSE)</f>
        <v>1.5930888936748044E-2</v>
      </c>
      <c r="J36" s="502" t="str">
        <f>VLOOKUP($A36,'Solvency Metric'!$G$2:$AJ$85,29,FALSE)</f>
        <v>NA</v>
      </c>
      <c r="K36" s="502">
        <f>VLOOKUP($A36,'Solvency Metric'!$G$2:$AJ$85,30,FALSE)</f>
        <v>1.5930888936748044E-2</v>
      </c>
      <c r="L36" s="502"/>
      <c r="M36" s="503" t="s">
        <v>216</v>
      </c>
      <c r="N36" s="411"/>
      <c r="P36" s="125"/>
      <c r="Q36" s="125"/>
      <c r="R36" s="125"/>
      <c r="S36" s="125"/>
      <c r="T36" s="125"/>
      <c r="U36" s="125"/>
      <c r="V36" s="125"/>
      <c r="W36" s="125"/>
    </row>
    <row r="37" spans="1:23" x14ac:dyDescent="0.35">
      <c r="A37" s="404">
        <v>60112</v>
      </c>
      <c r="B37" s="359"/>
      <c r="C37" s="498">
        <v>0</v>
      </c>
      <c r="D37" s="499" t="str">
        <f>VLOOKUP(A37,'Solvency Metric'!$G$2:$H$85,2,FALSE)</f>
        <v>HealthONE</v>
      </c>
      <c r="E37" s="500" t="str">
        <f>VLOOKUP($A37,'[1]Payer Mix 3 yrs avg'!$B$5:$N$101,11,FALSE)</f>
        <v>2020-2022</v>
      </c>
      <c r="F37" s="500">
        <f>VLOOKUP($A37,'[1]Payer Mix 3 yrs avg'!$B$5:$N$101,12,FALSE)</f>
        <v>0.13392297513754439</v>
      </c>
      <c r="G37" s="500" t="str">
        <f>VLOOKUP($A37,'[2]3 yr avg FY22-23'!$A$4:$L$89,11,FALSE)</f>
        <v>2020-2022</v>
      </c>
      <c r="H37" s="501">
        <f>VLOOKUP($A37,'[2]3 yr avg FY22-23'!$A$4:$L$89,12,FALSE)</f>
        <v>15414</v>
      </c>
      <c r="I37" s="502">
        <f>VLOOKUP($A37,'Solvency Metric'!$G$2:$AJ$85,28,FALSE)</f>
        <v>0.33339304395615776</v>
      </c>
      <c r="J37" s="502">
        <f>VLOOKUP($A37,'Solvency Metric'!$G$2:$AJ$85,29,FALSE)</f>
        <v>0.26543659879096182</v>
      </c>
      <c r="K37" s="502">
        <f>VLOOKUP($A37,'Solvency Metric'!$G$2:$AJ$85,30,FALSE)</f>
        <v>0.33339304395615776</v>
      </c>
      <c r="L37" s="502"/>
      <c r="M37" s="503" t="s">
        <v>216</v>
      </c>
      <c r="P37" s="125"/>
      <c r="Q37" s="125"/>
      <c r="R37" s="125"/>
      <c r="S37" s="125"/>
      <c r="T37" s="125"/>
      <c r="U37" s="125"/>
      <c r="V37" s="125"/>
      <c r="W37" s="125"/>
    </row>
    <row r="38" spans="1:23" x14ac:dyDescent="0.35">
      <c r="A38" s="404">
        <v>60113</v>
      </c>
      <c r="B38" s="359"/>
      <c r="C38" s="498">
        <v>0</v>
      </c>
      <c r="D38" s="499" t="str">
        <f>VLOOKUP(A38,'Solvency Metric'!$G$2:$H$85,2,FALSE)</f>
        <v>Centura Health Adventist</v>
      </c>
      <c r="E38" s="500" t="str">
        <f>VLOOKUP($A38,'[1]Payer Mix 3 yrs avg'!$B$5:$N$101,11,FALSE)</f>
        <v>2019-2021</v>
      </c>
      <c r="F38" s="500">
        <f>VLOOKUP($A38,'[1]Payer Mix 3 yrs avg'!$B$5:$N$101,12,FALSE)</f>
        <v>0.14864788390799952</v>
      </c>
      <c r="G38" s="500" t="str">
        <f>VLOOKUP($A38,'[2]3 yr avg FY22-23'!$A$4:$L$89,11,FALSE)</f>
        <v>2019-2021</v>
      </c>
      <c r="H38" s="501">
        <f>VLOOKUP($A38,'[2]3 yr avg FY22-23'!$A$4:$L$89,12,FALSE)</f>
        <v>9127.6666666666661</v>
      </c>
      <c r="I38" s="502">
        <f>VLOOKUP($A38,'Solvency Metric'!$G$2:$AJ$85,28,FALSE)</f>
        <v>0.16623881455988943</v>
      </c>
      <c r="J38" s="502">
        <f>VLOOKUP($A38,'Solvency Metric'!$G$2:$AJ$85,29,FALSE)</f>
        <v>0.14947619686580935</v>
      </c>
      <c r="K38" s="502">
        <f>VLOOKUP($A38,'Solvency Metric'!$G$2:$AJ$85,30,FALSE)</f>
        <v>0.16623881455988943</v>
      </c>
      <c r="L38" s="502"/>
      <c r="M38" s="503" t="s">
        <v>216</v>
      </c>
      <c r="P38" s="125"/>
      <c r="Q38" s="125"/>
      <c r="R38" s="125"/>
      <c r="S38" s="125"/>
      <c r="T38" s="125"/>
      <c r="U38" s="125"/>
      <c r="V38" s="125"/>
      <c r="W38" s="125"/>
    </row>
    <row r="39" spans="1:23" x14ac:dyDescent="0.35">
      <c r="A39" s="404">
        <v>60114</v>
      </c>
      <c r="B39" s="359"/>
      <c r="C39" s="498">
        <v>0</v>
      </c>
      <c r="D39" s="499" t="str">
        <f>VLOOKUP(A39,'Solvency Metric'!$G$2:$H$85,2,FALSE)</f>
        <v>Centura Health Adventist</v>
      </c>
      <c r="E39" s="500" t="str">
        <f>VLOOKUP($A39,'[1]Payer Mix 3 yrs avg'!$B$5:$N$101,11,FALSE)</f>
        <v>2019-2021</v>
      </c>
      <c r="F39" s="500">
        <f>VLOOKUP($A39,'[1]Payer Mix 3 yrs avg'!$B$5:$N$101,12,FALSE)</f>
        <v>0.17548175481754819</v>
      </c>
      <c r="G39" s="500" t="str">
        <f>VLOOKUP($A39,'[2]3 yr avg FY22-23'!$A$4:$L$89,11,FALSE)</f>
        <v>2019-2021</v>
      </c>
      <c r="H39" s="501">
        <f>VLOOKUP($A39,'[2]3 yr avg FY22-23'!$A$4:$L$89,12,FALSE)</f>
        <v>8098</v>
      </c>
      <c r="I39" s="502">
        <f>VLOOKUP($A39,'Solvency Metric'!$G$2:$AJ$85,28,FALSE)</f>
        <v>0.24234429629321758</v>
      </c>
      <c r="J39" s="502">
        <f>VLOOKUP($A39,'Solvency Metric'!$G$2:$AJ$85,29,FALSE)</f>
        <v>0.14947619686580935</v>
      </c>
      <c r="K39" s="502">
        <f>VLOOKUP($A39,'Solvency Metric'!$G$2:$AJ$85,30,FALSE)</f>
        <v>0.24234429629321758</v>
      </c>
      <c r="L39" s="502"/>
      <c r="M39" s="503" t="s">
        <v>216</v>
      </c>
      <c r="P39" s="125"/>
      <c r="Q39" s="125"/>
      <c r="R39" s="125"/>
      <c r="S39" s="125"/>
      <c r="T39" s="125"/>
      <c r="U39" s="125"/>
      <c r="V39" s="125"/>
      <c r="W39" s="125"/>
    </row>
    <row r="40" spans="1:23" x14ac:dyDescent="0.35">
      <c r="A40" s="404">
        <v>60116</v>
      </c>
      <c r="B40" s="359"/>
      <c r="C40" s="498">
        <v>0</v>
      </c>
      <c r="D40" s="499" t="str">
        <f>VLOOKUP(A40,'Solvency Metric'!$G$2:$H$85,2,FALSE)</f>
        <v>SCL Health</v>
      </c>
      <c r="E40" s="500" t="str">
        <f>VLOOKUP($A40,'[1]Payer Mix 3 yrs avg'!$B$5:$N$101,11,FALSE)</f>
        <v>2019-2021</v>
      </c>
      <c r="F40" s="500">
        <f>VLOOKUP($A40,'[1]Payer Mix 3 yrs avg'!$B$5:$N$101,12,FALSE)</f>
        <v>0.14539645052616956</v>
      </c>
      <c r="G40" s="500" t="str">
        <f>VLOOKUP($A40,'[2]3 yr avg FY22-23'!$A$4:$L$89,11,FALSE)</f>
        <v>2019-2021</v>
      </c>
      <c r="H40" s="501">
        <f>VLOOKUP($A40,'[2]3 yr avg FY22-23'!$A$4:$L$89,12,FALSE)</f>
        <v>12190.333333333334</v>
      </c>
      <c r="I40" s="502">
        <f>VLOOKUP($A40,'Solvency Metric'!$G$2:$AJ$85,28,FALSE)</f>
        <v>0.15370248859123137</v>
      </c>
      <c r="J40" s="502">
        <f>VLOOKUP($A40,'Solvency Metric'!$G$2:$AJ$85,29,FALSE)</f>
        <v>0.11887326721033377</v>
      </c>
      <c r="K40" s="502">
        <f>VLOOKUP($A40,'Solvency Metric'!$G$2:$AJ$85,30,FALSE)</f>
        <v>0.15370248859123137</v>
      </c>
      <c r="L40" s="502"/>
      <c r="M40" s="503" t="s">
        <v>216</v>
      </c>
      <c r="P40" s="125"/>
      <c r="Q40" s="125"/>
      <c r="R40" s="125"/>
      <c r="S40" s="125"/>
      <c r="T40" s="125"/>
      <c r="U40" s="125"/>
      <c r="V40" s="125"/>
      <c r="W40" s="125"/>
    </row>
    <row r="41" spans="1:23" x14ac:dyDescent="0.35">
      <c r="A41" s="404">
        <v>60117</v>
      </c>
      <c r="B41" s="359"/>
      <c r="C41" s="498">
        <v>1</v>
      </c>
      <c r="D41" s="499" t="str">
        <f>VLOOKUP(A41,'Solvency Metric'!$G$2:$H$85,2,FALSE)</f>
        <v/>
      </c>
      <c r="E41" s="500" t="str">
        <f>VLOOKUP($A41,'[1]Payer Mix 3 yrs avg'!$B$5:$N$101,11,FALSE)</f>
        <v>2019-2021</v>
      </c>
      <c r="F41" s="500">
        <f>VLOOKUP($A41,'[1]Payer Mix 3 yrs avg'!$B$5:$N$101,12,FALSE)</f>
        <v>2.4793388429752067E-2</v>
      </c>
      <c r="G41" s="500" t="str">
        <f>VLOOKUP($A41,'[2]3 yr avg FY22-23'!$A$4:$L$89,11,FALSE)</f>
        <v>2019-2021</v>
      </c>
      <c r="H41" s="501">
        <f>VLOOKUP($A41,'[2]3 yr avg FY22-23'!$A$4:$L$89,12,FALSE)</f>
        <v>597.33333333333337</v>
      </c>
      <c r="I41" s="502">
        <f>VLOOKUP($A41,'Solvency Metric'!$G$2:$AJ$85,28,FALSE)</f>
        <v>0.17503171117964869</v>
      </c>
      <c r="J41" s="502" t="str">
        <f>VLOOKUP($A41,'Solvency Metric'!$G$2:$AJ$85,29,FALSE)</f>
        <v>NA</v>
      </c>
      <c r="K41" s="502">
        <f>VLOOKUP($A41,'Solvency Metric'!$G$2:$AJ$85,30,FALSE)</f>
        <v>0.17503171117964869</v>
      </c>
      <c r="L41" s="502"/>
      <c r="M41" s="503" t="s">
        <v>216</v>
      </c>
      <c r="P41" s="125"/>
      <c r="Q41" s="125"/>
      <c r="R41" s="125"/>
      <c r="S41" s="125"/>
      <c r="T41" s="125"/>
      <c r="U41" s="125"/>
      <c r="V41" s="125"/>
      <c r="W41" s="125"/>
    </row>
    <row r="42" spans="1:23" x14ac:dyDescent="0.35">
      <c r="A42" s="404">
        <v>60118</v>
      </c>
      <c r="B42" s="359"/>
      <c r="C42" s="498">
        <v>1</v>
      </c>
      <c r="D42" s="499" t="str">
        <f>VLOOKUP(A42,'Solvency Metric'!$G$2:$H$85,2,FALSE)</f>
        <v>Centura Health CHI</v>
      </c>
      <c r="E42" s="500" t="str">
        <f>VLOOKUP($A42,'[1]Payer Mix 3 yrs avg'!$B$5:$N$101,11,FALSE)</f>
        <v>2020-2022</v>
      </c>
      <c r="F42" s="500">
        <f>VLOOKUP($A42,'[1]Payer Mix 3 yrs avg'!$B$5:$N$101,12,FALSE)</f>
        <v>0.27902639186794742</v>
      </c>
      <c r="G42" s="500" t="str">
        <f>VLOOKUP($A42,'[2]3 yr avg FY22-23'!$A$4:$L$89,11,FALSE)</f>
        <v>2020-2022</v>
      </c>
      <c r="H42" s="501">
        <f>VLOOKUP($A42,'[2]3 yr avg FY22-23'!$A$4:$L$89,12,FALSE)</f>
        <v>1298.6666666666667</v>
      </c>
      <c r="I42" s="502">
        <f>VLOOKUP($A42,'Solvency Metric'!$G$2:$AJ$85,28,FALSE)</f>
        <v>0.39140193043554589</v>
      </c>
      <c r="J42" s="502">
        <f>VLOOKUP($A42,'Solvency Metric'!$G$2:$AJ$85,29,FALSE)</f>
        <v>0.18263437911393374</v>
      </c>
      <c r="K42" s="502">
        <f>VLOOKUP($A42,'Solvency Metric'!$G$2:$AJ$85,30,FALSE)</f>
        <v>0.39140193043554589</v>
      </c>
      <c r="L42" s="502"/>
      <c r="M42" s="503" t="s">
        <v>216</v>
      </c>
      <c r="P42" s="125"/>
      <c r="Q42" s="125"/>
      <c r="R42" s="125"/>
      <c r="S42" s="125"/>
      <c r="T42" s="125"/>
      <c r="U42" s="125"/>
      <c r="V42" s="125"/>
      <c r="W42" s="125"/>
    </row>
    <row r="43" spans="1:23" x14ac:dyDescent="0.35">
      <c r="A43" s="404">
        <v>60119</v>
      </c>
      <c r="B43" s="359"/>
      <c r="C43" s="498">
        <v>0</v>
      </c>
      <c r="D43" s="499" t="str">
        <f>VLOOKUP(A43,'Solvency Metric'!$G$2:$H$85,2,FALSE)</f>
        <v>UCHealth</v>
      </c>
      <c r="E43" s="500" t="str">
        <f>VLOOKUP($A43,'[1]Payer Mix 3 yrs avg'!$B$5:$N$101,11,FALSE)</f>
        <v>2020-2022</v>
      </c>
      <c r="F43" s="500">
        <f>VLOOKUP($A43,'[1]Payer Mix 3 yrs avg'!$B$5:$N$101,12,FALSE)</f>
        <v>0.16379188281179605</v>
      </c>
      <c r="G43" s="500" t="str">
        <f>VLOOKUP($A43,'[2]3 yr avg FY22-23'!$A$4:$L$89,11,FALSE)</f>
        <v>2020-2022</v>
      </c>
      <c r="H43" s="501">
        <f>VLOOKUP($A43,'[2]3 yr avg FY22-23'!$A$4:$L$89,12,FALSE)</f>
        <v>10844.666666666666</v>
      </c>
      <c r="I43" s="502">
        <f>VLOOKUP($A43,'Solvency Metric'!$G$2:$AJ$85,28,FALSE)</f>
        <v>0.20387791836645003</v>
      </c>
      <c r="J43" s="502">
        <f>VLOOKUP($A43,'Solvency Metric'!$G$2:$AJ$85,29,FALSE)</f>
        <v>0.13728158862602113</v>
      </c>
      <c r="K43" s="502">
        <f>VLOOKUP($A43,'Solvency Metric'!$G$2:$AJ$85,30,FALSE)</f>
        <v>0.20387791836645003</v>
      </c>
      <c r="L43" s="502"/>
      <c r="M43" s="503" t="s">
        <v>216</v>
      </c>
      <c r="P43" s="125"/>
      <c r="Q43" s="125"/>
      <c r="R43" s="125"/>
      <c r="S43" s="125"/>
      <c r="T43" s="125"/>
      <c r="U43" s="125"/>
      <c r="V43" s="125"/>
      <c r="W43" s="125"/>
    </row>
    <row r="44" spans="1:23" x14ac:dyDescent="0.35">
      <c r="A44" s="404">
        <v>60124</v>
      </c>
      <c r="B44" s="359"/>
      <c r="C44" s="498">
        <v>0</v>
      </c>
      <c r="D44" s="499" t="str">
        <f>VLOOKUP(A44,'Solvency Metric'!$G$2:$H$85,2,FALSE)</f>
        <v>Centura Health CHI</v>
      </c>
      <c r="E44" s="500" t="str">
        <f>VLOOKUP($A44,'[1]Payer Mix 3 yrs avg'!$B$5:$N$101,11,FALSE)</f>
        <v>2019-2021</v>
      </c>
      <c r="F44" s="500">
        <f>VLOOKUP($A44,'[1]Payer Mix 3 yrs avg'!$B$5:$N$101,12,FALSE)</f>
        <v>0</v>
      </c>
      <c r="G44" s="500" t="str">
        <f>VLOOKUP($A44,'[2]3 yr avg FY22-23'!$A$4:$L$89,11,FALSE)</f>
        <v>2020-2022</v>
      </c>
      <c r="H44" s="501">
        <f>VLOOKUP($A44,'[2]3 yr avg FY22-23'!$A$4:$L$89,12,FALSE)</f>
        <v>1591.3333333333333</v>
      </c>
      <c r="I44" s="502">
        <f>VLOOKUP($A44,'Solvency Metric'!$G$2:$AJ$85,28,FALSE)</f>
        <v>0.38959073020465756</v>
      </c>
      <c r="J44" s="502">
        <f>VLOOKUP($A44,'Solvency Metric'!$G$2:$AJ$85,29,FALSE)</f>
        <v>0.18263437911393374</v>
      </c>
      <c r="K44" s="502">
        <f>VLOOKUP($A44,'Solvency Metric'!$G$2:$AJ$85,30,FALSE)</f>
        <v>0.38959073020465756</v>
      </c>
      <c r="L44" s="502"/>
      <c r="M44" s="503" t="s">
        <v>216</v>
      </c>
      <c r="P44" s="125"/>
      <c r="Q44" s="125"/>
      <c r="R44" s="125"/>
      <c r="S44" s="125"/>
      <c r="T44" s="125"/>
      <c r="U44" s="125"/>
      <c r="V44" s="125"/>
      <c r="W44" s="125"/>
    </row>
    <row r="45" spans="1:23" x14ac:dyDescent="0.35">
      <c r="A45" s="404">
        <v>60125</v>
      </c>
      <c r="B45" s="359"/>
      <c r="C45" s="498">
        <v>0</v>
      </c>
      <c r="D45" s="499" t="str">
        <f>VLOOKUP(A45,'Solvency Metric'!$G$2:$H$85,2,FALSE)</f>
        <v>Centura Health Adventist</v>
      </c>
      <c r="E45" s="500" t="str">
        <f>VLOOKUP($A45,'[1]Payer Mix 3 yrs avg'!$B$5:$N$101,11,FALSE)</f>
        <v>2019-2021</v>
      </c>
      <c r="F45" s="500">
        <f>VLOOKUP($A45,'[1]Payer Mix 3 yrs avg'!$B$5:$N$101,12,FALSE)</f>
        <v>0.17535081039921679</v>
      </c>
      <c r="G45" s="500" t="str">
        <f>VLOOKUP($A45,'[2]3 yr avg FY22-23'!$A$4:$L$89,11,FALSE)</f>
        <v>2019-2021</v>
      </c>
      <c r="H45" s="501">
        <f>VLOOKUP($A45,'[2]3 yr avg FY22-23'!$A$4:$L$89,12,FALSE)</f>
        <v>3462</v>
      </c>
      <c r="I45" s="502">
        <f>VLOOKUP($A45,'Solvency Metric'!$G$2:$AJ$85,28,FALSE)</f>
        <v>0.13287646694830385</v>
      </c>
      <c r="J45" s="502">
        <f>VLOOKUP($A45,'Solvency Metric'!$G$2:$AJ$85,29,FALSE)</f>
        <v>0.14947619686580935</v>
      </c>
      <c r="K45" s="502">
        <f>VLOOKUP($A45,'Solvency Metric'!$G$2:$AJ$85,30,FALSE)</f>
        <v>0.14947619686580935</v>
      </c>
      <c r="L45" s="502"/>
      <c r="M45" s="503" t="s">
        <v>216</v>
      </c>
      <c r="P45" s="125"/>
      <c r="Q45" s="125"/>
      <c r="R45" s="125"/>
      <c r="S45" s="125"/>
      <c r="T45" s="125"/>
      <c r="U45" s="125"/>
      <c r="V45" s="125"/>
      <c r="W45" s="125"/>
    </row>
    <row r="46" spans="1:23" x14ac:dyDescent="0.35">
      <c r="A46" s="404">
        <v>60126</v>
      </c>
      <c r="B46" s="359"/>
      <c r="C46" s="498">
        <v>0</v>
      </c>
      <c r="D46" s="499" t="str">
        <f>VLOOKUP(A46,'Solvency Metric'!$G$2:$H$85,2,FALSE)</f>
        <v>Banner Health</v>
      </c>
      <c r="E46" s="500" t="str">
        <f>VLOOKUP($A46,'[1]Payer Mix 3 yrs avg'!$B$5:$N$101,11,FALSE)</f>
        <v>2019-2021</v>
      </c>
      <c r="F46" s="500">
        <f>VLOOKUP($A46,'[1]Payer Mix 3 yrs avg'!$B$5:$N$101,12,FALSE)</f>
        <v>0.23298020858996468</v>
      </c>
      <c r="G46" s="500" t="str">
        <f>VLOOKUP($A46,'[2]3 yr avg FY22-23'!$A$4:$L$89,11,FALSE)</f>
        <v>2019-2021</v>
      </c>
      <c r="H46" s="501">
        <f>VLOOKUP($A46,'[2]3 yr avg FY22-23'!$A$4:$L$89,12,FALSE)</f>
        <v>1219</v>
      </c>
      <c r="I46" s="502">
        <f>VLOOKUP($A46,'Solvency Metric'!$G$2:$AJ$85,28,FALSE)</f>
        <v>0.14411966336267254</v>
      </c>
      <c r="J46" s="502">
        <f>VLOOKUP($A46,'Solvency Metric'!$G$2:$AJ$85,29,FALSE)</f>
        <v>0.11078338818904038</v>
      </c>
      <c r="K46" s="502">
        <f>VLOOKUP($A46,'Solvency Metric'!$G$2:$AJ$85,30,FALSE)</f>
        <v>0.14411966336267254</v>
      </c>
      <c r="L46" s="502"/>
      <c r="M46" s="503" t="s">
        <v>216</v>
      </c>
      <c r="P46" s="125"/>
      <c r="Q46" s="125"/>
      <c r="R46" s="125"/>
      <c r="S46" s="125"/>
      <c r="T46" s="125"/>
      <c r="U46" s="125"/>
      <c r="V46" s="125"/>
      <c r="W46" s="125"/>
    </row>
    <row r="47" spans="1:23" x14ac:dyDescent="0.35">
      <c r="A47" s="404">
        <v>60128</v>
      </c>
      <c r="B47" s="359"/>
      <c r="C47" s="498">
        <v>0</v>
      </c>
      <c r="D47" s="499" t="str">
        <f>VLOOKUP(A47,'Solvency Metric'!$G$2:$H$85,2,FALSE)</f>
        <v>UCHealth</v>
      </c>
      <c r="E47" s="500" t="str">
        <f>VLOOKUP($A47,'[1]Payer Mix 3 yrs avg'!$B$5:$N$101,11,FALSE)</f>
        <v>2020-2022</v>
      </c>
      <c r="F47" s="500">
        <f>VLOOKUP($A47,'[1]Payer Mix 3 yrs avg'!$B$5:$N$101,12,FALSE)</f>
        <v>0.24632651221491031</v>
      </c>
      <c r="G47" s="500" t="str">
        <f>VLOOKUP($A47,'[2]3 yr avg FY22-23'!$A$4:$L$89,11,FALSE)</f>
        <v>2020-2022</v>
      </c>
      <c r="H47" s="501">
        <f>VLOOKUP($A47,'[2]3 yr avg FY22-23'!$A$4:$L$89,12,FALSE)</f>
        <v>3150.6666666666665</v>
      </c>
      <c r="I47" s="502">
        <f>VLOOKUP($A47,'Solvency Metric'!$G$2:$AJ$85,28,FALSE)</f>
        <v>-1.1504216193017128E-2</v>
      </c>
      <c r="J47" s="502">
        <f>VLOOKUP($A47,'Solvency Metric'!$G$2:$AJ$85,29,FALSE)</f>
        <v>0.13728158862602113</v>
      </c>
      <c r="K47" s="502">
        <f>VLOOKUP($A47,'Solvency Metric'!$G$2:$AJ$85,30,FALSE)</f>
        <v>0.13728158862602113</v>
      </c>
      <c r="L47" s="502"/>
      <c r="M47" s="503" t="s">
        <v>216</v>
      </c>
      <c r="P47" s="125"/>
      <c r="Q47" s="125"/>
      <c r="R47" s="125"/>
      <c r="S47" s="125"/>
      <c r="T47" s="125"/>
      <c r="U47" s="125"/>
      <c r="V47" s="125"/>
      <c r="W47" s="125"/>
    </row>
    <row r="48" spans="1:23" x14ac:dyDescent="0.35">
      <c r="A48" s="404">
        <v>60129</v>
      </c>
      <c r="B48" s="359"/>
      <c r="C48" s="498">
        <v>0</v>
      </c>
      <c r="D48" s="499" t="str">
        <f>VLOOKUP(A48,'Solvency Metric'!$G$2:$H$85,2,FALSE)</f>
        <v>UCHealth</v>
      </c>
      <c r="E48" s="500" t="str">
        <f>VLOOKUP($A48,'[1]Payer Mix 3 yrs avg'!$B$5:$N$101,11,FALSE)</f>
        <v>2020-2022</v>
      </c>
      <c r="F48" s="500">
        <f>VLOOKUP($A48,'[1]Payer Mix 3 yrs avg'!$B$5:$N$101,12,FALSE)</f>
        <v>0.35973208849198296</v>
      </c>
      <c r="G48" s="500" t="str">
        <f>VLOOKUP($A48,'[2]3 yr avg FY22-23'!$A$4:$L$89,11,FALSE)</f>
        <v>2020-2022</v>
      </c>
      <c r="H48" s="501">
        <f>VLOOKUP($A48,'[2]3 yr avg FY22-23'!$A$4:$L$89,12,FALSE)</f>
        <v>970</v>
      </c>
      <c r="I48" s="502">
        <f>VLOOKUP($A48,'Solvency Metric'!$G$2:$AJ$85,28,FALSE)</f>
        <v>-0.27446086482968396</v>
      </c>
      <c r="J48" s="502">
        <f>VLOOKUP($A48,'Solvency Metric'!$G$2:$AJ$85,29,FALSE)</f>
        <v>0.13728158862602113</v>
      </c>
      <c r="K48" s="502">
        <f>VLOOKUP($A48,'Solvency Metric'!$G$2:$AJ$85,30,FALSE)</f>
        <v>0.13728158862602113</v>
      </c>
      <c r="L48" s="502"/>
      <c r="M48" s="503" t="s">
        <v>216</v>
      </c>
      <c r="P48" s="125"/>
      <c r="Q48" s="125"/>
      <c r="R48" s="125"/>
      <c r="S48" s="125"/>
      <c r="T48" s="125"/>
      <c r="U48" s="125"/>
      <c r="V48" s="125"/>
      <c r="W48" s="125"/>
    </row>
    <row r="49" spans="1:23" x14ac:dyDescent="0.35">
      <c r="A49" s="404">
        <v>60130</v>
      </c>
      <c r="B49" s="359"/>
      <c r="C49" s="498">
        <v>0</v>
      </c>
      <c r="D49" s="499" t="str">
        <f>VLOOKUP(A49,'Solvency Metric'!$G$2:$H$85,2,FALSE)</f>
        <v>UCHealth</v>
      </c>
      <c r="E49" s="500" t="str">
        <f>VLOOKUP($A49,'[1]Payer Mix 3 yrs avg'!$B$5:$N$101,11,FALSE)</f>
        <v>2020-2022</v>
      </c>
      <c r="F49" s="500">
        <f>VLOOKUP($A49,'[1]Payer Mix 3 yrs avg'!$B$5:$N$101,12,FALSE)</f>
        <v>0.18487525182085851</v>
      </c>
      <c r="G49" s="500" t="str">
        <f>VLOOKUP($A49,'[2]3 yr avg FY22-23'!$A$4:$L$89,11,FALSE)</f>
        <v>2020-2022</v>
      </c>
      <c r="H49" s="501">
        <f>VLOOKUP($A49,'[2]3 yr avg FY22-23'!$A$4:$L$89,12,FALSE)</f>
        <v>881.66666666666663</v>
      </c>
      <c r="I49" s="502">
        <f>VLOOKUP($A49,'Solvency Metric'!$G$2:$AJ$85,28,FALSE)</f>
        <v>-7.7370589742209353E-2</v>
      </c>
      <c r="J49" s="502">
        <f>VLOOKUP($A49,'Solvency Metric'!$G$2:$AJ$85,29,FALSE)</f>
        <v>0.13728158862602113</v>
      </c>
      <c r="K49" s="502">
        <f>VLOOKUP($A49,'Solvency Metric'!$G$2:$AJ$85,30,FALSE)</f>
        <v>0.13728158862602113</v>
      </c>
      <c r="L49" s="502"/>
      <c r="M49" s="503" t="s">
        <v>216</v>
      </c>
      <c r="P49" s="125"/>
      <c r="Q49" s="125"/>
      <c r="R49" s="125"/>
      <c r="S49" s="125"/>
      <c r="T49" s="125"/>
      <c r="U49" s="125"/>
      <c r="V49" s="125"/>
      <c r="W49" s="125"/>
    </row>
    <row r="50" spans="1:23" x14ac:dyDescent="0.35">
      <c r="A50" s="404">
        <v>60131</v>
      </c>
      <c r="B50" s="359"/>
      <c r="C50" s="498">
        <v>0</v>
      </c>
      <c r="D50" s="499" t="str">
        <f>VLOOKUP(A50,'Solvency Metric'!$G$2:$H$85,2,FALSE)</f>
        <v>UCHealth</v>
      </c>
      <c r="E50" s="508" t="str">
        <f>VLOOKUP($A50,'[1]Payer Mix 3 yrs avg'!$B$5:$N$101,11,FALSE)</f>
        <v>2021-2022</v>
      </c>
      <c r="F50" s="508">
        <f>VLOOKUP($A50,'[1]Payer Mix 3 yrs avg'!$B$5:$N$101,12,FALSE)</f>
        <v>0.23992352535573247</v>
      </c>
      <c r="G50" s="508" t="str">
        <f>VLOOKUP($A50,'[2]3 yr avg FY22-23'!$A$4:$L$89,11,FALSE)</f>
        <v>2021-2022</v>
      </c>
      <c r="H50" s="509">
        <f>VLOOKUP($A50,'[2]3 yr avg FY22-23'!$A$4:$L$89,12,FALSE)</f>
        <v>3311</v>
      </c>
      <c r="I50" s="505">
        <f>VLOOKUP($A50,'Solvency Metric'!$G$2:$AJ$85,28,FALSE)</f>
        <v>-0.10354143194711489</v>
      </c>
      <c r="J50" s="502">
        <f>VLOOKUP($A50,'Solvency Metric'!$G$2:$AJ$85,29,FALSE)</f>
        <v>0.13728158862602113</v>
      </c>
      <c r="K50" s="502">
        <f>VLOOKUP($A50,'Solvency Metric'!$G$2:$AJ$85,30,FALSE)</f>
        <v>0.13728158862602113</v>
      </c>
      <c r="L50" s="505" t="s">
        <v>3652</v>
      </c>
      <c r="M50" s="503" t="s">
        <v>216</v>
      </c>
    </row>
    <row r="51" spans="1:23" x14ac:dyDescent="0.35">
      <c r="A51" s="404">
        <v>60132</v>
      </c>
      <c r="B51" s="359"/>
      <c r="C51" s="498">
        <v>0</v>
      </c>
      <c r="D51" s="499" t="str">
        <f>VLOOKUP(A51,'Solvency Metric'!$G$2:$H$85,2,FALSE)</f>
        <v>UCHealth</v>
      </c>
      <c r="E51" s="508" t="str">
        <f>VLOOKUP($A51,'[1]Payer Mix 3 yrs avg'!$B$5:$N$101,11,FALSE)</f>
        <v>2021-2022</v>
      </c>
      <c r="F51" s="508">
        <f>VLOOKUP($A51,'[1]Payer Mix 3 yrs avg'!$B$5:$N$101,12,FALSE)</f>
        <v>0.15003509351389291</v>
      </c>
      <c r="G51" s="508" t="str">
        <f>VLOOKUP($A51,'[2]3 yr avg FY22-23'!$A$4:$L$89,11,FALSE)</f>
        <v>2021-2022</v>
      </c>
      <c r="H51" s="509">
        <f>VLOOKUP($A51,'[2]3 yr avg FY22-23'!$A$4:$L$89,12,FALSE)</f>
        <v>4934</v>
      </c>
      <c r="I51" s="502">
        <f>VLOOKUP($A51,'Solvency Metric'!$G$2:$AJ$85,28,FALSE)</f>
        <v>-0.28633896467202774</v>
      </c>
      <c r="J51" s="502">
        <f>VLOOKUP($A51,'Solvency Metric'!$G$2:$AJ$85,29,FALSE)</f>
        <v>0.13728158862602113</v>
      </c>
      <c r="K51" s="502">
        <f>VLOOKUP($A51,'Solvency Metric'!$G$2:$AJ$85,30,FALSE)</f>
        <v>0.13728158862602113</v>
      </c>
      <c r="L51" s="502"/>
      <c r="M51" s="503" t="s">
        <v>216</v>
      </c>
    </row>
    <row r="52" spans="1:23" x14ac:dyDescent="0.35">
      <c r="A52" s="404">
        <v>61300</v>
      </c>
      <c r="B52" s="359"/>
      <c r="C52" s="498">
        <v>1</v>
      </c>
      <c r="D52" s="499" t="str">
        <f>VLOOKUP(A52,'Solvency Metric'!$G$2:$H$85,2,FALSE)</f>
        <v/>
      </c>
      <c r="E52" s="500" t="str">
        <f>VLOOKUP($A52,'[1]Payer Mix 3 yrs avg'!$B$5:$N$101,11,FALSE)</f>
        <v>2019-2021</v>
      </c>
      <c r="F52" s="500">
        <f>VLOOKUP($A52,'[1]Payer Mix 3 yrs avg'!$B$5:$N$101,12,FALSE)</f>
        <v>0.59077631726772273</v>
      </c>
      <c r="G52" s="500" t="str">
        <f>VLOOKUP($A52,'[2]3 yr avg FY22-23'!$A$4:$L$89,11,FALSE)</f>
        <v>2019-2021</v>
      </c>
      <c r="H52" s="501">
        <f>VLOOKUP($A52,'[2]3 yr avg FY22-23'!$A$4:$L$89,12,FALSE)</f>
        <v>41</v>
      </c>
      <c r="I52" s="502">
        <f>VLOOKUP($A52,'Solvency Metric'!$G$2:$AJ$85,28,FALSE)</f>
        <v>1.5899704271495455E-2</v>
      </c>
      <c r="J52" s="502" t="str">
        <f>VLOOKUP($A52,'Solvency Metric'!$G$2:$AJ$85,29,FALSE)</f>
        <v>NA</v>
      </c>
      <c r="K52" s="502">
        <f>VLOOKUP($A52,'Solvency Metric'!$G$2:$AJ$85,30,FALSE)</f>
        <v>1.5899704271495455E-2</v>
      </c>
      <c r="L52" s="502"/>
      <c r="M52" s="503" t="s">
        <v>1</v>
      </c>
    </row>
    <row r="53" spans="1:23" x14ac:dyDescent="0.35">
      <c r="A53" s="404">
        <v>61301</v>
      </c>
      <c r="B53" s="359"/>
      <c r="C53" s="498">
        <v>1</v>
      </c>
      <c r="D53" s="499" t="str">
        <f>VLOOKUP(A53,'Solvency Metric'!$G$2:$H$85,2,FALSE)</f>
        <v/>
      </c>
      <c r="E53" s="500" t="str">
        <f>VLOOKUP($A53,'[1]Payer Mix 3 yrs avg'!$B$5:$N$101,11,FALSE)</f>
        <v>2019-2021</v>
      </c>
      <c r="F53" s="500">
        <f>VLOOKUP($A53,'[1]Payer Mix 3 yrs avg'!$B$5:$N$101,12,FALSE)</f>
        <v>8.3333333333333329E-2</v>
      </c>
      <c r="G53" s="500" t="str">
        <f>VLOOKUP($A53,'[2]3 yr avg FY22-23'!$A$4:$L$89,11,FALSE)</f>
        <v>2019-2021</v>
      </c>
      <c r="H53" s="501">
        <f>VLOOKUP($A53,'[2]3 yr avg FY22-23'!$A$4:$L$89,12,FALSE)</f>
        <v>510</v>
      </c>
      <c r="I53" s="502">
        <f>VLOOKUP($A53,'Solvency Metric'!$G$2:$AJ$85,28,FALSE)</f>
        <v>7.8762964515359038E-2</v>
      </c>
      <c r="J53" s="502" t="str">
        <f>VLOOKUP($A53,'Solvency Metric'!$G$2:$AJ$85,29,FALSE)</f>
        <v>NA</v>
      </c>
      <c r="K53" s="502">
        <f>VLOOKUP($A53,'Solvency Metric'!$G$2:$AJ$85,30,FALSE)</f>
        <v>7.8762964515359038E-2</v>
      </c>
      <c r="L53" s="502"/>
      <c r="M53" s="503" t="s">
        <v>1</v>
      </c>
    </row>
    <row r="54" spans="1:23" x14ac:dyDescent="0.35">
      <c r="A54" s="404">
        <v>61302</v>
      </c>
      <c r="B54" s="359"/>
      <c r="C54" s="498">
        <v>0</v>
      </c>
      <c r="D54" s="499" t="str">
        <f>VLOOKUP(A54,'Solvency Metric'!$G$2:$H$85,2,FALSE)</f>
        <v/>
      </c>
      <c r="E54" s="500" t="str">
        <f>VLOOKUP($A54,'[1]Payer Mix 3 yrs avg'!$B$5:$N$101,11,FALSE)</f>
        <v>2019-2021</v>
      </c>
      <c r="F54" s="500">
        <f>VLOOKUP($A54,'[1]Payer Mix 3 yrs avg'!$B$5:$N$101,12,FALSE)</f>
        <v>1.7947849644429394E-2</v>
      </c>
      <c r="G54" s="500" t="str">
        <f>VLOOKUP($A54,'[2]3 yr avg FY22-23'!$A$4:$L$89,11,FALSE)</f>
        <v>2019-2021</v>
      </c>
      <c r="H54" s="501">
        <f>VLOOKUP($A54,'[2]3 yr avg FY22-23'!$A$4:$L$89,12,FALSE)</f>
        <v>241</v>
      </c>
      <c r="I54" s="502">
        <f>VLOOKUP($A54,'Solvency Metric'!$G$2:$AJ$85,28,FALSE)</f>
        <v>0.19941145351523076</v>
      </c>
      <c r="J54" s="502" t="str">
        <f>VLOOKUP($A54,'Solvency Metric'!$G$2:$AJ$85,29,FALSE)</f>
        <v>NA</v>
      </c>
      <c r="K54" s="502">
        <f>VLOOKUP($A54,'Solvency Metric'!$G$2:$AJ$85,30,FALSE)</f>
        <v>0.19941145351523076</v>
      </c>
      <c r="L54" s="502"/>
      <c r="M54" s="503" t="s">
        <v>1</v>
      </c>
    </row>
    <row r="55" spans="1:23" x14ac:dyDescent="0.35">
      <c r="A55" s="404">
        <v>61303</v>
      </c>
      <c r="B55" s="359"/>
      <c r="C55" s="498">
        <v>1</v>
      </c>
      <c r="D55" s="499" t="str">
        <f>VLOOKUP(A55,'Solvency Metric'!$G$2:$H$85,2,FALSE)</f>
        <v>Banner Health</v>
      </c>
      <c r="E55" s="500" t="str">
        <f>VLOOKUP($A55,'[1]Payer Mix 3 yrs avg'!$B$5:$N$101,11,FALSE)</f>
        <v>2019-2021</v>
      </c>
      <c r="F55" s="500">
        <f>VLOOKUP($A55,'[1]Payer Mix 3 yrs avg'!$B$5:$N$101,12,FALSE)</f>
        <v>0.18094758064516128</v>
      </c>
      <c r="G55" s="500" t="str">
        <f>VLOOKUP($A55,'[2]3 yr avg FY22-23'!$A$4:$L$89,11,FALSE)</f>
        <v>2019-2021</v>
      </c>
      <c r="H55" s="501">
        <f>VLOOKUP($A55,'[2]3 yr avg FY22-23'!$A$4:$L$89,12,FALSE)</f>
        <v>446.66666666666669</v>
      </c>
      <c r="I55" s="502">
        <f>VLOOKUP($A55,'Solvency Metric'!$G$2:$AJ$85,28,FALSE)</f>
        <v>9.9096681800783515E-2</v>
      </c>
      <c r="J55" s="502">
        <f>VLOOKUP($A55,'Solvency Metric'!$G$2:$AJ$85,29,FALSE)</f>
        <v>0.11078338818904038</v>
      </c>
      <c r="K55" s="502">
        <f>VLOOKUP($A55,'Solvency Metric'!$G$2:$AJ$85,30,FALSE)</f>
        <v>0.11078338818904038</v>
      </c>
      <c r="L55" s="502"/>
      <c r="M55" s="503" t="s">
        <v>1</v>
      </c>
    </row>
    <row r="56" spans="1:23" x14ac:dyDescent="0.35">
      <c r="A56" s="404">
        <v>61304</v>
      </c>
      <c r="B56" s="359"/>
      <c r="C56" s="498">
        <v>1</v>
      </c>
      <c r="D56" s="499" t="str">
        <f>VLOOKUP(A56,'Solvency Metric'!$G$2:$H$85,2,FALSE)</f>
        <v/>
      </c>
      <c r="E56" s="500" t="str">
        <f>VLOOKUP($A56,'[1]Payer Mix 3 yrs avg'!$B$5:$N$101,11,FALSE)</f>
        <v>2019-2021</v>
      </c>
      <c r="F56" s="500">
        <f>VLOOKUP($A56,'[1]Payer Mix 3 yrs avg'!$B$5:$N$101,12,FALSE)</f>
        <v>0.55440162630369449</v>
      </c>
      <c r="G56" s="500" t="str">
        <f>VLOOKUP($A56,'[2]3 yr avg FY22-23'!$A$4:$L$89,11,FALSE)</f>
        <v>2019-2021</v>
      </c>
      <c r="H56" s="501">
        <f>VLOOKUP($A56,'[2]3 yr avg FY22-23'!$A$4:$L$89,12,FALSE)</f>
        <v>84</v>
      </c>
      <c r="I56" s="505">
        <f>VLOOKUP($A56,'Solvency Metric'!$G$2:$AJ$85,28,FALSE)</f>
        <v>0.19348240936563818</v>
      </c>
      <c r="J56" s="502" t="str">
        <f>VLOOKUP($A56,'Solvency Metric'!$G$2:$AJ$85,29,FALSE)</f>
        <v>NA</v>
      </c>
      <c r="K56" s="505">
        <f>VLOOKUP($A56,'Solvency Metric'!$G$2:$AJ$85,30,FALSE)</f>
        <v>0.19348240936563818</v>
      </c>
      <c r="L56" s="505" t="s">
        <v>3652</v>
      </c>
      <c r="M56" s="503" t="s">
        <v>1</v>
      </c>
    </row>
    <row r="57" spans="1:23" x14ac:dyDescent="0.35">
      <c r="A57" s="404">
        <v>61305</v>
      </c>
      <c r="B57" s="359"/>
      <c r="C57" s="498">
        <v>1</v>
      </c>
      <c r="D57" s="499" t="str">
        <f>VLOOKUP(A57,'Solvency Metric'!$G$2:$H$85,2,FALSE)</f>
        <v/>
      </c>
      <c r="E57" s="500" t="str">
        <f>VLOOKUP($A57,'[1]Payer Mix 3 yrs avg'!$B$5:$N$101,11,FALSE)</f>
        <v>2019-2021</v>
      </c>
      <c r="F57" s="500">
        <f>VLOOKUP($A57,'[1]Payer Mix 3 yrs avg'!$B$5:$N$101,12,FALSE)</f>
        <v>3.1353632800723542E-2</v>
      </c>
      <c r="G57" s="500" t="str">
        <f>VLOOKUP($A57,'[2]3 yr avg FY22-23'!$A$4:$L$89,11,FALSE)</f>
        <v>2019-2021</v>
      </c>
      <c r="H57" s="501">
        <f>VLOOKUP($A57,'[2]3 yr avg FY22-23'!$A$4:$L$89,12,FALSE)</f>
        <v>159</v>
      </c>
      <c r="I57" s="502">
        <f>VLOOKUP($A57,'Solvency Metric'!$G$2:$AJ$85,28,FALSE)</f>
        <v>7.9151047861141556E-3</v>
      </c>
      <c r="J57" s="502" t="str">
        <f>VLOOKUP($A57,'Solvency Metric'!$G$2:$AJ$85,29,FALSE)</f>
        <v>NA</v>
      </c>
      <c r="K57" s="502">
        <f>VLOOKUP($A57,'Solvency Metric'!$G$2:$AJ$85,30,FALSE)</f>
        <v>7.9151047861141556E-3</v>
      </c>
      <c r="L57" s="502"/>
      <c r="M57" s="503" t="s">
        <v>1</v>
      </c>
    </row>
    <row r="58" spans="1:23" x14ac:dyDescent="0.35">
      <c r="A58" s="404">
        <v>61306</v>
      </c>
      <c r="B58" s="359"/>
      <c r="C58" s="498">
        <v>1</v>
      </c>
      <c r="D58" s="499" t="str">
        <f>VLOOKUP(A58,'Solvency Metric'!$G$2:$H$85,2,FALSE)</f>
        <v/>
      </c>
      <c r="E58" s="500" t="str">
        <f>VLOOKUP($A58,'[1]Payer Mix 3 yrs avg'!$B$5:$N$101,11,FALSE)</f>
        <v>2019-2021</v>
      </c>
      <c r="F58" s="500">
        <f>VLOOKUP($A58,'[1]Payer Mix 3 yrs avg'!$B$5:$N$101,12,FALSE)</f>
        <v>4.3555032371983521E-2</v>
      </c>
      <c r="G58" s="500" t="str">
        <f>VLOOKUP($A58,'[2]3 yr avg FY22-23'!$A$4:$L$89,11,FALSE)</f>
        <v>2019-2021</v>
      </c>
      <c r="H58" s="501">
        <f>VLOOKUP($A58,'[2]3 yr avg FY22-23'!$A$4:$L$89,12,FALSE)</f>
        <v>160.66666666666666</v>
      </c>
      <c r="I58" s="502">
        <f>VLOOKUP($A58,'Solvency Metric'!$G$2:$AJ$85,28,FALSE)</f>
        <v>-8.4286668854770708E-2</v>
      </c>
      <c r="J58" s="502" t="str">
        <f>VLOOKUP($A58,'Solvency Metric'!$G$2:$AJ$85,29,FALSE)</f>
        <v>NA</v>
      </c>
      <c r="K58" s="502">
        <f>VLOOKUP($A58,'Solvency Metric'!$G$2:$AJ$85,30,FALSE)</f>
        <v>-8.4286668854770708E-2</v>
      </c>
      <c r="L58" s="502"/>
      <c r="M58" s="503" t="s">
        <v>1</v>
      </c>
    </row>
    <row r="59" spans="1:23" x14ac:dyDescent="0.35">
      <c r="A59" s="404">
        <v>61307</v>
      </c>
      <c r="B59" s="359"/>
      <c r="C59" s="498">
        <v>1</v>
      </c>
      <c r="D59" s="499" t="str">
        <f>VLOOKUP(A59,'Solvency Metric'!$G$2:$H$85,2,FALSE)</f>
        <v/>
      </c>
      <c r="E59" s="500" t="str">
        <f>VLOOKUP($A59,'[1]Payer Mix 3 yrs avg'!$B$5:$N$101,11,FALSE)</f>
        <v>2019-2021</v>
      </c>
      <c r="F59" s="500">
        <f>VLOOKUP($A59,'[1]Payer Mix 3 yrs avg'!$B$5:$N$101,12,FALSE)</f>
        <v>3.1976124493711361E-3</v>
      </c>
      <c r="G59" s="500" t="str">
        <f>VLOOKUP($A59,'[2]3 yr avg FY22-23'!$A$4:$L$89,11,FALSE)</f>
        <v>2019-2021</v>
      </c>
      <c r="H59" s="501">
        <f>VLOOKUP($A59,'[2]3 yr avg FY22-23'!$A$4:$L$89,12,FALSE)</f>
        <v>54</v>
      </c>
      <c r="I59" s="502">
        <f>VLOOKUP($A59,'Solvency Metric'!$G$2:$AJ$85,28,FALSE)</f>
        <v>-0.64408787112770138</v>
      </c>
      <c r="J59" s="502" t="str">
        <f>VLOOKUP($A59,'Solvency Metric'!$G$2:$AJ$85,29,FALSE)</f>
        <v>NA</v>
      </c>
      <c r="K59" s="502">
        <f>VLOOKUP($A59,'Solvency Metric'!$G$2:$AJ$85,30,FALSE)</f>
        <v>-0.64408787112770138</v>
      </c>
      <c r="L59" s="502"/>
      <c r="M59" s="503" t="s">
        <v>1</v>
      </c>
    </row>
    <row r="60" spans="1:23" x14ac:dyDescent="0.35">
      <c r="A60" s="403">
        <v>61308</v>
      </c>
      <c r="B60" s="410"/>
      <c r="C60" s="504">
        <v>1</v>
      </c>
      <c r="D60" s="499" t="str">
        <f>VLOOKUP(A60,'Solvency Metric'!$G$2:$H$85,2,FALSE)</f>
        <v>San Luis Valley</v>
      </c>
      <c r="E60" s="500" t="str">
        <f>VLOOKUP($A60,'[1]Payer Mix 3 yrs avg'!$B$5:$N$101,11,FALSE)</f>
        <v>2019-2021</v>
      </c>
      <c r="F60" s="500">
        <f>VLOOKUP($A60,'[1]Payer Mix 3 yrs avg'!$B$5:$N$101,12,FALSE)</f>
        <v>6.5253303964757703E-2</v>
      </c>
      <c r="G60" s="500" t="str">
        <f>VLOOKUP($A60,'[2]3 yr avg FY22-23'!$A$4:$L$89,11,FALSE)</f>
        <v>2019-2021</v>
      </c>
      <c r="H60" s="501">
        <f>VLOOKUP($A60,'[2]3 yr avg FY22-23'!$A$4:$L$89,12,FALSE)</f>
        <v>196.66666666666666</v>
      </c>
      <c r="I60" s="502">
        <f>VLOOKUP($A60,'Solvency Metric'!$G$2:$AJ$85,28,FALSE)</f>
        <v>0.13684968278536297</v>
      </c>
      <c r="J60" s="502">
        <f>VLOOKUP($A60,'Solvency Metric'!$G$2:$AJ$85,29,FALSE)</f>
        <v>6.7682572413602177E-2</v>
      </c>
      <c r="K60" s="502">
        <f>VLOOKUP($A60,'Solvency Metric'!$G$2:$AJ$85,30,FALSE)</f>
        <v>0.13684968278536297</v>
      </c>
      <c r="L60" s="502"/>
      <c r="M60" s="503" t="s">
        <v>1</v>
      </c>
    </row>
    <row r="61" spans="1:23" x14ac:dyDescent="0.35">
      <c r="A61" s="404">
        <v>61309</v>
      </c>
      <c r="B61" s="359"/>
      <c r="C61" s="498">
        <v>1</v>
      </c>
      <c r="D61" s="499" t="str">
        <f>VLOOKUP(A61,'Solvency Metric'!$G$2:$H$85,2,FALSE)</f>
        <v/>
      </c>
      <c r="E61" s="500" t="str">
        <f>VLOOKUP($A61,'[1]Payer Mix 3 yrs avg'!$B$5:$N$101,11,FALSE)</f>
        <v>2019-2021</v>
      </c>
      <c r="F61" s="500">
        <f>VLOOKUP($A61,'[1]Payer Mix 3 yrs avg'!$B$5:$N$101,12,FALSE)</f>
        <v>0.20957938244590324</v>
      </c>
      <c r="G61" s="500" t="str">
        <f>VLOOKUP($A61,'[2]3 yr avg FY22-23'!$A$4:$L$89,11,FALSE)</f>
        <v>2019-2021</v>
      </c>
      <c r="H61" s="501">
        <f>VLOOKUP($A61,'[2]3 yr avg FY22-23'!$A$4:$L$89,12,FALSE)</f>
        <v>330.33333333333331</v>
      </c>
      <c r="I61" s="502">
        <f>VLOOKUP($A61,'Solvency Metric'!$G$2:$AJ$85,28,FALSE)</f>
        <v>3.4864127491955513E-2</v>
      </c>
      <c r="J61" s="502" t="str">
        <f>VLOOKUP($A61,'Solvency Metric'!$G$2:$AJ$85,29,FALSE)</f>
        <v>NA</v>
      </c>
      <c r="K61" s="502">
        <f>VLOOKUP($A61,'Solvency Metric'!$G$2:$AJ$85,30,FALSE)</f>
        <v>3.4864127491955513E-2</v>
      </c>
      <c r="L61" s="502"/>
      <c r="M61" s="503" t="s">
        <v>1</v>
      </c>
    </row>
    <row r="62" spans="1:23" x14ac:dyDescent="0.35">
      <c r="A62" s="404">
        <v>61310</v>
      </c>
      <c r="B62" s="359"/>
      <c r="C62" s="498">
        <v>1</v>
      </c>
      <c r="D62" s="499" t="str">
        <f>VLOOKUP(A62,'Solvency Metric'!$G$2:$H$85,2,FALSE)</f>
        <v/>
      </c>
      <c r="E62" s="500" t="str">
        <f>VLOOKUP($A62,'[1]Payer Mix 3 yrs avg'!$B$5:$N$101,11,FALSE)</f>
        <v>2019-2021</v>
      </c>
      <c r="F62" s="500">
        <f>VLOOKUP($A62,'[1]Payer Mix 3 yrs avg'!$B$5:$N$101,12,FALSE)</f>
        <v>5.3429602888086646E-2</v>
      </c>
      <c r="G62" s="500" t="str">
        <f>VLOOKUP($A62,'[2]3 yr avg FY22-23'!$A$4:$L$89,11,FALSE)</f>
        <v>2019-2021</v>
      </c>
      <c r="H62" s="501">
        <f>VLOOKUP($A62,'[2]3 yr avg FY22-23'!$A$4:$L$89,12,FALSE)</f>
        <v>157.33333333333334</v>
      </c>
      <c r="I62" s="502">
        <f>VLOOKUP($A62,'Solvency Metric'!$G$2:$AJ$85,28,FALSE)</f>
        <v>0.15027139065411044</v>
      </c>
      <c r="J62" s="502" t="str">
        <f>VLOOKUP($A62,'Solvency Metric'!$G$2:$AJ$85,29,FALSE)</f>
        <v>NA</v>
      </c>
      <c r="K62" s="502">
        <f>VLOOKUP($A62,'Solvency Metric'!$G$2:$AJ$85,30,FALSE)</f>
        <v>0.15027139065411044</v>
      </c>
      <c r="L62" s="502"/>
      <c r="M62" s="503" t="s">
        <v>1</v>
      </c>
    </row>
    <row r="63" spans="1:23" x14ac:dyDescent="0.35">
      <c r="A63" s="404">
        <v>61311</v>
      </c>
      <c r="B63" s="359"/>
      <c r="C63" s="498">
        <v>1</v>
      </c>
      <c r="D63" s="499" t="str">
        <f>VLOOKUP(A63,'Solvency Metric'!$G$2:$H$85,2,FALSE)</f>
        <v/>
      </c>
      <c r="E63" s="500" t="str">
        <f>VLOOKUP($A63,'[1]Payer Mix 3 yrs avg'!$B$5:$N$101,11,FALSE)</f>
        <v>2019-2021</v>
      </c>
      <c r="F63" s="500">
        <f>VLOOKUP($A63,'[1]Payer Mix 3 yrs avg'!$B$5:$N$101,12,FALSE)</f>
        <v>4.5309268659522464E-2</v>
      </c>
      <c r="G63" s="500" t="str">
        <f>VLOOKUP($A63,'[2]3 yr avg FY22-23'!$A$4:$L$89,11,FALSE)</f>
        <v>2019-2021</v>
      </c>
      <c r="H63" s="501">
        <f>VLOOKUP($A63,'[2]3 yr avg FY22-23'!$A$4:$L$89,12,FALSE)</f>
        <v>169</v>
      </c>
      <c r="I63" s="502">
        <f>VLOOKUP($A63,'Solvency Metric'!$G$2:$AJ$85,28,FALSE)</f>
        <v>5.8608186462580973E-2</v>
      </c>
      <c r="J63" s="502" t="str">
        <f>VLOOKUP($A63,'Solvency Metric'!$G$2:$AJ$85,29,FALSE)</f>
        <v>NA</v>
      </c>
      <c r="K63" s="502">
        <f>VLOOKUP($A63,'Solvency Metric'!$G$2:$AJ$85,30,FALSE)</f>
        <v>5.8608186462580973E-2</v>
      </c>
      <c r="L63" s="502"/>
      <c r="M63" s="503" t="s">
        <v>1</v>
      </c>
    </row>
    <row r="64" spans="1:23" x14ac:dyDescent="0.35">
      <c r="A64" s="404">
        <v>61312</v>
      </c>
      <c r="B64" s="359"/>
      <c r="C64" s="498">
        <v>0</v>
      </c>
      <c r="D64" s="499" t="str">
        <f>VLOOKUP(A64,'Solvency Metric'!$G$2:$H$85,2,FALSE)</f>
        <v/>
      </c>
      <c r="E64" s="500" t="str">
        <f>VLOOKUP($A64,'[1]Payer Mix 3 yrs avg'!$B$5:$N$101,11,FALSE)</f>
        <v>2019-2021</v>
      </c>
      <c r="F64" s="500">
        <f>VLOOKUP($A64,'[1]Payer Mix 3 yrs avg'!$B$5:$N$101,12,FALSE)</f>
        <v>0.12982998454404945</v>
      </c>
      <c r="G64" s="500" t="str">
        <f>VLOOKUP($A64,'[2]3 yr avg FY22-23'!$A$4:$L$89,11,FALSE)</f>
        <v>2019-2021</v>
      </c>
      <c r="H64" s="501">
        <f>VLOOKUP($A64,'[2]3 yr avg FY22-23'!$A$4:$L$89,12,FALSE)</f>
        <v>334.33333333333331</v>
      </c>
      <c r="I64" s="502">
        <f>VLOOKUP($A64,'Solvency Metric'!$G$2:$AJ$85,28,FALSE)</f>
        <v>-2.941672640607693E-2</v>
      </c>
      <c r="J64" s="502" t="str">
        <f>VLOOKUP($A64,'Solvency Metric'!$G$2:$AJ$85,29,FALSE)</f>
        <v>NA</v>
      </c>
      <c r="K64" s="502">
        <f>VLOOKUP($A64,'Solvency Metric'!$G$2:$AJ$85,30,FALSE)</f>
        <v>-2.941672640607693E-2</v>
      </c>
      <c r="L64" s="502"/>
      <c r="M64" s="503" t="s">
        <v>1</v>
      </c>
    </row>
    <row r="65" spans="1:14" x14ac:dyDescent="0.35">
      <c r="A65" s="404">
        <v>61313</v>
      </c>
      <c r="B65" s="359"/>
      <c r="C65" s="498">
        <v>1</v>
      </c>
      <c r="D65" s="499" t="str">
        <f>VLOOKUP(A65,'Solvency Metric'!$G$2:$H$85,2,FALSE)</f>
        <v/>
      </c>
      <c r="E65" s="500" t="str">
        <f>VLOOKUP($A65,'[1]Payer Mix 3 yrs avg'!$B$5:$N$101,11,FALSE)</f>
        <v>2019-2021</v>
      </c>
      <c r="F65" s="500">
        <f>VLOOKUP($A65,'[1]Payer Mix 3 yrs avg'!$B$5:$N$101,12,FALSE)</f>
        <v>8.4668884185061993E-2</v>
      </c>
      <c r="G65" s="500" t="str">
        <f>VLOOKUP($A65,'[2]3 yr avg FY22-23'!$A$4:$L$89,11,FALSE)</f>
        <v>2019-2021</v>
      </c>
      <c r="H65" s="501">
        <f>VLOOKUP($A65,'[2]3 yr avg FY22-23'!$A$4:$L$89,12,FALSE)</f>
        <v>174</v>
      </c>
      <c r="I65" s="505">
        <f>VLOOKUP($A65,'Solvency Metric'!$G$2:$AJ$85,28,FALSE)</f>
        <v>8.1217043949852866E-2</v>
      </c>
      <c r="J65" s="502" t="str">
        <f>VLOOKUP($A65,'Solvency Metric'!$G$2:$AJ$85,29,FALSE)</f>
        <v>NA</v>
      </c>
      <c r="K65" s="505">
        <f>VLOOKUP($A65,'Solvency Metric'!$G$2:$AJ$85,30,FALSE)</f>
        <v>8.1217043949852866E-2</v>
      </c>
      <c r="L65" s="163" t="s">
        <v>3652</v>
      </c>
      <c r="M65" s="503" t="s">
        <v>1</v>
      </c>
    </row>
    <row r="66" spans="1:14" x14ac:dyDescent="0.35">
      <c r="A66" s="403">
        <v>61314</v>
      </c>
      <c r="B66" s="410"/>
      <c r="C66" s="504">
        <v>1</v>
      </c>
      <c r="D66" s="499" t="str">
        <f>VLOOKUP(A66,'Solvency Metric'!$G$2:$H$85,2,FALSE)</f>
        <v/>
      </c>
      <c r="E66" s="500" t="str">
        <f>VLOOKUP($A66,'[1]Payer Mix 3 yrs avg'!$B$5:$N$101,11,FALSE)</f>
        <v>2019-2021</v>
      </c>
      <c r="F66" s="500">
        <f>VLOOKUP($A66,'[1]Payer Mix 3 yrs avg'!$B$5:$N$101,12,FALSE)</f>
        <v>0.13065217391304348</v>
      </c>
      <c r="G66" s="500" t="str">
        <f>VLOOKUP($A66,'[2]3 yr avg FY22-23'!$A$4:$L$89,11,FALSE)</f>
        <v>2019-2021</v>
      </c>
      <c r="H66" s="501">
        <f>VLOOKUP($A66,'[2]3 yr avg FY22-23'!$A$4:$L$89,12,FALSE)</f>
        <v>652.66666666666663</v>
      </c>
      <c r="I66" s="505">
        <f>VLOOKUP($A66,'Solvency Metric'!$G$2:$AJ$85,28,FALSE)</f>
        <v>3.2605008260142399E-2</v>
      </c>
      <c r="J66" s="502" t="str">
        <f>VLOOKUP($A66,'Solvency Metric'!$G$2:$AJ$85,29,FALSE)</f>
        <v>NA</v>
      </c>
      <c r="K66" s="505">
        <f>VLOOKUP($A66,'Solvency Metric'!$G$2:$AJ$85,30,FALSE)</f>
        <v>3.2605008260142399E-2</v>
      </c>
      <c r="L66" s="163" t="s">
        <v>3652</v>
      </c>
      <c r="M66" s="503" t="s">
        <v>1</v>
      </c>
    </row>
    <row r="67" spans="1:14" x14ac:dyDescent="0.35">
      <c r="A67" s="403">
        <v>61315</v>
      </c>
      <c r="B67" s="410"/>
      <c r="C67" s="504">
        <v>1</v>
      </c>
      <c r="D67" s="499" t="str">
        <f>VLOOKUP(A67,'Solvency Metric'!$G$2:$H$85,2,FALSE)</f>
        <v/>
      </c>
      <c r="E67" s="500" t="str">
        <f>VLOOKUP($A67,'[1]Payer Mix 3 yrs avg'!$B$5:$N$101,11,FALSE)</f>
        <v>2019-2021</v>
      </c>
      <c r="F67" s="500">
        <f>VLOOKUP($A67,'[1]Payer Mix 3 yrs avg'!$B$5:$N$101,12,FALSE)</f>
        <v>9.8156879554222032E-2</v>
      </c>
      <c r="G67" s="500" t="str">
        <f>VLOOKUP($A67,'[2]3 yr avg FY22-23'!$A$4:$L$89,11,FALSE)</f>
        <v>2019-2021</v>
      </c>
      <c r="H67" s="501">
        <f>VLOOKUP($A67,'[2]3 yr avg FY22-23'!$A$4:$L$89,12,FALSE)</f>
        <v>178.66666666666666</v>
      </c>
      <c r="I67" s="505" t="str">
        <f>VLOOKUP($A67,'Solvency Metric'!$G$2:$AJ$85,28,FALSE)</f>
        <v>NA</v>
      </c>
      <c r="J67" s="502" t="str">
        <f>VLOOKUP($A67,'Solvency Metric'!$G$2:$AJ$85,29,FALSE)</f>
        <v>NA</v>
      </c>
      <c r="K67" s="505" t="str">
        <f>VLOOKUP($A67,'Solvency Metric'!$G$2:$AJ$85,30,FALSE)</f>
        <v>NA</v>
      </c>
      <c r="L67" s="163" t="s">
        <v>281</v>
      </c>
      <c r="M67" s="503" t="s">
        <v>1</v>
      </c>
    </row>
    <row r="68" spans="1:14" x14ac:dyDescent="0.35">
      <c r="A68" s="404">
        <v>61316</v>
      </c>
      <c r="B68" s="359"/>
      <c r="C68" s="498">
        <v>1</v>
      </c>
      <c r="D68" s="499" t="str">
        <f>VLOOKUP(A68,'Solvency Metric'!$G$2:$H$85,2,FALSE)</f>
        <v/>
      </c>
      <c r="E68" s="500" t="str">
        <f>VLOOKUP($A68,'[1]Payer Mix 3 yrs avg'!$B$5:$N$101,11,FALSE)</f>
        <v>2019-2021</v>
      </c>
      <c r="F68" s="500">
        <f>VLOOKUP($A68,'[1]Payer Mix 3 yrs avg'!$B$5:$N$101,12,FALSE)</f>
        <v>0.5881107364128304</v>
      </c>
      <c r="G68" s="500" t="str">
        <f>VLOOKUP($A68,'[2]3 yr avg FY22-23'!$A$4:$L$89,11,FALSE)</f>
        <v>2019-2021</v>
      </c>
      <c r="H68" s="501">
        <f>VLOOKUP($A68,'[2]3 yr avg FY22-23'!$A$4:$L$89,12,FALSE)</f>
        <v>153.33333333333334</v>
      </c>
      <c r="I68" s="502">
        <f>VLOOKUP($A68,'Solvency Metric'!$G$2:$AJ$85,28,FALSE)</f>
        <v>9.2403943339096128E-2</v>
      </c>
      <c r="J68" s="502" t="str">
        <f>VLOOKUP($A68,'Solvency Metric'!$G$2:$AJ$85,29,FALSE)</f>
        <v>NA</v>
      </c>
      <c r="K68" s="502">
        <f>VLOOKUP($A68,'Solvency Metric'!$G$2:$AJ$85,30,FALSE)</f>
        <v>9.2403943339096128E-2</v>
      </c>
      <c r="L68" s="139"/>
      <c r="M68" s="503" t="s">
        <v>1</v>
      </c>
    </row>
    <row r="69" spans="1:14" x14ac:dyDescent="0.35">
      <c r="A69" s="404">
        <v>61317</v>
      </c>
      <c r="B69" s="359"/>
      <c r="C69" s="498">
        <v>1</v>
      </c>
      <c r="D69" s="499" t="str">
        <f>VLOOKUP(A69,'Solvency Metric'!$G$2:$H$85,2,FALSE)</f>
        <v/>
      </c>
      <c r="E69" s="500" t="str">
        <f>VLOOKUP($A69,'[1]Payer Mix 3 yrs avg'!$B$5:$N$101,11,FALSE)</f>
        <v>2019-2021</v>
      </c>
      <c r="F69" s="500">
        <f>VLOOKUP($A69,'[1]Payer Mix 3 yrs avg'!$B$5:$N$101,12,FALSE)</f>
        <v>0.15332548557975278</v>
      </c>
      <c r="G69" s="500" t="str">
        <f>VLOOKUP($A69,'[2]3 yr avg FY22-23'!$A$4:$L$89,11,FALSE)</f>
        <v>2019-2021</v>
      </c>
      <c r="H69" s="501">
        <f>VLOOKUP($A69,'[2]3 yr avg FY22-23'!$A$4:$L$89,12,FALSE)</f>
        <v>562</v>
      </c>
      <c r="I69" s="502">
        <f>VLOOKUP($A69,'Solvency Metric'!$G$2:$AJ$85,28,FALSE)</f>
        <v>-6.457981076807344E-2</v>
      </c>
      <c r="J69" s="502" t="str">
        <f>VLOOKUP($A69,'Solvency Metric'!$G$2:$AJ$85,29,FALSE)</f>
        <v>NA</v>
      </c>
      <c r="K69" s="502">
        <f>VLOOKUP($A69,'Solvency Metric'!$G$2:$AJ$85,30,FALSE)</f>
        <v>-6.457981076807344E-2</v>
      </c>
      <c r="L69" s="139"/>
      <c r="M69" s="503" t="s">
        <v>1</v>
      </c>
    </row>
    <row r="70" spans="1:14" x14ac:dyDescent="0.35">
      <c r="A70" s="404">
        <v>61318</v>
      </c>
      <c r="B70" s="359"/>
      <c r="C70" s="498">
        <v>1</v>
      </c>
      <c r="D70" s="499" t="str">
        <f>VLOOKUP(A70,'Solvency Metric'!$G$2:$H$85,2,FALSE)</f>
        <v/>
      </c>
      <c r="E70" s="500" t="str">
        <f>VLOOKUP($A70,'[1]Payer Mix 3 yrs avg'!$B$5:$N$101,11,FALSE)</f>
        <v>2019-2021</v>
      </c>
      <c r="F70" s="500">
        <f>VLOOKUP($A70,'[1]Payer Mix 3 yrs avg'!$B$5:$N$101,12,FALSE)</f>
        <v>0.6103219079890525</v>
      </c>
      <c r="G70" s="500" t="str">
        <f>VLOOKUP($A70,'[2]3 yr avg FY22-23'!$A$4:$L$89,11,FALSE)</f>
        <v>2019-2021</v>
      </c>
      <c r="H70" s="501">
        <f>VLOOKUP($A70,'[2]3 yr avg FY22-23'!$A$4:$L$89,12,FALSE)</f>
        <v>139.33333333333334</v>
      </c>
      <c r="I70" s="505" t="str">
        <f>VLOOKUP($A70,'Solvency Metric'!$G$2:$AJ$85,28,FALSE)</f>
        <v>NA</v>
      </c>
      <c r="J70" s="502" t="str">
        <f>VLOOKUP($A70,'Solvency Metric'!$G$2:$AJ$85,29,FALSE)</f>
        <v>NA</v>
      </c>
      <c r="K70" s="505" t="str">
        <f>VLOOKUP($A70,'Solvency Metric'!$G$2:$AJ$85,30,FALSE)</f>
        <v>NA</v>
      </c>
      <c r="L70" s="163" t="s">
        <v>281</v>
      </c>
      <c r="M70" s="503" t="s">
        <v>1</v>
      </c>
    </row>
    <row r="71" spans="1:14" x14ac:dyDescent="0.35">
      <c r="A71" s="404">
        <v>61319</v>
      </c>
      <c r="B71" s="359"/>
      <c r="C71" s="498">
        <v>1</v>
      </c>
      <c r="D71" s="499" t="str">
        <f>VLOOKUP(A71,'Solvency Metric'!$G$2:$H$85,2,FALSE)</f>
        <v/>
      </c>
      <c r="E71" s="500" t="str">
        <f>VLOOKUP($A71,'[1]Payer Mix 3 yrs avg'!$B$5:$N$101,11,FALSE)</f>
        <v>2019-2021</v>
      </c>
      <c r="F71" s="500">
        <f>VLOOKUP($A71,'[1]Payer Mix 3 yrs avg'!$B$5:$N$101,12,FALSE)</f>
        <v>0.22429906542056074</v>
      </c>
      <c r="G71" s="500" t="str">
        <f>VLOOKUP($A71,'[2]3 yr avg FY22-23'!$A$4:$L$89,11,FALSE)</f>
        <v>2019-2021</v>
      </c>
      <c r="H71" s="501">
        <f>VLOOKUP($A71,'[2]3 yr avg FY22-23'!$A$4:$L$89,12,FALSE)</f>
        <v>107</v>
      </c>
      <c r="I71" s="505">
        <f>VLOOKUP($A71,'Solvency Metric'!$G$2:$AJ$85,28,FALSE)</f>
        <v>-0.17420085254531092</v>
      </c>
      <c r="J71" s="502" t="str">
        <f>VLOOKUP($A71,'Solvency Metric'!$G$2:$AJ$85,29,FALSE)</f>
        <v>NA</v>
      </c>
      <c r="K71" s="505">
        <f>VLOOKUP($A71,'Solvency Metric'!$G$2:$AJ$85,30,FALSE)</f>
        <v>-0.17420085254531092</v>
      </c>
      <c r="L71" s="510" t="s">
        <v>3722</v>
      </c>
      <c r="M71" s="503" t="s">
        <v>1</v>
      </c>
    </row>
    <row r="72" spans="1:14" x14ac:dyDescent="0.35">
      <c r="A72" s="404">
        <v>61320</v>
      </c>
      <c r="B72" s="359"/>
      <c r="C72" s="498">
        <v>1</v>
      </c>
      <c r="D72" s="499" t="str">
        <f>VLOOKUP(A72,'Solvency Metric'!$G$2:$H$85,2,FALSE)</f>
        <v/>
      </c>
      <c r="E72" s="500" t="str">
        <f>VLOOKUP($A72,'[1]Payer Mix 3 yrs avg'!$B$5:$N$101,11,FALSE)</f>
        <v>2019-2021</v>
      </c>
      <c r="F72" s="500">
        <f>VLOOKUP($A72,'[1]Payer Mix 3 yrs avg'!$B$5:$N$101,12,FALSE)</f>
        <v>9.7182461955702876E-2</v>
      </c>
      <c r="G72" s="500" t="str">
        <f>VLOOKUP($A72,'[2]3 yr avg FY22-23'!$A$4:$L$89,11,FALSE)</f>
        <v>2019-2021</v>
      </c>
      <c r="H72" s="501">
        <f>VLOOKUP($A72,'[2]3 yr avg FY22-23'!$A$4:$L$89,12,FALSE)</f>
        <v>514.33333333333337</v>
      </c>
      <c r="I72" s="502">
        <f>VLOOKUP($A72,'Solvency Metric'!$G$2:$AJ$85,28,FALSE)</f>
        <v>0.14003898401939613</v>
      </c>
      <c r="J72" s="502" t="str">
        <f>VLOOKUP($A72,'Solvency Metric'!$G$2:$AJ$85,29,FALSE)</f>
        <v>NA</v>
      </c>
      <c r="K72" s="502">
        <f>VLOOKUP($A72,'Solvency Metric'!$G$2:$AJ$85,30,FALSE)</f>
        <v>0.14003898401939613</v>
      </c>
      <c r="L72" s="502"/>
      <c r="M72" s="503" t="s">
        <v>1</v>
      </c>
      <c r="N72" s="9" t="s">
        <v>282</v>
      </c>
    </row>
    <row r="73" spans="1:14" x14ac:dyDescent="0.35">
      <c r="A73" s="404">
        <v>61321</v>
      </c>
      <c r="B73" s="359"/>
      <c r="C73" s="498">
        <v>1</v>
      </c>
      <c r="D73" s="499" t="str">
        <f>VLOOKUP(A73,'Solvency Metric'!$G$2:$H$85,2,FALSE)</f>
        <v/>
      </c>
      <c r="E73" s="500" t="str">
        <f>VLOOKUP($A73,'[1]Payer Mix 3 yrs avg'!$B$5:$N$101,11,FALSE)</f>
        <v>2019-2021</v>
      </c>
      <c r="F73" s="500">
        <f>VLOOKUP($A73,'[1]Payer Mix 3 yrs avg'!$B$5:$N$101,12,FALSE)</f>
        <v>0.15097300690521029</v>
      </c>
      <c r="G73" s="500" t="str">
        <f>VLOOKUP($A73,'[2]3 yr avg FY22-23'!$A$4:$L$89,11,FALSE)</f>
        <v>2019-2021</v>
      </c>
      <c r="H73" s="501">
        <f>VLOOKUP($A73,'[2]3 yr avg FY22-23'!$A$4:$L$89,12,FALSE)</f>
        <v>472.33333333333331</v>
      </c>
      <c r="I73" s="502">
        <f>VLOOKUP($A73,'Solvency Metric'!$G$2:$AJ$85,28,FALSE)</f>
        <v>0.13706438242955926</v>
      </c>
      <c r="J73" s="502" t="str">
        <f>VLOOKUP($A73,'Solvency Metric'!$G$2:$AJ$85,29,FALSE)</f>
        <v>NA</v>
      </c>
      <c r="K73" s="502">
        <f>VLOOKUP($A73,'Solvency Metric'!$G$2:$AJ$85,30,FALSE)</f>
        <v>0.13706438242955926</v>
      </c>
      <c r="L73" s="502"/>
      <c r="M73" s="503" t="s">
        <v>1</v>
      </c>
    </row>
    <row r="74" spans="1:14" x14ac:dyDescent="0.35">
      <c r="A74" s="404">
        <v>61322</v>
      </c>
      <c r="B74" s="359"/>
      <c r="C74" s="498">
        <v>1</v>
      </c>
      <c r="D74" s="499" t="str">
        <f>VLOOKUP(A74,'Solvency Metric'!$G$2:$H$85,2,FALSE)</f>
        <v/>
      </c>
      <c r="E74" s="500" t="str">
        <f>VLOOKUP($A74,'[1]Payer Mix 3 yrs avg'!$B$5:$N$101,11,FALSE)</f>
        <v>2019-2021</v>
      </c>
      <c r="F74" s="500">
        <f>VLOOKUP($A74,'[1]Payer Mix 3 yrs avg'!$B$5:$N$101,12,FALSE)</f>
        <v>0.14430231585987793</v>
      </c>
      <c r="G74" s="500" t="str">
        <f>VLOOKUP($A74,'[2]3 yr avg FY22-23'!$A$4:$L$89,11,FALSE)</f>
        <v>2019-2021</v>
      </c>
      <c r="H74" s="501">
        <f>VLOOKUP($A74,'[2]3 yr avg FY22-23'!$A$4:$L$89,12,FALSE)</f>
        <v>862</v>
      </c>
      <c r="I74" s="502">
        <f>VLOOKUP($A74,'Solvency Metric'!$G$2:$AJ$85,28,FALSE)</f>
        <v>0.11957108499674568</v>
      </c>
      <c r="J74" s="502" t="str">
        <f>VLOOKUP($A74,'Solvency Metric'!$G$2:$AJ$85,29,FALSE)</f>
        <v>NA</v>
      </c>
      <c r="K74" s="502">
        <f>VLOOKUP($A74,'Solvency Metric'!$G$2:$AJ$85,30,FALSE)</f>
        <v>0.11957108499674568</v>
      </c>
      <c r="L74" s="502"/>
      <c r="M74" s="503" t="s">
        <v>1</v>
      </c>
    </row>
    <row r="75" spans="1:14" x14ac:dyDescent="0.35">
      <c r="A75" s="404">
        <v>61323</v>
      </c>
      <c r="B75" s="359"/>
      <c r="C75" s="498">
        <v>1</v>
      </c>
      <c r="D75" s="499" t="str">
        <f>VLOOKUP(A75,'Solvency Metric'!$G$2:$H$85,2,FALSE)</f>
        <v/>
      </c>
      <c r="E75" s="500" t="str">
        <f>VLOOKUP($A75,'[1]Payer Mix 3 yrs avg'!$B$5:$N$101,11,FALSE)</f>
        <v>2019-2021</v>
      </c>
      <c r="F75" s="500">
        <f>VLOOKUP($A75,'[1]Payer Mix 3 yrs avg'!$B$5:$N$101,12,FALSE)</f>
        <v>0.20996998564530864</v>
      </c>
      <c r="G75" s="500" t="str">
        <f>VLOOKUP($A75,'[2]3 yr avg FY22-23'!$A$4:$L$89,11,FALSE)</f>
        <v>2019-2021</v>
      </c>
      <c r="H75" s="501">
        <f>VLOOKUP($A75,'[2]3 yr avg FY22-23'!$A$4:$L$89,12,FALSE)</f>
        <v>477</v>
      </c>
      <c r="I75" s="502">
        <f>VLOOKUP($A75,'Solvency Metric'!$G$2:$AJ$85,28,FALSE)</f>
        <v>5.9945448028832643E-2</v>
      </c>
      <c r="J75" s="502" t="str">
        <f>VLOOKUP($A75,'Solvency Metric'!$G$2:$AJ$85,29,FALSE)</f>
        <v>NA</v>
      </c>
      <c r="K75" s="502">
        <f>VLOOKUP($A75,'Solvency Metric'!$G$2:$AJ$85,30,FALSE)</f>
        <v>5.9945448028832643E-2</v>
      </c>
      <c r="L75" s="502"/>
      <c r="M75" s="503" t="s">
        <v>1</v>
      </c>
    </row>
    <row r="76" spans="1:14" x14ac:dyDescent="0.35">
      <c r="A76" s="404">
        <v>61324</v>
      </c>
      <c r="B76" s="359"/>
      <c r="C76" s="498">
        <v>1</v>
      </c>
      <c r="D76" s="499" t="str">
        <f>VLOOKUP(A76,'Solvency Metric'!$G$2:$H$85,2,FALSE)</f>
        <v/>
      </c>
      <c r="E76" s="500" t="str">
        <f>VLOOKUP($A76,'[1]Payer Mix 3 yrs avg'!$B$5:$N$101,11,FALSE)</f>
        <v>2019-2021</v>
      </c>
      <c r="F76" s="500">
        <f>VLOOKUP($A76,'[1]Payer Mix 3 yrs avg'!$B$5:$N$101,12,FALSE)</f>
        <v>0.11247611247611247</v>
      </c>
      <c r="G76" s="500" t="str">
        <f>VLOOKUP($A76,'[2]3 yr avg FY22-23'!$A$4:$L$89,11,FALSE)</f>
        <v>2019-2021</v>
      </c>
      <c r="H76" s="501">
        <f>VLOOKUP($A76,'[2]3 yr avg FY22-23'!$A$4:$L$89,12,FALSE)</f>
        <v>609.33333333333337</v>
      </c>
      <c r="I76" s="502">
        <f>VLOOKUP($A76,'Solvency Metric'!$G$2:$AJ$85,28,FALSE)</f>
        <v>8.327086248773681E-2</v>
      </c>
      <c r="J76" s="502" t="str">
        <f>VLOOKUP($A76,'Solvency Metric'!$G$2:$AJ$85,29,FALSE)</f>
        <v>NA</v>
      </c>
      <c r="K76" s="502">
        <f>VLOOKUP($A76,'Solvency Metric'!$G$2:$AJ$85,30,FALSE)</f>
        <v>8.327086248773681E-2</v>
      </c>
      <c r="L76" s="502"/>
      <c r="M76" s="503" t="s">
        <v>1</v>
      </c>
    </row>
    <row r="77" spans="1:14" s="145" customFormat="1" x14ac:dyDescent="0.35">
      <c r="A77" s="402">
        <v>61325</v>
      </c>
      <c r="B77" s="409"/>
      <c r="C77" s="511">
        <v>1</v>
      </c>
      <c r="D77" s="499" t="str">
        <f>VLOOKUP(A77,'Solvency Metric'!$G$2:$H$85,2,FALSE)</f>
        <v/>
      </c>
      <c r="E77" s="512" t="str">
        <f>VLOOKUP($A77,'[1]Payer Mix 3 yrs avg'!$B$5:$N$101,11,FALSE)</f>
        <v>2019-2021</v>
      </c>
      <c r="F77" s="512">
        <f>VLOOKUP($A77,'[1]Payer Mix 3 yrs avg'!$B$5:$N$101,12,FALSE)</f>
        <v>5.709846572149932E-2</v>
      </c>
      <c r="G77" s="512" t="str">
        <f>VLOOKUP($A77,'[2]3 yr avg FY22-23'!$A$4:$L$89,11,FALSE)</f>
        <v>2019-2021</v>
      </c>
      <c r="H77" s="513">
        <f>VLOOKUP($A77,'[2]3 yr avg FY22-23'!$A$4:$L$89,12,FALSE)</f>
        <v>527.33333333333337</v>
      </c>
      <c r="I77" s="502">
        <f>VLOOKUP($A77,'Solvency Metric'!$G$2:$AJ$85,28,FALSE)</f>
        <v>6.5030896094119578E-2</v>
      </c>
      <c r="J77" s="502" t="str">
        <f>VLOOKUP($A77,'Solvency Metric'!$G$2:$AJ$85,29,FALSE)</f>
        <v>NA</v>
      </c>
      <c r="K77" s="502">
        <f>VLOOKUP($A77,'Solvency Metric'!$G$2:$AJ$85,30,FALSE)</f>
        <v>6.5030896094119578E-2</v>
      </c>
      <c r="L77" s="502"/>
      <c r="M77" s="507" t="s">
        <v>1</v>
      </c>
      <c r="N77" s="164"/>
    </row>
    <row r="78" spans="1:14" x14ac:dyDescent="0.35">
      <c r="A78" s="404">
        <v>61326</v>
      </c>
      <c r="B78" s="359"/>
      <c r="C78" s="498">
        <v>0</v>
      </c>
      <c r="D78" s="499" t="str">
        <f>VLOOKUP(A78,'Solvency Metric'!$G$2:$H$85,2,FALSE)</f>
        <v>UCHealth</v>
      </c>
      <c r="E78" s="500" t="str">
        <f>VLOOKUP($A78,'[1]Payer Mix 3 yrs avg'!$B$5:$N$101,11,FALSE)</f>
        <v>2020-2022</v>
      </c>
      <c r="F78" s="500">
        <f>VLOOKUP($A78,'[1]Payer Mix 3 yrs avg'!$B$5:$N$101,12,FALSE)</f>
        <v>8.7494841106066853E-2</v>
      </c>
      <c r="G78" s="500" t="str">
        <f>VLOOKUP($A78,'[2]3 yr avg FY22-23'!$A$4:$L$89,11,FALSE)</f>
        <v>2020-2022</v>
      </c>
      <c r="H78" s="501">
        <f>VLOOKUP($A78,'[2]3 yr avg FY22-23'!$A$4:$L$89,12,FALSE)</f>
        <v>380.33333333333331</v>
      </c>
      <c r="I78" s="502">
        <f>VLOOKUP($A78,'Solvency Metric'!$G$2:$AJ$85,28,FALSE)</f>
        <v>3.2868581448096082E-2</v>
      </c>
      <c r="J78" s="502">
        <f>VLOOKUP($A78,'Solvency Metric'!$G$2:$AJ$85,29,FALSE)</f>
        <v>0.13728158862602113</v>
      </c>
      <c r="K78" s="502">
        <f>VLOOKUP($A78,'Solvency Metric'!$G$2:$AJ$85,30,FALSE)</f>
        <v>0.13728158862602113</v>
      </c>
      <c r="L78" s="502"/>
      <c r="M78" s="503" t="s">
        <v>1</v>
      </c>
    </row>
    <row r="79" spans="1:14" x14ac:dyDescent="0.35">
      <c r="A79" s="404">
        <v>61327</v>
      </c>
      <c r="B79" s="359"/>
      <c r="C79" s="498">
        <v>1</v>
      </c>
      <c r="D79" s="499" t="str">
        <f>VLOOKUP(A79,'Solvency Metric'!$G$2:$H$85,2,FALSE)</f>
        <v/>
      </c>
      <c r="E79" s="500" t="str">
        <f>VLOOKUP($A79,'[1]Payer Mix 3 yrs avg'!$B$5:$N$101,11,FALSE)</f>
        <v>2019-2021</v>
      </c>
      <c r="F79" s="500">
        <f>VLOOKUP($A79,'[1]Payer Mix 3 yrs avg'!$B$5:$N$101,12,FALSE)</f>
        <v>0.26763717805151177</v>
      </c>
      <c r="G79" s="500" t="str">
        <f>VLOOKUP($A79,'[2]3 yr avg FY22-23'!$A$4:$L$89,11,FALSE)</f>
        <v>2019-2021</v>
      </c>
      <c r="H79" s="501">
        <f>VLOOKUP($A79,'[2]3 yr avg FY22-23'!$A$4:$L$89,12,FALSE)</f>
        <v>926</v>
      </c>
      <c r="I79" s="505">
        <f>VLOOKUP($A79,'Solvency Metric'!$G$2:$AJ$85,28,FALSE)</f>
        <v>4.028176900777565E-2</v>
      </c>
      <c r="J79" s="502" t="str">
        <f>VLOOKUP($A79,'Solvency Metric'!$G$2:$AJ$85,29,FALSE)</f>
        <v>NA</v>
      </c>
      <c r="K79" s="505">
        <f>VLOOKUP($A79,'Solvency Metric'!$G$2:$AJ$85,30,FALSE)</f>
        <v>4.028176900777565E-2</v>
      </c>
      <c r="L79" s="505" t="s">
        <v>3652</v>
      </c>
      <c r="M79" s="503" t="s">
        <v>1</v>
      </c>
    </row>
    <row r="80" spans="1:14" x14ac:dyDescent="0.35">
      <c r="A80" s="404">
        <v>61328</v>
      </c>
      <c r="B80" s="359"/>
      <c r="C80" s="498">
        <v>1</v>
      </c>
      <c r="D80" s="499" t="str">
        <f>VLOOKUP(A80,'Solvency Metric'!$G$2:$H$85,2,FALSE)</f>
        <v/>
      </c>
      <c r="E80" s="500" t="str">
        <f>VLOOKUP($A80,'[1]Payer Mix 3 yrs avg'!$B$5:$N$101,11,FALSE)</f>
        <v>2019-2021</v>
      </c>
      <c r="F80" s="500">
        <f>VLOOKUP($A80,'[1]Payer Mix 3 yrs avg'!$B$5:$N$101,12,FALSE)</f>
        <v>0.13734224201930215</v>
      </c>
      <c r="G80" s="500" t="str">
        <f>VLOOKUP($A80,'[2]3 yr avg FY22-23'!$A$4:$L$89,11,FALSE)</f>
        <v>2019-2021</v>
      </c>
      <c r="H80" s="501">
        <f>VLOOKUP($A80,'[2]3 yr avg FY22-23'!$A$4:$L$89,12,FALSE)</f>
        <v>328.66666666666669</v>
      </c>
      <c r="I80" s="502">
        <f>VLOOKUP($A80,'Solvency Metric'!$G$2:$AJ$85,28,FALSE)</f>
        <v>9.5935379998104656E-2</v>
      </c>
      <c r="J80" s="502" t="str">
        <f>VLOOKUP($A80,'Solvency Metric'!$G$2:$AJ$85,29,FALSE)</f>
        <v>NA</v>
      </c>
      <c r="K80" s="502">
        <f>VLOOKUP($A80,'Solvency Metric'!$G$2:$AJ$85,30,FALSE)</f>
        <v>9.5935379998104656E-2</v>
      </c>
      <c r="L80" s="502"/>
      <c r="M80" s="503" t="s">
        <v>1</v>
      </c>
    </row>
    <row r="81" spans="1:13" x14ac:dyDescent="0.35">
      <c r="A81" s="404">
        <v>61336</v>
      </c>
      <c r="B81" s="359"/>
      <c r="C81" s="498">
        <v>1</v>
      </c>
      <c r="D81" s="499" t="str">
        <f>VLOOKUP(A81,'Solvency Metric'!$G$2:$H$85,2,FALSE)</f>
        <v/>
      </c>
      <c r="E81" s="500" t="str">
        <f>VLOOKUP($A81,'[1]Payer Mix 3 yrs avg'!$B$5:$N$101,11,FALSE)</f>
        <v>2020-2022</v>
      </c>
      <c r="F81" s="500">
        <f>VLOOKUP($A81,'[1]Payer Mix 3 yrs avg'!$B$5:$N$101,12,FALSE)</f>
        <v>0.32994546355974219</v>
      </c>
      <c r="G81" s="500" t="str">
        <f>VLOOKUP($A81,'[2]3 yr avg FY22-23'!$A$4:$L$89,11,FALSE)</f>
        <v>2020-2022</v>
      </c>
      <c r="H81" s="501">
        <f>VLOOKUP($A81,'[2]3 yr avg FY22-23'!$A$4:$L$89,12,FALSE)</f>
        <v>772.66666666666663</v>
      </c>
      <c r="I81" s="502">
        <f>VLOOKUP($A81,'Solvency Metric'!$G$2:$AJ$85,28,FALSE)</f>
        <v>-1.8590923962211681E-2</v>
      </c>
      <c r="J81" s="502" t="str">
        <f>VLOOKUP($A81,'Solvency Metric'!$G$2:$AJ$85,29,FALSE)</f>
        <v>NA</v>
      </c>
      <c r="K81" s="502">
        <f>VLOOKUP($A81,'Solvency Metric'!$G$2:$AJ$85,30,FALSE)</f>
        <v>-1.8590923962211681E-2</v>
      </c>
      <c r="L81" s="502"/>
      <c r="M81" s="503" t="s">
        <v>1</v>
      </c>
    </row>
    <row r="82" spans="1:13" x14ac:dyDescent="0.35">
      <c r="A82" s="404">
        <v>61343</v>
      </c>
      <c r="B82" s="359"/>
      <c r="C82" s="498">
        <v>1</v>
      </c>
      <c r="D82" s="499" t="str">
        <f>VLOOKUP(A82,'Solvency Metric'!$G$2:$H$85,2,FALSE)</f>
        <v/>
      </c>
      <c r="E82" s="500" t="str">
        <f>VLOOKUP($A82,'[1]Payer Mix 3 yrs avg'!$B$5:$N$101,11,FALSE)</f>
        <v>2019-2021</v>
      </c>
      <c r="F82" s="500">
        <f>VLOOKUP($A82,'[1]Payer Mix 3 yrs avg'!$B$5:$N$101,12,FALSE)</f>
        <v>8.3410565338276177E-2</v>
      </c>
      <c r="G82" s="500" t="str">
        <f>VLOOKUP($A82,'[2]3 yr avg FY22-23'!$A$4:$L$89,11,FALSE)</f>
        <v>2019-2021</v>
      </c>
      <c r="H82" s="501">
        <f>VLOOKUP($A82,'[2]3 yr avg FY22-23'!$A$4:$L$89,12,FALSE)</f>
        <v>44.333333333333336</v>
      </c>
      <c r="I82" s="502">
        <f>VLOOKUP($A82,'Solvency Metric'!$G$2:$AJ$85,28,FALSE)</f>
        <v>0.10390651491351255</v>
      </c>
      <c r="J82" s="502" t="str">
        <f>VLOOKUP($A82,'Solvency Metric'!$G$2:$AJ$85,29,FALSE)</f>
        <v>NA</v>
      </c>
      <c r="K82" s="502">
        <f>VLOOKUP($A82,'Solvency Metric'!$G$2:$AJ$85,30,FALSE)</f>
        <v>0.10390651491351255</v>
      </c>
      <c r="L82" s="502"/>
      <c r="M82" s="503" t="s">
        <v>1</v>
      </c>
    </row>
    <row r="83" spans="1:13" x14ac:dyDescent="0.35">
      <c r="A83" s="404">
        <v>61344</v>
      </c>
      <c r="B83" s="359"/>
      <c r="C83" s="498">
        <v>1</v>
      </c>
      <c r="D83" s="499" t="str">
        <f>VLOOKUP(A83,'Solvency Metric'!$G$2:$H$85,2,FALSE)</f>
        <v>Centura Health CHI</v>
      </c>
      <c r="E83" s="500" t="str">
        <f>VLOOKUP($A83,'[1]Payer Mix 3 yrs avg'!$B$5:$N$101,11,FALSE)</f>
        <v>2020-2022</v>
      </c>
      <c r="F83" s="500">
        <f>VLOOKUP($A83,'[1]Payer Mix 3 yrs avg'!$B$5:$N$101,12,FALSE)</f>
        <v>0.2799889898155794</v>
      </c>
      <c r="G83" s="500" t="str">
        <f>VLOOKUP($A83,'[2]3 yr avg FY22-23'!$A$4:$L$89,11,FALSE)</f>
        <v>2020-2022</v>
      </c>
      <c r="H83" s="501">
        <f>VLOOKUP($A83,'[2]3 yr avg FY22-23'!$A$4:$L$89,12,FALSE)</f>
        <v>1614</v>
      </c>
      <c r="I83" s="502">
        <f>VLOOKUP($A83,'Solvency Metric'!$G$2:$AJ$85,28,FALSE)</f>
        <v>0.21180492148608426</v>
      </c>
      <c r="J83" s="502">
        <f>VLOOKUP($A83,'Solvency Metric'!$G$2:$AJ$85,29,FALSE)</f>
        <v>0.18263437911393374</v>
      </c>
      <c r="K83" s="502">
        <f>VLOOKUP($A83,'Solvency Metric'!$G$2:$AJ$85,30,FALSE)</f>
        <v>0.21180492148608426</v>
      </c>
      <c r="L83" s="502"/>
      <c r="M83" s="503" t="s">
        <v>1</v>
      </c>
    </row>
    <row r="84" spans="1:13" x14ac:dyDescent="0.35">
      <c r="A84" s="404">
        <v>63301</v>
      </c>
      <c r="B84" s="359"/>
      <c r="C84" s="498">
        <v>2</v>
      </c>
      <c r="D84" s="499" t="str">
        <f>VLOOKUP(A84,'Solvency Metric'!$G$2:$H$85,2,FALSE)</f>
        <v>Childrens</v>
      </c>
      <c r="E84" s="500" t="str">
        <f>VLOOKUP($A84,'[1]Payer Mix 3 yrs avg'!$B$5:$N$101,11,FALSE)</f>
        <v>2019-2021</v>
      </c>
      <c r="F84" s="500">
        <f>VLOOKUP($A84,'[1]Payer Mix 3 yrs avg'!$B$5:$N$101,12,FALSE)</f>
        <v>0.52791608086061514</v>
      </c>
      <c r="G84" s="500" t="str">
        <f>VLOOKUP($A84,'[2]3 yr avg FY22-23'!$A$4:$L$89,11,FALSE)</f>
        <v>2019-2021</v>
      </c>
      <c r="H84" s="501">
        <f>VLOOKUP($A84,'[2]3 yr avg FY22-23'!$A$4:$L$89,12,FALSE)</f>
        <v>13759.666666666666</v>
      </c>
      <c r="I84" s="502">
        <f>VLOOKUP($A84,'Solvency Metric'!$G$2:$AJ$85,28,FALSE)</f>
        <v>0.1162220889930852</v>
      </c>
      <c r="J84" s="502">
        <f>VLOOKUP($A84,'Solvency Metric'!$G$2:$AJ$85,29,FALSE)</f>
        <v>0.10884472758062309</v>
      </c>
      <c r="K84" s="502">
        <f>VLOOKUP($A84,'Solvency Metric'!$G$2:$AJ$85,30,FALSE)</f>
        <v>0.1162220889930852</v>
      </c>
      <c r="L84" s="502"/>
      <c r="M84" s="503" t="s">
        <v>224</v>
      </c>
    </row>
    <row r="85" spans="1:13" x14ac:dyDescent="0.35">
      <c r="A85" s="404">
        <v>63303</v>
      </c>
      <c r="B85" s="359"/>
      <c r="C85" s="498">
        <v>2</v>
      </c>
      <c r="D85" s="499" t="str">
        <f>VLOOKUP(A85,'Solvency Metric'!$G$2:$H$85,2,FALSE)</f>
        <v>Childrens</v>
      </c>
      <c r="E85" s="508" t="str">
        <f>VLOOKUP($A85,'[1]Payer Mix 3 yrs avg'!$B$5:$N$101,11,FALSE)</f>
        <v>2020-2021</v>
      </c>
      <c r="F85" s="508">
        <f>VLOOKUP($A85,'[1]Payer Mix 3 yrs avg'!$B$5:$N$101,12,FALSE)</f>
        <v>0.53977997933507571</v>
      </c>
      <c r="G85" s="508" t="str">
        <f>VLOOKUP($A85,'[2]3 yr avg FY22-23'!$A$4:$L$89,11,FALSE)</f>
        <v>2020-2021</v>
      </c>
      <c r="H85" s="509">
        <f>VLOOKUP($A85,'[2]3 yr avg FY22-23'!$A$4:$L$89,12,FALSE)</f>
        <v>3403</v>
      </c>
      <c r="I85" s="502">
        <f>VLOOKUP($A85,'Solvency Metric'!$G$2:$AJ$85,28,FALSE)</f>
        <v>4.4369068483609525E-2</v>
      </c>
      <c r="J85" s="502">
        <f>VLOOKUP($A85,'Solvency Metric'!$G$2:$AJ$85,29,FALSE)</f>
        <v>0.10884472758062309</v>
      </c>
      <c r="K85" s="502">
        <f>VLOOKUP($A85,'Solvency Metric'!$G$2:$AJ$85,30,FALSE)</f>
        <v>0.10884472758062309</v>
      </c>
      <c r="L85" s="502"/>
      <c r="M85" s="503" t="s">
        <v>224</v>
      </c>
    </row>
    <row r="86" spans="1:13" x14ac:dyDescent="0.35">
      <c r="A86" s="191"/>
      <c r="B86" s="497"/>
      <c r="C86" s="191"/>
      <c r="E86" s="140"/>
      <c r="F86" s="140"/>
      <c r="G86" s="140"/>
      <c r="H86" s="140"/>
      <c r="I86" s="192"/>
      <c r="J86" s="192"/>
      <c r="K86" s="191"/>
    </row>
    <row r="88" spans="1:13" x14ac:dyDescent="0.35">
      <c r="A88" s="396"/>
    </row>
    <row r="89" spans="1:13" x14ac:dyDescent="0.35">
      <c r="A89" s="388"/>
    </row>
    <row r="90" spans="1:13" x14ac:dyDescent="0.35">
      <c r="A90" s="388"/>
    </row>
    <row r="91" spans="1:13" x14ac:dyDescent="0.35">
      <c r="A91" s="388"/>
    </row>
    <row r="92" spans="1:13" x14ac:dyDescent="0.35">
      <c r="A92" s="388"/>
    </row>
    <row r="93" spans="1:13" x14ac:dyDescent="0.35">
      <c r="A93" s="388"/>
    </row>
    <row r="94" spans="1:13" x14ac:dyDescent="0.35">
      <c r="A94" s="284"/>
    </row>
    <row r="95" spans="1:13" x14ac:dyDescent="0.35">
      <c r="A95" s="1">
        <v>1</v>
      </c>
      <c r="C95" s="1">
        <v>3</v>
      </c>
      <c r="D95" s="191">
        <v>4</v>
      </c>
      <c r="E95" s="192">
        <v>5</v>
      </c>
      <c r="F95" s="191">
        <v>6</v>
      </c>
      <c r="G95" s="191">
        <v>7</v>
      </c>
      <c r="H95" s="192">
        <v>8</v>
      </c>
      <c r="I95" s="191">
        <v>9</v>
      </c>
      <c r="J95" s="191">
        <v>10</v>
      </c>
      <c r="K95" s="192">
        <v>11</v>
      </c>
      <c r="L95" s="191">
        <v>12</v>
      </c>
      <c r="M95" s="191">
        <v>13</v>
      </c>
    </row>
  </sheetData>
  <autoFilter ref="A1:M86" xr:uid="{A04AB3A6-18DC-4AC3-8C22-03719DD055A8}"/>
  <sortState xmlns:xlrd2="http://schemas.microsoft.com/office/spreadsheetml/2017/richdata2" ref="P2:W49">
    <sortCondition ref="S2:S49"/>
  </sortState>
  <pageMargins left="0.7" right="0.7" top="0.75" bottom="0.75" header="0.3" footer="0.3"/>
  <pageSetup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C8C7-9BB3-4A0E-8DE8-0E74F932433F}">
  <sheetPr>
    <tabColor rgb="FF00B0F0"/>
  </sheetPr>
  <dimension ref="A1:B65"/>
  <sheetViews>
    <sheetView workbookViewId="0">
      <pane ySplit="1" topLeftCell="A2" activePane="bottomLeft" state="frozen"/>
      <selection activeCell="M2" sqref="M2:M85"/>
      <selection pane="bottomLeft" activeCell="C7" sqref="C7"/>
    </sheetView>
  </sheetViews>
  <sheetFormatPr defaultRowHeight="14.5" x14ac:dyDescent="0.35"/>
  <cols>
    <col min="1" max="1" width="29" customWidth="1"/>
    <col min="2" max="2" width="69.6328125" customWidth="1"/>
  </cols>
  <sheetData>
    <row r="1" spans="1:2" ht="32.5" customHeight="1" x14ac:dyDescent="0.35">
      <c r="A1" s="625" t="s">
        <v>422</v>
      </c>
      <c r="B1" s="625"/>
    </row>
    <row r="2" spans="1:2" ht="46.5" customHeight="1" x14ac:dyDescent="0.35">
      <c r="A2" s="626" t="s">
        <v>423</v>
      </c>
      <c r="B2" s="626"/>
    </row>
    <row r="3" spans="1:2" ht="61.5" customHeight="1" thickBot="1" x14ac:dyDescent="0.4">
      <c r="A3" s="627" t="s">
        <v>424</v>
      </c>
      <c r="B3" s="627"/>
    </row>
    <row r="4" spans="1:2" ht="15" thickBot="1" x14ac:dyDescent="0.4">
      <c r="A4" s="257" t="s">
        <v>324</v>
      </c>
      <c r="B4" s="258" t="s">
        <v>425</v>
      </c>
    </row>
    <row r="5" spans="1:2" ht="15" thickBot="1" x14ac:dyDescent="0.4">
      <c r="A5" s="259" t="s">
        <v>325</v>
      </c>
      <c r="B5" s="260" t="s">
        <v>426</v>
      </c>
    </row>
    <row r="6" spans="1:2" ht="46.5" thickBot="1" x14ac:dyDescent="0.4">
      <c r="A6" s="261" t="s">
        <v>326</v>
      </c>
      <c r="B6" s="262" t="s">
        <v>427</v>
      </c>
    </row>
    <row r="7" spans="1:2" ht="15" thickBot="1" x14ac:dyDescent="0.4">
      <c r="A7" s="261" t="s">
        <v>327</v>
      </c>
      <c r="B7" s="262" t="s">
        <v>428</v>
      </c>
    </row>
    <row r="8" spans="1:2" ht="15" thickBot="1" x14ac:dyDescent="0.4">
      <c r="A8" s="263" t="s">
        <v>429</v>
      </c>
      <c r="B8" s="264" t="s">
        <v>430</v>
      </c>
    </row>
    <row r="9" spans="1:2" ht="23.5" thickBot="1" x14ac:dyDescent="0.4">
      <c r="A9" s="263" t="s">
        <v>431</v>
      </c>
      <c r="B9" s="264" t="s">
        <v>432</v>
      </c>
    </row>
    <row r="10" spans="1:2" ht="35" thickBot="1" x14ac:dyDescent="0.4">
      <c r="A10" s="263" t="s">
        <v>330</v>
      </c>
      <c r="B10" s="264" t="s">
        <v>433</v>
      </c>
    </row>
    <row r="11" spans="1:2" ht="69.5" thickBot="1" x14ac:dyDescent="0.4">
      <c r="A11" s="263" t="s">
        <v>434</v>
      </c>
      <c r="B11" s="264" t="s">
        <v>435</v>
      </c>
    </row>
    <row r="12" spans="1:2" ht="15" thickBot="1" x14ac:dyDescent="0.4">
      <c r="A12" s="263" t="s">
        <v>332</v>
      </c>
      <c r="B12" s="264" t="s">
        <v>436</v>
      </c>
    </row>
    <row r="13" spans="1:2" ht="15" thickBot="1" x14ac:dyDescent="0.4">
      <c r="A13" s="263" t="s">
        <v>333</v>
      </c>
      <c r="B13" s="264" t="s">
        <v>437</v>
      </c>
    </row>
    <row r="14" spans="1:2" ht="35" thickBot="1" x14ac:dyDescent="0.4">
      <c r="A14" s="263" t="s">
        <v>334</v>
      </c>
      <c r="B14" s="264" t="s">
        <v>438</v>
      </c>
    </row>
    <row r="15" spans="1:2" ht="58" thickBot="1" x14ac:dyDescent="0.4">
      <c r="A15" s="271" t="s">
        <v>439</v>
      </c>
      <c r="B15" s="270" t="s">
        <v>440</v>
      </c>
    </row>
    <row r="16" spans="1:2" ht="15" thickBot="1" x14ac:dyDescent="0.4">
      <c r="A16" s="263" t="s">
        <v>336</v>
      </c>
      <c r="B16" s="264" t="s">
        <v>441</v>
      </c>
    </row>
    <row r="17" spans="1:2" ht="15" thickBot="1" x14ac:dyDescent="0.4">
      <c r="A17" s="263" t="s">
        <v>442</v>
      </c>
      <c r="B17" s="264" t="s">
        <v>443</v>
      </c>
    </row>
    <row r="18" spans="1:2" ht="35" thickBot="1" x14ac:dyDescent="0.4">
      <c r="A18" s="263" t="s">
        <v>338</v>
      </c>
      <c r="B18" s="264" t="s">
        <v>444</v>
      </c>
    </row>
    <row r="19" spans="1:2" ht="23.5" thickBot="1" x14ac:dyDescent="0.4">
      <c r="A19" s="263" t="s">
        <v>445</v>
      </c>
      <c r="B19" s="264" t="s">
        <v>446</v>
      </c>
    </row>
    <row r="20" spans="1:2" ht="23.5" thickBot="1" x14ac:dyDescent="0.4">
      <c r="A20" s="263" t="s">
        <v>447</v>
      </c>
      <c r="B20" s="264" t="s">
        <v>448</v>
      </c>
    </row>
    <row r="21" spans="1:2" ht="23.5" thickBot="1" x14ac:dyDescent="0.4">
      <c r="A21" s="263" t="s">
        <v>341</v>
      </c>
      <c r="B21" s="264" t="s">
        <v>449</v>
      </c>
    </row>
    <row r="22" spans="1:2" ht="15" thickBot="1" x14ac:dyDescent="0.4">
      <c r="A22" s="263" t="s">
        <v>342</v>
      </c>
      <c r="B22" s="264" t="s">
        <v>450</v>
      </c>
    </row>
    <row r="23" spans="1:2" ht="23.5" thickBot="1" x14ac:dyDescent="0.4">
      <c r="A23" s="263" t="s">
        <v>343</v>
      </c>
      <c r="B23" s="264" t="s">
        <v>451</v>
      </c>
    </row>
    <row r="24" spans="1:2" ht="15" thickBot="1" x14ac:dyDescent="0.4">
      <c r="A24" s="263" t="s">
        <v>452</v>
      </c>
      <c r="B24" s="264" t="s">
        <v>453</v>
      </c>
    </row>
    <row r="25" spans="1:2" ht="23.5" thickBot="1" x14ac:dyDescent="0.4">
      <c r="A25" s="263" t="s">
        <v>345</v>
      </c>
      <c r="B25" s="264" t="s">
        <v>454</v>
      </c>
    </row>
    <row r="26" spans="1:2" ht="15" thickBot="1" x14ac:dyDescent="0.4">
      <c r="A26" s="269" t="s">
        <v>346</v>
      </c>
      <c r="B26" s="270" t="s">
        <v>455</v>
      </c>
    </row>
    <row r="27" spans="1:2" ht="15" thickBot="1" x14ac:dyDescent="0.4">
      <c r="A27" s="269" t="s">
        <v>347</v>
      </c>
      <c r="B27" s="270" t="s">
        <v>456</v>
      </c>
    </row>
    <row r="28" spans="1:2" ht="35" thickBot="1" x14ac:dyDescent="0.4">
      <c r="A28" s="263" t="s">
        <v>348</v>
      </c>
      <c r="B28" s="264" t="s">
        <v>457</v>
      </c>
    </row>
    <row r="29" spans="1:2" ht="23.5" thickBot="1" x14ac:dyDescent="0.4">
      <c r="A29" s="265" t="s">
        <v>349</v>
      </c>
      <c r="B29" s="264" t="s">
        <v>458</v>
      </c>
    </row>
    <row r="30" spans="1:2" ht="15" thickBot="1" x14ac:dyDescent="0.4">
      <c r="A30" s="261" t="s">
        <v>350</v>
      </c>
      <c r="B30" s="262" t="s">
        <v>459</v>
      </c>
    </row>
    <row r="31" spans="1:2" ht="23.5" thickBot="1" x14ac:dyDescent="0.4">
      <c r="A31" s="265" t="s">
        <v>351</v>
      </c>
      <c r="B31" s="264" t="s">
        <v>460</v>
      </c>
    </row>
    <row r="32" spans="1:2" ht="92.5" thickBot="1" x14ac:dyDescent="0.4">
      <c r="A32" s="261" t="s">
        <v>352</v>
      </c>
      <c r="B32" s="262" t="s">
        <v>461</v>
      </c>
    </row>
    <row r="33" spans="1:2" ht="115.5" thickBot="1" x14ac:dyDescent="0.4">
      <c r="A33" s="261" t="s">
        <v>462</v>
      </c>
      <c r="B33" s="262" t="s">
        <v>463</v>
      </c>
    </row>
    <row r="34" spans="1:2" ht="69.5" thickBot="1" x14ac:dyDescent="0.4">
      <c r="A34" s="261" t="s">
        <v>354</v>
      </c>
      <c r="B34" s="262" t="s">
        <v>464</v>
      </c>
    </row>
    <row r="35" spans="1:2" ht="58" thickBot="1" x14ac:dyDescent="0.4">
      <c r="A35" s="261" t="s">
        <v>355</v>
      </c>
      <c r="B35" s="262" t="s">
        <v>465</v>
      </c>
    </row>
    <row r="36" spans="1:2" ht="23.5" thickBot="1" x14ac:dyDescent="0.4">
      <c r="A36" s="263" t="s">
        <v>356</v>
      </c>
      <c r="B36" s="264" t="s">
        <v>466</v>
      </c>
    </row>
    <row r="37" spans="1:2" ht="23.5" thickBot="1" x14ac:dyDescent="0.4">
      <c r="A37" s="263" t="s">
        <v>357</v>
      </c>
      <c r="B37" s="264" t="s">
        <v>467</v>
      </c>
    </row>
    <row r="38" spans="1:2" ht="35" thickBot="1" x14ac:dyDescent="0.4">
      <c r="A38" s="272" t="s">
        <v>358</v>
      </c>
      <c r="B38" s="273" t="s">
        <v>468</v>
      </c>
    </row>
    <row r="39" spans="1:2" ht="23.5" thickBot="1" x14ac:dyDescent="0.4">
      <c r="A39" s="263" t="s">
        <v>359</v>
      </c>
      <c r="B39" s="264" t="s">
        <v>469</v>
      </c>
    </row>
    <row r="40" spans="1:2" ht="23.5" thickBot="1" x14ac:dyDescent="0.4">
      <c r="A40" s="263" t="s">
        <v>470</v>
      </c>
      <c r="B40" s="264" t="s">
        <v>471</v>
      </c>
    </row>
    <row r="41" spans="1:2" ht="15" thickBot="1" x14ac:dyDescent="0.4">
      <c r="A41" s="265" t="s">
        <v>361</v>
      </c>
      <c r="B41" s="264" t="s">
        <v>472</v>
      </c>
    </row>
    <row r="42" spans="1:2" ht="23.5" thickBot="1" x14ac:dyDescent="0.4">
      <c r="A42" s="261" t="s">
        <v>362</v>
      </c>
      <c r="B42" s="262" t="s">
        <v>473</v>
      </c>
    </row>
    <row r="43" spans="1:2" ht="23.5" thickBot="1" x14ac:dyDescent="0.4">
      <c r="A43" s="263" t="s">
        <v>363</v>
      </c>
      <c r="B43" s="264" t="s">
        <v>474</v>
      </c>
    </row>
    <row r="44" spans="1:2" ht="35" thickBot="1" x14ac:dyDescent="0.4">
      <c r="A44" s="263" t="s">
        <v>364</v>
      </c>
      <c r="B44" s="264" t="s">
        <v>475</v>
      </c>
    </row>
    <row r="45" spans="1:2" ht="35" thickBot="1" x14ac:dyDescent="0.4">
      <c r="A45" s="263" t="s">
        <v>365</v>
      </c>
      <c r="B45" s="264" t="s">
        <v>476</v>
      </c>
    </row>
    <row r="46" spans="1:2" ht="15" thickBot="1" x14ac:dyDescent="0.4">
      <c r="A46" s="263" t="s">
        <v>366</v>
      </c>
      <c r="B46" s="264" t="s">
        <v>477</v>
      </c>
    </row>
    <row r="47" spans="1:2" ht="23.5" thickBot="1" x14ac:dyDescent="0.4">
      <c r="A47" s="263" t="s">
        <v>367</v>
      </c>
      <c r="B47" s="264" t="s">
        <v>478</v>
      </c>
    </row>
    <row r="48" spans="1:2" ht="23.5" thickBot="1" x14ac:dyDescent="0.4">
      <c r="A48" s="263" t="s">
        <v>368</v>
      </c>
      <c r="B48" s="264" t="s">
        <v>479</v>
      </c>
    </row>
    <row r="49" spans="1:2" ht="35" thickBot="1" x14ac:dyDescent="0.4">
      <c r="A49" s="263" t="s">
        <v>369</v>
      </c>
      <c r="B49" s="264" t="s">
        <v>480</v>
      </c>
    </row>
    <row r="50" spans="1:2" ht="35" thickBot="1" x14ac:dyDescent="0.4">
      <c r="A50" s="263" t="s">
        <v>370</v>
      </c>
      <c r="B50" s="264" t="s">
        <v>481</v>
      </c>
    </row>
    <row r="51" spans="1:2" ht="15" thickBot="1" x14ac:dyDescent="0.4">
      <c r="A51" s="269" t="s">
        <v>371</v>
      </c>
      <c r="B51" s="270" t="s">
        <v>482</v>
      </c>
    </row>
    <row r="52" spans="1:2" ht="23.5" thickBot="1" x14ac:dyDescent="0.4">
      <c r="A52" s="263" t="s">
        <v>372</v>
      </c>
      <c r="B52" s="264" t="s">
        <v>483</v>
      </c>
    </row>
    <row r="53" spans="1:2" ht="23.5" thickBot="1" x14ac:dyDescent="0.4">
      <c r="A53" s="263" t="s">
        <v>373</v>
      </c>
      <c r="B53" s="264" t="s">
        <v>484</v>
      </c>
    </row>
    <row r="54" spans="1:2" ht="23.5" thickBot="1" x14ac:dyDescent="0.4">
      <c r="A54" s="263" t="s">
        <v>374</v>
      </c>
      <c r="B54" s="264" t="s">
        <v>485</v>
      </c>
    </row>
    <row r="55" spans="1:2" ht="15" thickBot="1" x14ac:dyDescent="0.4">
      <c r="A55" s="265" t="s">
        <v>375</v>
      </c>
      <c r="B55" s="264" t="s">
        <v>486</v>
      </c>
    </row>
    <row r="56" spans="1:2" ht="15" thickBot="1" x14ac:dyDescent="0.4">
      <c r="A56" s="266" t="s">
        <v>376</v>
      </c>
      <c r="B56" s="264" t="s">
        <v>487</v>
      </c>
    </row>
    <row r="57" spans="1:2" ht="35" thickBot="1" x14ac:dyDescent="0.4">
      <c r="A57" s="261" t="s">
        <v>488</v>
      </c>
      <c r="B57" s="262" t="s">
        <v>489</v>
      </c>
    </row>
    <row r="58" spans="1:2" ht="23.5" thickBot="1" x14ac:dyDescent="0.4">
      <c r="A58" s="290" t="s">
        <v>378</v>
      </c>
      <c r="B58" s="291" t="s">
        <v>490</v>
      </c>
    </row>
    <row r="59" spans="1:2" ht="35" thickBot="1" x14ac:dyDescent="0.4">
      <c r="A59" s="290" t="s">
        <v>379</v>
      </c>
      <c r="B59" s="291" t="s">
        <v>491</v>
      </c>
    </row>
    <row r="60" spans="1:2" ht="81" thickBot="1" x14ac:dyDescent="0.4">
      <c r="A60" s="272" t="s">
        <v>380</v>
      </c>
      <c r="B60" s="273" t="s">
        <v>492</v>
      </c>
    </row>
    <row r="61" spans="1:2" ht="81" thickBot="1" x14ac:dyDescent="0.4">
      <c r="A61" s="272" t="s">
        <v>381</v>
      </c>
      <c r="B61" s="273" t="s">
        <v>493</v>
      </c>
    </row>
    <row r="62" spans="1:2" ht="23.5" thickBot="1" x14ac:dyDescent="0.4">
      <c r="A62" s="261" t="s">
        <v>382</v>
      </c>
      <c r="B62" s="262" t="s">
        <v>494</v>
      </c>
    </row>
    <row r="63" spans="1:2" x14ac:dyDescent="0.35">
      <c r="A63" s="628" t="s">
        <v>495</v>
      </c>
      <c r="B63" s="628"/>
    </row>
    <row r="64" spans="1:2" x14ac:dyDescent="0.35">
      <c r="A64" s="629" t="s">
        <v>496</v>
      </c>
      <c r="B64" s="629"/>
    </row>
    <row r="65" spans="1:1" x14ac:dyDescent="0.35">
      <c r="A65" s="267"/>
    </row>
  </sheetData>
  <mergeCells count="5">
    <mergeCell ref="A1:B1"/>
    <mergeCell ref="A2:B2"/>
    <mergeCell ref="A3:B3"/>
    <mergeCell ref="A63:B63"/>
    <mergeCell ref="A64:B6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95B3-BEA7-4B9B-83C2-B5A72D92D5EA}">
  <sheetPr>
    <tabColor rgb="FF00B0F0"/>
  </sheetPr>
  <dimension ref="A1:BH53"/>
  <sheetViews>
    <sheetView workbookViewId="0">
      <pane xSplit="11" ySplit="2" topLeftCell="L3" activePane="bottomRight" state="frozen"/>
      <selection pane="topRight" activeCell="L1" sqref="L1"/>
      <selection pane="bottomLeft" activeCell="A3" sqref="A3"/>
      <selection pane="bottomRight" activeCell="B1" sqref="B1:B1048576"/>
    </sheetView>
  </sheetViews>
  <sheetFormatPr defaultRowHeight="14.5" x14ac:dyDescent="0.35"/>
  <cols>
    <col min="1" max="1" width="10.453125" customWidth="1"/>
    <col min="2" max="2" width="47.81640625" hidden="1" customWidth="1"/>
    <col min="3" max="3" width="12.1796875" hidden="1" customWidth="1"/>
    <col min="4" max="4" width="10.81640625" hidden="1" customWidth="1"/>
    <col min="5" max="5" width="12" hidden="1" customWidth="1"/>
    <col min="6" max="6" width="15.81640625" hidden="1" customWidth="1"/>
    <col min="7" max="7" width="9.26953125" hidden="1" customWidth="1"/>
    <col min="8" max="8" width="8.453125" hidden="1" customWidth="1"/>
    <col min="9" max="10" width="8.81640625" hidden="1" customWidth="1"/>
    <col min="11" max="11" width="8.453125" hidden="1" customWidth="1"/>
    <col min="12" max="12" width="9.90625" style="413" customWidth="1"/>
    <col min="13" max="13" width="6.81640625" hidden="1" customWidth="1"/>
    <col min="14" max="14" width="9" hidden="1" customWidth="1"/>
    <col min="15" max="15" width="14.453125" hidden="1" customWidth="1"/>
    <col min="16" max="16" width="11" hidden="1" customWidth="1"/>
    <col min="17" max="17" width="11.453125" hidden="1" customWidth="1"/>
    <col min="18" max="18" width="11.7265625" hidden="1" customWidth="1"/>
    <col min="19" max="19" width="9.453125" hidden="1" customWidth="1"/>
    <col min="20" max="20" width="12" hidden="1" customWidth="1"/>
    <col min="21" max="21" width="5.26953125" hidden="1" customWidth="1"/>
    <col min="22" max="22" width="8" hidden="1" customWidth="1"/>
    <col min="23" max="23" width="10" style="413" bestFit="1" customWidth="1"/>
    <col min="24" max="24" width="9.7265625" style="413" bestFit="1" customWidth="1"/>
    <col min="25" max="25" width="12" hidden="1" customWidth="1"/>
    <col min="26" max="26" width="11.453125" hidden="1" customWidth="1"/>
    <col min="27" max="27" width="11.26953125" hidden="1" customWidth="1"/>
    <col min="28" max="28" width="9.7265625" hidden="1" customWidth="1"/>
    <col min="29" max="29" width="11.453125" hidden="1" customWidth="1"/>
    <col min="30" max="30" width="13.7265625" hidden="1" customWidth="1"/>
    <col min="31" max="31" width="12.81640625" hidden="1" customWidth="1"/>
    <col min="32" max="32" width="19.1796875" hidden="1" customWidth="1"/>
    <col min="33" max="33" width="10.26953125" hidden="1" customWidth="1"/>
    <col min="34" max="34" width="8.81640625" hidden="1" customWidth="1"/>
    <col min="35" max="35" width="9.453125" style="152" customWidth="1"/>
    <col min="36" max="36" width="9" hidden="1" customWidth="1"/>
    <col min="37" max="37" width="7.7265625" hidden="1" customWidth="1"/>
    <col min="38" max="38" width="9.81640625" hidden="1" customWidth="1"/>
    <col min="39" max="39" width="9.26953125" hidden="1" customWidth="1"/>
    <col min="40" max="40" width="11.26953125" hidden="1" customWidth="1"/>
    <col min="41" max="41" width="14.1796875" hidden="1" customWidth="1"/>
    <col min="42" max="42" width="16.26953125" hidden="1" customWidth="1"/>
    <col min="43" max="43" width="10.1796875" hidden="1" customWidth="1"/>
    <col min="44" max="44" width="8.81640625" hidden="1" customWidth="1"/>
    <col min="45" max="45" width="10.453125" hidden="1" customWidth="1"/>
    <col min="46" max="46" width="14" hidden="1" customWidth="1"/>
    <col min="47" max="47" width="15.7265625" hidden="1" customWidth="1"/>
    <col min="48" max="48" width="15.7265625" style="413" customWidth="1"/>
    <col min="49" max="49" width="11.453125" hidden="1" customWidth="1"/>
    <col min="50" max="50" width="11.36328125" hidden="1" customWidth="1"/>
    <col min="51" max="51" width="12" hidden="1" customWidth="1"/>
    <col min="52" max="52" width="11" hidden="1" customWidth="1"/>
    <col min="53" max="53" width="12" hidden="1" customWidth="1"/>
    <col min="54" max="54" width="16.08984375" hidden="1" customWidth="1"/>
    <col min="55" max="55" width="12.26953125" hidden="1" customWidth="1"/>
    <col min="56" max="56" width="11.26953125" hidden="1" customWidth="1"/>
    <col min="57" max="57" width="11.26953125" style="152" customWidth="1"/>
    <col min="58" max="58" width="11.36328125" style="152" customWidth="1"/>
    <col min="59" max="59" width="10.1796875" hidden="1" customWidth="1"/>
    <col min="60" max="60" width="17.90625" style="413" customWidth="1"/>
  </cols>
  <sheetData>
    <row r="1" spans="1:60" ht="18.5" x14ac:dyDescent="0.45">
      <c r="A1" s="245" t="s">
        <v>323</v>
      </c>
      <c r="B1" s="246"/>
      <c r="C1" s="247"/>
      <c r="D1" s="248"/>
      <c r="E1" s="248"/>
      <c r="F1" s="249"/>
      <c r="G1" s="249"/>
      <c r="H1" s="247"/>
      <c r="I1" s="250"/>
      <c r="J1" s="246"/>
      <c r="K1" s="246"/>
      <c r="L1" s="250"/>
      <c r="M1" s="246"/>
      <c r="N1" s="246"/>
      <c r="O1" s="246"/>
      <c r="P1" s="246"/>
      <c r="Q1" s="246"/>
      <c r="R1" s="246"/>
      <c r="S1" s="246"/>
      <c r="T1" s="246"/>
      <c r="U1" s="246"/>
      <c r="V1" s="246"/>
      <c r="W1" s="250"/>
      <c r="X1" s="250"/>
      <c r="Y1" s="246"/>
      <c r="Z1" s="246"/>
      <c r="AA1" s="246"/>
      <c r="AB1" s="246"/>
      <c r="AC1" s="246"/>
      <c r="AD1" s="246"/>
      <c r="AE1" s="246"/>
      <c r="AF1" s="246"/>
      <c r="AG1" s="246"/>
      <c r="AH1" s="246"/>
      <c r="AI1" s="250"/>
      <c r="AJ1" s="246"/>
      <c r="AK1" s="246"/>
      <c r="AL1" s="246"/>
      <c r="AM1" s="246"/>
      <c r="AN1" s="246"/>
      <c r="AO1" s="246"/>
      <c r="AP1" s="246"/>
      <c r="AQ1" s="246"/>
      <c r="AR1" s="246"/>
      <c r="AS1" s="246"/>
      <c r="AT1" s="246"/>
      <c r="AU1" s="246"/>
      <c r="AV1" s="250"/>
      <c r="AW1" s="246"/>
      <c r="AX1" s="246"/>
      <c r="AY1" s="246"/>
      <c r="AZ1" s="246"/>
      <c r="BA1" s="246"/>
      <c r="BB1" s="246"/>
      <c r="BC1" s="246"/>
      <c r="BD1" s="249"/>
      <c r="BE1" s="250"/>
      <c r="BF1" s="250"/>
      <c r="BG1" s="246"/>
      <c r="BH1" s="55" t="s">
        <v>3638</v>
      </c>
    </row>
    <row r="2" spans="1:60" ht="72.5" x14ac:dyDescent="0.35">
      <c r="A2" s="484" t="s">
        <v>324</v>
      </c>
      <c r="B2" s="485"/>
      <c r="C2" s="251" t="s">
        <v>326</v>
      </c>
      <c r="D2" s="251" t="s">
        <v>327</v>
      </c>
      <c r="E2" s="251" t="s">
        <v>328</v>
      </c>
      <c r="F2" s="251" t="s">
        <v>329</v>
      </c>
      <c r="G2" s="251" t="s">
        <v>330</v>
      </c>
      <c r="H2" s="251" t="s">
        <v>331</v>
      </c>
      <c r="I2" s="252" t="s">
        <v>332</v>
      </c>
      <c r="J2" s="252" t="s">
        <v>333</v>
      </c>
      <c r="K2" s="252" t="s">
        <v>334</v>
      </c>
      <c r="L2" s="472" t="s">
        <v>335</v>
      </c>
      <c r="M2" s="473" t="s">
        <v>336</v>
      </c>
      <c r="N2" s="474" t="s">
        <v>337</v>
      </c>
      <c r="O2" s="474" t="s">
        <v>338</v>
      </c>
      <c r="P2" s="474" t="s">
        <v>339</v>
      </c>
      <c r="Q2" s="474" t="s">
        <v>340</v>
      </c>
      <c r="R2" s="473" t="s">
        <v>341</v>
      </c>
      <c r="S2" s="474" t="s">
        <v>342</v>
      </c>
      <c r="T2" s="474" t="s">
        <v>343</v>
      </c>
      <c r="U2" s="474" t="s">
        <v>344</v>
      </c>
      <c r="V2" s="474" t="s">
        <v>345</v>
      </c>
      <c r="W2" s="472" t="s">
        <v>346</v>
      </c>
      <c r="X2" s="472" t="s">
        <v>347</v>
      </c>
      <c r="Y2" s="474" t="s">
        <v>348</v>
      </c>
      <c r="Z2" s="474" t="s">
        <v>349</v>
      </c>
      <c r="AA2" s="474" t="s">
        <v>350</v>
      </c>
      <c r="AB2" s="475" t="s">
        <v>351</v>
      </c>
      <c r="AC2" s="476" t="s">
        <v>352</v>
      </c>
      <c r="AD2" s="474" t="s">
        <v>353</v>
      </c>
      <c r="AE2" s="477" t="s">
        <v>354</v>
      </c>
      <c r="AF2" s="476" t="s">
        <v>355</v>
      </c>
      <c r="AG2" s="478" t="s">
        <v>356</v>
      </c>
      <c r="AH2" s="478" t="s">
        <v>357</v>
      </c>
      <c r="AI2" s="472" t="s">
        <v>358</v>
      </c>
      <c r="AJ2" s="476" t="s">
        <v>359</v>
      </c>
      <c r="AK2" s="474" t="s">
        <v>360</v>
      </c>
      <c r="AL2" s="474" t="s">
        <v>361</v>
      </c>
      <c r="AM2" s="474" t="s">
        <v>362</v>
      </c>
      <c r="AN2" s="474" t="s">
        <v>363</v>
      </c>
      <c r="AO2" s="474" t="s">
        <v>364</v>
      </c>
      <c r="AP2" s="474" t="s">
        <v>365</v>
      </c>
      <c r="AQ2" s="474" t="s">
        <v>366</v>
      </c>
      <c r="AR2" s="474" t="s">
        <v>367</v>
      </c>
      <c r="AS2" s="474" t="s">
        <v>368</v>
      </c>
      <c r="AT2" s="474" t="s">
        <v>369</v>
      </c>
      <c r="AU2" s="474" t="s">
        <v>370</v>
      </c>
      <c r="AV2" s="479" t="s">
        <v>371</v>
      </c>
      <c r="AW2" s="474" t="s">
        <v>372</v>
      </c>
      <c r="AX2" s="480" t="s">
        <v>373</v>
      </c>
      <c r="AY2" s="480" t="s">
        <v>374</v>
      </c>
      <c r="AZ2" s="473" t="s">
        <v>375</v>
      </c>
      <c r="BA2" s="473" t="s">
        <v>376</v>
      </c>
      <c r="BB2" s="473" t="s">
        <v>377</v>
      </c>
      <c r="BC2" s="481" t="s">
        <v>378</v>
      </c>
      <c r="BD2" s="482" t="s">
        <v>379</v>
      </c>
      <c r="BE2" s="483" t="s">
        <v>380</v>
      </c>
      <c r="BF2" s="367" t="s">
        <v>381</v>
      </c>
      <c r="BG2" s="252" t="s">
        <v>382</v>
      </c>
      <c r="BH2" s="333" t="s">
        <v>3639</v>
      </c>
    </row>
    <row r="3" spans="1:60" x14ac:dyDescent="0.35">
      <c r="A3" s="253" t="s">
        <v>40</v>
      </c>
      <c r="B3" s="253"/>
      <c r="C3" s="253" t="s">
        <v>383</v>
      </c>
      <c r="D3" s="253" t="s">
        <v>383</v>
      </c>
      <c r="E3" s="253" t="s">
        <v>383</v>
      </c>
      <c r="F3" s="253" t="s">
        <v>383</v>
      </c>
      <c r="G3" s="253" t="s">
        <v>384</v>
      </c>
      <c r="H3" s="253" t="s">
        <v>385</v>
      </c>
      <c r="I3" s="253" t="s">
        <v>386</v>
      </c>
      <c r="J3" s="253" t="s">
        <v>386</v>
      </c>
      <c r="K3" s="253" t="s">
        <v>23</v>
      </c>
      <c r="L3" s="413">
        <v>1.0192999999999999</v>
      </c>
      <c r="M3" s="253"/>
      <c r="N3" s="253"/>
      <c r="O3" s="253"/>
      <c r="P3" s="253" t="s">
        <v>34</v>
      </c>
      <c r="Q3">
        <v>6.6E-3</v>
      </c>
      <c r="R3">
        <v>1</v>
      </c>
      <c r="S3">
        <v>0.15239999999999998</v>
      </c>
      <c r="T3">
        <v>0.27009999999999995</v>
      </c>
      <c r="U3">
        <v>206</v>
      </c>
      <c r="V3">
        <v>115</v>
      </c>
      <c r="W3" s="413">
        <v>7.9829999999999998E-2</v>
      </c>
      <c r="X3" s="413">
        <v>7.9200000000000007E-2</v>
      </c>
      <c r="Y3">
        <v>0.40679999999999999</v>
      </c>
      <c r="Z3">
        <v>5.6939999999999998E-2</v>
      </c>
      <c r="AA3">
        <v>8.5870000000000002E-2</v>
      </c>
      <c r="AB3">
        <v>5.6939999999999998E-2</v>
      </c>
      <c r="AC3">
        <v>3.4000000000000002E-4</v>
      </c>
      <c r="AD3">
        <v>867.64</v>
      </c>
      <c r="AE3">
        <v>3.5300000000000002E-4</v>
      </c>
      <c r="AF3">
        <v>818.17</v>
      </c>
      <c r="AG3">
        <v>0.214</v>
      </c>
      <c r="AH3">
        <v>3.9E-2</v>
      </c>
      <c r="AI3" s="283" t="s">
        <v>283</v>
      </c>
      <c r="AK3" s="254">
        <v>1869</v>
      </c>
      <c r="AL3" s="255">
        <v>1845.65</v>
      </c>
      <c r="AM3" s="256">
        <v>2.3512</v>
      </c>
      <c r="AN3" s="256">
        <v>2.3473000000000002</v>
      </c>
      <c r="AO3" s="255">
        <v>1270.6099999999999</v>
      </c>
      <c r="AP3" s="256">
        <v>2.1089000000000002</v>
      </c>
      <c r="AQ3" s="255">
        <v>1845.51</v>
      </c>
      <c r="AR3" s="256">
        <v>2.3473000000000002</v>
      </c>
      <c r="AS3" s="256">
        <v>2.3431000000000002</v>
      </c>
      <c r="AT3" s="255">
        <v>1270.6099999999999</v>
      </c>
      <c r="AU3" s="256">
        <v>2.1105999999999998</v>
      </c>
      <c r="AV3" s="413">
        <v>1.0132000000000001</v>
      </c>
      <c r="AW3">
        <v>1</v>
      </c>
      <c r="AX3">
        <v>3.1850000000000003E-2</v>
      </c>
      <c r="AY3">
        <v>0.14637</v>
      </c>
      <c r="AZ3">
        <v>0.28894999999999998</v>
      </c>
      <c r="BA3">
        <v>0.35249999999999998</v>
      </c>
      <c r="BC3" s="256">
        <v>1.00037</v>
      </c>
      <c r="BD3" s="253">
        <v>0.99819999999999998</v>
      </c>
      <c r="BE3" s="283" t="s">
        <v>283</v>
      </c>
      <c r="BF3" s="283" t="s">
        <v>283</v>
      </c>
      <c r="BG3" t="s">
        <v>31</v>
      </c>
      <c r="BH3" s="413" t="str">
        <f>_xlfn.CONCAT(BE3,BF3)</f>
        <v>00</v>
      </c>
    </row>
    <row r="4" spans="1:60" x14ac:dyDescent="0.35">
      <c r="A4" s="253" t="s">
        <v>42</v>
      </c>
      <c r="B4" s="253"/>
      <c r="C4" s="253" t="s">
        <v>387</v>
      </c>
      <c r="D4" s="253" t="s">
        <v>387</v>
      </c>
      <c r="E4" s="253" t="s">
        <v>387</v>
      </c>
      <c r="F4" s="253" t="s">
        <v>387</v>
      </c>
      <c r="G4" s="253" t="s">
        <v>388</v>
      </c>
      <c r="H4" s="253" t="s">
        <v>385</v>
      </c>
      <c r="I4" s="253" t="s">
        <v>386</v>
      </c>
      <c r="J4" s="253" t="s">
        <v>386</v>
      </c>
      <c r="K4" s="253" t="s">
        <v>23</v>
      </c>
      <c r="L4" s="413">
        <v>1.0126999999999999</v>
      </c>
      <c r="M4" s="253"/>
      <c r="N4" s="253"/>
      <c r="O4" s="253"/>
      <c r="P4" s="253"/>
      <c r="R4">
        <v>1</v>
      </c>
      <c r="S4">
        <v>0</v>
      </c>
      <c r="T4">
        <v>0</v>
      </c>
      <c r="U4">
        <v>127</v>
      </c>
      <c r="V4">
        <v>43</v>
      </c>
      <c r="W4" s="413">
        <v>0</v>
      </c>
      <c r="X4" s="413">
        <v>0</v>
      </c>
      <c r="Y4">
        <v>0.32</v>
      </c>
      <c r="Z4">
        <v>3.9039999999999998E-2</v>
      </c>
      <c r="AA4">
        <v>6.6949999999999996E-2</v>
      </c>
      <c r="AB4">
        <v>3.9039999999999998E-2</v>
      </c>
      <c r="AC4">
        <v>1.8000000000000001E-4</v>
      </c>
      <c r="AD4">
        <v>986.7</v>
      </c>
      <c r="AE4">
        <v>1.6799999999999999E-4</v>
      </c>
      <c r="AF4">
        <v>816.21</v>
      </c>
      <c r="AG4">
        <v>0.22599999999999998</v>
      </c>
      <c r="AH4">
        <v>3.3999999999999996E-2</v>
      </c>
      <c r="AI4" s="283" t="s">
        <v>283</v>
      </c>
      <c r="AK4" s="254">
        <v>782</v>
      </c>
      <c r="AL4" s="255">
        <v>755.72</v>
      </c>
      <c r="AM4" s="256">
        <v>1.7141</v>
      </c>
      <c r="AN4" s="256">
        <v>1.7056</v>
      </c>
      <c r="AO4" s="255"/>
      <c r="AP4" s="256"/>
      <c r="AQ4" s="255">
        <v>755.84</v>
      </c>
      <c r="AR4" s="256">
        <v>1.7146999999999999</v>
      </c>
      <c r="AS4" s="256">
        <v>1.7058</v>
      </c>
      <c r="AT4" s="255"/>
      <c r="AU4" s="256"/>
      <c r="AV4" s="413">
        <v>1.0086999999999999</v>
      </c>
      <c r="AW4">
        <v>1</v>
      </c>
      <c r="AX4">
        <v>4.1739999999999999E-2</v>
      </c>
      <c r="AY4">
        <v>0.12620000000000001</v>
      </c>
      <c r="AZ4">
        <v>0.29664000000000001</v>
      </c>
      <c r="BA4">
        <v>0.2681</v>
      </c>
      <c r="BC4" s="256">
        <v>0.99619999999999997</v>
      </c>
      <c r="BD4" s="253">
        <v>0.98909999999999998</v>
      </c>
      <c r="BE4" s="283" t="s">
        <v>283</v>
      </c>
      <c r="BF4" s="283" t="s">
        <v>283</v>
      </c>
      <c r="BG4" t="s">
        <v>31</v>
      </c>
      <c r="BH4" s="413" t="str">
        <f t="shared" ref="BH4:BH52" si="0">_xlfn.CONCAT(BE4,BF4)</f>
        <v>00</v>
      </c>
    </row>
    <row r="5" spans="1:60" x14ac:dyDescent="0.35">
      <c r="A5" s="253" t="s">
        <v>44</v>
      </c>
      <c r="B5" s="253"/>
      <c r="C5" s="253" t="s">
        <v>389</v>
      </c>
      <c r="D5" s="253" t="s">
        <v>389</v>
      </c>
      <c r="E5" s="253" t="s">
        <v>389</v>
      </c>
      <c r="F5" s="253" t="s">
        <v>389</v>
      </c>
      <c r="G5" s="253" t="s">
        <v>390</v>
      </c>
      <c r="H5" s="253" t="s">
        <v>385</v>
      </c>
      <c r="I5" s="253" t="s">
        <v>391</v>
      </c>
      <c r="J5" s="253" t="s">
        <v>391</v>
      </c>
      <c r="K5" s="253" t="s">
        <v>23</v>
      </c>
      <c r="L5" s="413">
        <v>1.0126999999999999</v>
      </c>
      <c r="M5" s="253"/>
      <c r="N5" s="253"/>
      <c r="O5" s="253"/>
      <c r="P5" s="253"/>
      <c r="R5">
        <v>1</v>
      </c>
      <c r="S5">
        <v>0</v>
      </c>
      <c r="T5">
        <v>0</v>
      </c>
      <c r="U5">
        <v>89</v>
      </c>
      <c r="V5">
        <v>31</v>
      </c>
      <c r="W5" s="413">
        <v>0</v>
      </c>
      <c r="X5" s="413">
        <v>0</v>
      </c>
      <c r="Y5">
        <v>0.3755</v>
      </c>
      <c r="Z5">
        <v>0.03</v>
      </c>
      <c r="AA5">
        <v>0</v>
      </c>
      <c r="AB5">
        <v>0.03</v>
      </c>
      <c r="AC5">
        <v>8.7000000000000001E-5</v>
      </c>
      <c r="AD5">
        <v>874.81</v>
      </c>
      <c r="AE5">
        <v>6.7000000000000002E-5</v>
      </c>
      <c r="AF5">
        <v>622.98</v>
      </c>
      <c r="AG5">
        <v>0.312</v>
      </c>
      <c r="AH5">
        <v>6.0999999999999999E-2</v>
      </c>
      <c r="AI5" s="283" t="s">
        <v>283</v>
      </c>
      <c r="AK5" s="254">
        <v>505</v>
      </c>
      <c r="AL5" s="255">
        <v>487.2</v>
      </c>
      <c r="AM5" s="256">
        <v>2.0045999999999999</v>
      </c>
      <c r="AN5" s="256">
        <v>1.9782</v>
      </c>
      <c r="AO5" s="255"/>
      <c r="AP5" s="256"/>
      <c r="AQ5" s="255">
        <v>486.91</v>
      </c>
      <c r="AR5" s="256">
        <v>2.0247999999999999</v>
      </c>
      <c r="AS5" s="256">
        <v>1.9899</v>
      </c>
      <c r="AT5" s="255"/>
      <c r="AU5" s="256"/>
      <c r="AV5" s="413">
        <v>1.0086999999999999</v>
      </c>
      <c r="AW5">
        <v>1</v>
      </c>
      <c r="AX5">
        <v>4.0419999999999998E-2</v>
      </c>
      <c r="AY5">
        <v>0.22509999999999999</v>
      </c>
      <c r="AZ5">
        <v>0.22298999999999999</v>
      </c>
      <c r="BA5">
        <v>0.34589999999999999</v>
      </c>
      <c r="BC5" s="256">
        <v>1.0156099999999999</v>
      </c>
      <c r="BD5" s="253">
        <v>0.99239999999999995</v>
      </c>
      <c r="BE5" s="283" t="s">
        <v>283</v>
      </c>
      <c r="BF5" s="283" t="s">
        <v>283</v>
      </c>
      <c r="BG5" t="s">
        <v>31</v>
      </c>
      <c r="BH5" s="413" t="str">
        <f t="shared" si="0"/>
        <v>00</v>
      </c>
    </row>
    <row r="6" spans="1:60" x14ac:dyDescent="0.35">
      <c r="A6" s="253" t="s">
        <v>46</v>
      </c>
      <c r="B6" s="253"/>
      <c r="C6" s="253" t="s">
        <v>392</v>
      </c>
      <c r="D6" s="253" t="s">
        <v>393</v>
      </c>
      <c r="E6" s="253" t="s">
        <v>393</v>
      </c>
      <c r="F6" s="253" t="s">
        <v>393</v>
      </c>
      <c r="G6" s="253" t="s">
        <v>394</v>
      </c>
      <c r="H6" s="253" t="s">
        <v>385</v>
      </c>
      <c r="I6" s="253" t="s">
        <v>395</v>
      </c>
      <c r="J6" s="253" t="s">
        <v>395</v>
      </c>
      <c r="K6" s="253" t="s">
        <v>23</v>
      </c>
      <c r="L6" s="413">
        <v>1.0126999999999999</v>
      </c>
      <c r="M6" s="253"/>
      <c r="N6" s="253"/>
      <c r="O6" s="253"/>
      <c r="P6" s="253"/>
      <c r="R6">
        <v>1</v>
      </c>
      <c r="S6">
        <v>0</v>
      </c>
      <c r="T6">
        <v>0</v>
      </c>
      <c r="U6">
        <v>47</v>
      </c>
      <c r="V6">
        <v>18</v>
      </c>
      <c r="W6" s="413">
        <v>0</v>
      </c>
      <c r="X6" s="413">
        <v>0</v>
      </c>
      <c r="Y6">
        <v>0.27239999999999998</v>
      </c>
      <c r="Z6">
        <v>2.9219999999999999E-2</v>
      </c>
      <c r="AA6">
        <v>0</v>
      </c>
      <c r="AB6">
        <v>2.9219999999999999E-2</v>
      </c>
      <c r="AD6">
        <v>0</v>
      </c>
      <c r="AF6">
        <v>0</v>
      </c>
      <c r="AG6">
        <v>0.34299999999999997</v>
      </c>
      <c r="AH6">
        <v>2.0999999999999998E-2</v>
      </c>
      <c r="AI6" s="283" t="s">
        <v>396</v>
      </c>
      <c r="AJ6">
        <v>6784.65</v>
      </c>
      <c r="AK6" s="254">
        <v>802</v>
      </c>
      <c r="AL6" s="255">
        <v>778.94</v>
      </c>
      <c r="AM6" s="256">
        <v>1.6043000000000001</v>
      </c>
      <c r="AN6" s="256">
        <v>1.5938000000000001</v>
      </c>
      <c r="AO6" s="255"/>
      <c r="AP6" s="256"/>
      <c r="AQ6" s="255">
        <v>779.11</v>
      </c>
      <c r="AR6" s="256">
        <v>1.5968</v>
      </c>
      <c r="AS6" s="256">
        <v>1.5846</v>
      </c>
      <c r="AT6" s="255"/>
      <c r="AU6" s="256"/>
      <c r="AV6" s="413">
        <v>1.0086999999999999</v>
      </c>
      <c r="AW6">
        <v>1</v>
      </c>
      <c r="AX6">
        <v>6.1599999999999997E-3</v>
      </c>
      <c r="AY6">
        <v>3.8E-3</v>
      </c>
      <c r="AZ6">
        <v>0.46429999999999999</v>
      </c>
      <c r="BA6">
        <v>0.23960000000000001</v>
      </c>
      <c r="BC6" s="256">
        <v>1.0169999999999999</v>
      </c>
      <c r="BD6" s="253">
        <v>1</v>
      </c>
      <c r="BE6" s="283" t="s">
        <v>283</v>
      </c>
      <c r="BF6" s="283" t="s">
        <v>283</v>
      </c>
      <c r="BG6" t="s">
        <v>31</v>
      </c>
      <c r="BH6" s="413" t="str">
        <f t="shared" si="0"/>
        <v>00</v>
      </c>
    </row>
    <row r="7" spans="1:60" x14ac:dyDescent="0.35">
      <c r="A7" s="253" t="s">
        <v>48</v>
      </c>
      <c r="B7" s="253"/>
      <c r="C7" s="253" t="s">
        <v>392</v>
      </c>
      <c r="D7" s="253" t="s">
        <v>393</v>
      </c>
      <c r="E7" s="253" t="s">
        <v>393</v>
      </c>
      <c r="F7" s="253" t="s">
        <v>393</v>
      </c>
      <c r="G7" s="253" t="s">
        <v>397</v>
      </c>
      <c r="H7" s="253" t="s">
        <v>385</v>
      </c>
      <c r="I7" s="253" t="s">
        <v>395</v>
      </c>
      <c r="J7" s="253" t="s">
        <v>395</v>
      </c>
      <c r="K7" s="253" t="s">
        <v>23</v>
      </c>
      <c r="L7" s="413">
        <v>1.0126999999999999</v>
      </c>
      <c r="M7" s="253"/>
      <c r="N7" s="253"/>
      <c r="O7" s="253"/>
      <c r="P7" s="253"/>
      <c r="R7">
        <v>1</v>
      </c>
      <c r="S7">
        <v>0</v>
      </c>
      <c r="T7">
        <v>0</v>
      </c>
      <c r="U7">
        <v>49</v>
      </c>
      <c r="V7">
        <v>17</v>
      </c>
      <c r="W7" s="413">
        <v>0</v>
      </c>
      <c r="X7" s="413">
        <v>0</v>
      </c>
      <c r="Y7">
        <v>0.432</v>
      </c>
      <c r="Z7">
        <v>0.03</v>
      </c>
      <c r="AA7">
        <v>0</v>
      </c>
      <c r="AB7">
        <v>0.03</v>
      </c>
      <c r="AC7">
        <v>8.0000000000000007E-5</v>
      </c>
      <c r="AD7">
        <v>819.15</v>
      </c>
      <c r="AE7">
        <v>6.9999999999999994E-5</v>
      </c>
      <c r="AF7">
        <v>700.89</v>
      </c>
      <c r="AG7">
        <v>0.37799999999999995</v>
      </c>
      <c r="AH7">
        <v>2.7E-2</v>
      </c>
      <c r="AI7" s="283" t="s">
        <v>396</v>
      </c>
      <c r="AJ7">
        <v>6243.69</v>
      </c>
      <c r="AK7" s="254">
        <v>559</v>
      </c>
      <c r="AL7" s="255">
        <v>552.13</v>
      </c>
      <c r="AM7" s="256">
        <v>1.5199</v>
      </c>
      <c r="AN7" s="256">
        <v>1.5165999999999999</v>
      </c>
      <c r="AO7" s="255"/>
      <c r="AP7" s="256"/>
      <c r="AQ7" s="255">
        <v>552.5</v>
      </c>
      <c r="AR7" s="256">
        <v>1.5103</v>
      </c>
      <c r="AS7" s="256">
        <v>1.5065999999999999</v>
      </c>
      <c r="AT7" s="255"/>
      <c r="AU7" s="256"/>
      <c r="AV7" s="413">
        <v>1.0086999999999999</v>
      </c>
      <c r="AW7">
        <v>1</v>
      </c>
      <c r="AX7">
        <v>2.6200000000000001E-2</v>
      </c>
      <c r="AY7">
        <v>1.7350000000000001E-2</v>
      </c>
      <c r="AZ7">
        <v>0.39040000000000002</v>
      </c>
      <c r="BA7">
        <v>0.32379999999999998</v>
      </c>
      <c r="BC7" s="256">
        <v>0.99668000000000001</v>
      </c>
      <c r="BD7" s="253">
        <v>0.99329999999999996</v>
      </c>
      <c r="BE7" s="283" t="s">
        <v>283</v>
      </c>
      <c r="BF7" s="283" t="s">
        <v>283</v>
      </c>
      <c r="BG7" t="s">
        <v>31</v>
      </c>
      <c r="BH7" s="413" t="str">
        <f t="shared" si="0"/>
        <v>00</v>
      </c>
    </row>
    <row r="8" spans="1:60" x14ac:dyDescent="0.35">
      <c r="A8" s="253" t="s">
        <v>51</v>
      </c>
      <c r="B8" s="253"/>
      <c r="C8" s="253" t="s">
        <v>389</v>
      </c>
      <c r="D8" s="253" t="s">
        <v>389</v>
      </c>
      <c r="E8" s="253" t="s">
        <v>389</v>
      </c>
      <c r="F8" s="253" t="s">
        <v>389</v>
      </c>
      <c r="G8" s="253" t="s">
        <v>398</v>
      </c>
      <c r="H8" s="253" t="s">
        <v>385</v>
      </c>
      <c r="I8" s="253" t="s">
        <v>391</v>
      </c>
      <c r="J8" s="253" t="s">
        <v>391</v>
      </c>
      <c r="K8" s="253" t="s">
        <v>23</v>
      </c>
      <c r="L8" s="413">
        <v>1.0126999999999999</v>
      </c>
      <c r="M8" s="253"/>
      <c r="N8" s="253"/>
      <c r="O8" s="253"/>
      <c r="P8" s="253"/>
      <c r="R8">
        <v>1</v>
      </c>
      <c r="S8">
        <v>0</v>
      </c>
      <c r="T8">
        <v>0</v>
      </c>
      <c r="U8">
        <v>160</v>
      </c>
      <c r="V8">
        <v>114</v>
      </c>
      <c r="W8" s="413">
        <v>0</v>
      </c>
      <c r="X8" s="413">
        <v>0</v>
      </c>
      <c r="Y8">
        <v>0.3301</v>
      </c>
      <c r="Z8">
        <v>4.1119999999999997E-2</v>
      </c>
      <c r="AA8">
        <v>6.9129999999999997E-2</v>
      </c>
      <c r="AB8">
        <v>4.1119999999999997E-2</v>
      </c>
      <c r="AC8">
        <v>1.94E-4</v>
      </c>
      <c r="AD8">
        <v>537.80999999999995</v>
      </c>
      <c r="AE8">
        <v>1.8100000000000001E-4</v>
      </c>
      <c r="AF8">
        <v>490.94</v>
      </c>
      <c r="AG8">
        <v>0.19199999999999998</v>
      </c>
      <c r="AH8">
        <v>1.9999999999999997E-2</v>
      </c>
      <c r="AI8" s="283" t="s">
        <v>283</v>
      </c>
      <c r="AK8" s="254">
        <v>2074</v>
      </c>
      <c r="AL8" s="255">
        <v>2017.51</v>
      </c>
      <c r="AM8" s="256">
        <v>1.9141999999999999</v>
      </c>
      <c r="AN8" s="256">
        <v>1.9083000000000001</v>
      </c>
      <c r="AO8" s="255"/>
      <c r="AP8" s="256"/>
      <c r="AQ8" s="255">
        <v>2016.84</v>
      </c>
      <c r="AR8" s="256">
        <v>1.9188000000000001</v>
      </c>
      <c r="AS8" s="256">
        <v>1.9107000000000001</v>
      </c>
      <c r="AT8" s="255"/>
      <c r="AU8" s="256"/>
      <c r="AV8" s="413">
        <v>1.0086999999999999</v>
      </c>
      <c r="AW8">
        <v>1</v>
      </c>
      <c r="AX8">
        <v>6.3270000000000007E-2</v>
      </c>
      <c r="AY8">
        <v>0.1065</v>
      </c>
      <c r="AZ8">
        <v>0.21081</v>
      </c>
      <c r="BA8">
        <v>0.29089999999999999</v>
      </c>
      <c r="BC8" s="256">
        <v>0.99587999999999999</v>
      </c>
      <c r="BD8" s="253">
        <v>0.99909999999999999</v>
      </c>
      <c r="BE8" s="283" t="s">
        <v>283</v>
      </c>
      <c r="BF8" s="283" t="s">
        <v>283</v>
      </c>
      <c r="BG8" t="s">
        <v>31</v>
      </c>
      <c r="BH8" s="413" t="str">
        <f t="shared" si="0"/>
        <v>00</v>
      </c>
    </row>
    <row r="9" spans="1:60" x14ac:dyDescent="0.35">
      <c r="A9" s="253" t="s">
        <v>53</v>
      </c>
      <c r="B9" s="253"/>
      <c r="C9" s="253" t="s">
        <v>399</v>
      </c>
      <c r="D9" s="253" t="s">
        <v>399</v>
      </c>
      <c r="E9" s="253" t="s">
        <v>399</v>
      </c>
      <c r="F9" s="253" t="s">
        <v>399</v>
      </c>
      <c r="G9" s="253" t="s">
        <v>400</v>
      </c>
      <c r="H9" s="253" t="s">
        <v>385</v>
      </c>
      <c r="I9" s="253" t="s">
        <v>386</v>
      </c>
      <c r="J9" s="253" t="s">
        <v>386</v>
      </c>
      <c r="K9" s="253" t="s">
        <v>23</v>
      </c>
      <c r="L9" s="413">
        <v>1.0126999999999999</v>
      </c>
      <c r="M9" s="253"/>
      <c r="N9" s="253"/>
      <c r="O9" s="253"/>
      <c r="P9" s="253"/>
      <c r="R9">
        <v>1</v>
      </c>
      <c r="S9">
        <v>6.8699999999999997E-2</v>
      </c>
      <c r="T9">
        <v>0.12749999999999997</v>
      </c>
      <c r="U9">
        <v>243</v>
      </c>
      <c r="V9">
        <v>132</v>
      </c>
      <c r="W9" s="413">
        <v>3.6819999999999999E-2</v>
      </c>
      <c r="X9" s="413">
        <v>3.6639999999999999E-2</v>
      </c>
      <c r="Y9">
        <v>0.31369999999999998</v>
      </c>
      <c r="Z9">
        <v>3.7740000000000003E-2</v>
      </c>
      <c r="AA9">
        <v>6.5589999999999996E-2</v>
      </c>
      <c r="AB9">
        <v>3.7740000000000003E-2</v>
      </c>
      <c r="AC9">
        <v>3.0699999999999998E-4</v>
      </c>
      <c r="AD9">
        <v>483.66</v>
      </c>
      <c r="AE9">
        <v>2.9999999999999997E-4</v>
      </c>
      <c r="AF9">
        <v>435.58</v>
      </c>
      <c r="AG9">
        <v>0.22099999999999997</v>
      </c>
      <c r="AH9">
        <v>1.3999999999999999E-2</v>
      </c>
      <c r="AI9" s="283" t="s">
        <v>283</v>
      </c>
      <c r="AK9" s="254">
        <v>3104</v>
      </c>
      <c r="AL9" s="255">
        <v>3027.15</v>
      </c>
      <c r="AM9" s="256">
        <v>1.8831</v>
      </c>
      <c r="AN9" s="256">
        <v>1.8782000000000001</v>
      </c>
      <c r="AO9" s="255">
        <v>1539</v>
      </c>
      <c r="AP9" s="256">
        <v>1.901</v>
      </c>
      <c r="AQ9" s="255">
        <v>3026.89</v>
      </c>
      <c r="AR9" s="256">
        <v>1.8829</v>
      </c>
      <c r="AS9" s="256">
        <v>1.8771</v>
      </c>
      <c r="AT9" s="255">
        <v>1539.4</v>
      </c>
      <c r="AU9" s="256">
        <v>1.9031</v>
      </c>
      <c r="AV9" s="413">
        <v>1.0086999999999999</v>
      </c>
      <c r="AW9">
        <v>1</v>
      </c>
      <c r="AX9">
        <v>2.384E-2</v>
      </c>
      <c r="AY9">
        <v>1.438E-2</v>
      </c>
      <c r="AZ9">
        <v>0.28366999999999998</v>
      </c>
      <c r="BA9">
        <v>0.28439999999999999</v>
      </c>
      <c r="BC9" s="256">
        <v>1.0085500000000001</v>
      </c>
      <c r="BD9" s="253">
        <v>1</v>
      </c>
      <c r="BE9" s="283" t="s">
        <v>283</v>
      </c>
      <c r="BF9" s="283" t="s">
        <v>283</v>
      </c>
      <c r="BG9" t="s">
        <v>31</v>
      </c>
      <c r="BH9" s="413" t="str">
        <f t="shared" si="0"/>
        <v>00</v>
      </c>
    </row>
    <row r="10" spans="1:60" x14ac:dyDescent="0.35">
      <c r="A10" s="253" t="s">
        <v>55</v>
      </c>
      <c r="B10" s="253"/>
      <c r="C10" s="253" t="s">
        <v>389</v>
      </c>
      <c r="D10" s="253" t="s">
        <v>389</v>
      </c>
      <c r="E10" s="253" t="s">
        <v>389</v>
      </c>
      <c r="F10" s="253" t="s">
        <v>389</v>
      </c>
      <c r="G10" s="253" t="s">
        <v>401</v>
      </c>
      <c r="H10" s="253" t="s">
        <v>385</v>
      </c>
      <c r="I10" s="253" t="s">
        <v>391</v>
      </c>
      <c r="J10" s="253" t="s">
        <v>391</v>
      </c>
      <c r="K10" s="253" t="s">
        <v>23</v>
      </c>
      <c r="L10" s="413">
        <v>1.0126999999999999</v>
      </c>
      <c r="M10" s="253"/>
      <c r="N10" s="253"/>
      <c r="O10" s="253"/>
      <c r="P10" s="253"/>
      <c r="R10">
        <v>1</v>
      </c>
      <c r="S10">
        <v>0.41469999999999996</v>
      </c>
      <c r="T10">
        <v>0.56279999999999997</v>
      </c>
      <c r="U10">
        <v>369</v>
      </c>
      <c r="V10">
        <v>258</v>
      </c>
      <c r="W10" s="413">
        <v>0.20365</v>
      </c>
      <c r="X10" s="413">
        <v>0.17213000000000001</v>
      </c>
      <c r="Y10">
        <v>0.755</v>
      </c>
      <c r="Z10">
        <v>0.12876000000000001</v>
      </c>
      <c r="AA10">
        <v>0.16519</v>
      </c>
      <c r="AB10">
        <v>0.12876000000000001</v>
      </c>
      <c r="AC10">
        <v>1.235E-3</v>
      </c>
      <c r="AD10">
        <v>6807.85</v>
      </c>
      <c r="AE10">
        <v>1.2229999999999999E-3</v>
      </c>
      <c r="AF10">
        <v>6742.5</v>
      </c>
      <c r="AG10">
        <v>0.23699999999999999</v>
      </c>
      <c r="AH10">
        <v>1.9999999999999997E-2</v>
      </c>
      <c r="AI10" s="283" t="s">
        <v>283</v>
      </c>
      <c r="AK10" s="254">
        <v>1125</v>
      </c>
      <c r="AL10" s="255">
        <v>1113.0899999999999</v>
      </c>
      <c r="AM10" s="256">
        <v>2.1507999999999998</v>
      </c>
      <c r="AN10" s="256">
        <v>2.1442000000000001</v>
      </c>
      <c r="AO10" s="255">
        <v>1993.1</v>
      </c>
      <c r="AP10" s="256">
        <v>1.9368000000000001</v>
      </c>
      <c r="AQ10" s="255">
        <v>1112.92</v>
      </c>
      <c r="AR10" s="256">
        <v>2.1728999999999998</v>
      </c>
      <c r="AS10" s="256">
        <v>2.1652999999999998</v>
      </c>
      <c r="AT10" s="255">
        <v>1992.75</v>
      </c>
      <c r="AU10" s="256">
        <v>1.9459</v>
      </c>
      <c r="AV10" s="413">
        <v>1.0086999999999999</v>
      </c>
      <c r="AW10">
        <v>1</v>
      </c>
      <c r="AX10">
        <v>4.0649999999999999E-2</v>
      </c>
      <c r="AY10">
        <v>6.5890000000000004E-2</v>
      </c>
      <c r="AZ10">
        <v>7.2470000000000007E-2</v>
      </c>
      <c r="BA10">
        <v>0.59909999999999997</v>
      </c>
      <c r="BB10" t="s">
        <v>34</v>
      </c>
      <c r="BC10" s="256">
        <v>1.00478</v>
      </c>
      <c r="BD10" s="253">
        <v>0.99939999999999996</v>
      </c>
      <c r="BE10" s="283" t="s">
        <v>283</v>
      </c>
      <c r="BF10" s="283" t="s">
        <v>283</v>
      </c>
      <c r="BG10" t="s">
        <v>16</v>
      </c>
      <c r="BH10" s="413" t="str">
        <f t="shared" si="0"/>
        <v>00</v>
      </c>
    </row>
    <row r="11" spans="1:60" x14ac:dyDescent="0.35">
      <c r="A11" s="253" t="s">
        <v>57</v>
      </c>
      <c r="B11" s="253"/>
      <c r="C11" s="253" t="s">
        <v>402</v>
      </c>
      <c r="D11" s="253" t="s">
        <v>402</v>
      </c>
      <c r="E11" s="253" t="s">
        <v>402</v>
      </c>
      <c r="F11" s="253" t="s">
        <v>402</v>
      </c>
      <c r="G11" s="253" t="s">
        <v>403</v>
      </c>
      <c r="H11" s="253" t="s">
        <v>385</v>
      </c>
      <c r="I11" s="253" t="s">
        <v>386</v>
      </c>
      <c r="J11" s="253" t="s">
        <v>386</v>
      </c>
      <c r="K11" s="253" t="s">
        <v>23</v>
      </c>
      <c r="L11" s="413">
        <v>1.0126999999999999</v>
      </c>
      <c r="M11" s="253"/>
      <c r="N11" s="253"/>
      <c r="O11" s="253"/>
      <c r="P11" s="253"/>
      <c r="R11">
        <v>1</v>
      </c>
      <c r="S11">
        <v>0.24809999999999999</v>
      </c>
      <c r="T11">
        <v>0.47509999999999997</v>
      </c>
      <c r="U11">
        <v>42</v>
      </c>
      <c r="V11">
        <v>20</v>
      </c>
      <c r="W11" s="413">
        <v>0.12678</v>
      </c>
      <c r="X11" s="413">
        <v>0.14348</v>
      </c>
      <c r="Y11">
        <v>0.31430000000000002</v>
      </c>
      <c r="Z11">
        <v>0.03</v>
      </c>
      <c r="AA11">
        <v>0</v>
      </c>
      <c r="AB11">
        <v>0.03</v>
      </c>
      <c r="AC11">
        <v>1.02E-4</v>
      </c>
      <c r="AD11">
        <v>761.34</v>
      </c>
      <c r="AE11">
        <v>1.05E-4</v>
      </c>
      <c r="AF11">
        <v>635.12</v>
      </c>
      <c r="AG11">
        <v>0.29899999999999999</v>
      </c>
      <c r="AH11">
        <v>1.1999999999999999E-2</v>
      </c>
      <c r="AI11" s="283" t="s">
        <v>283</v>
      </c>
      <c r="AK11" s="254">
        <v>373</v>
      </c>
      <c r="AL11" s="255">
        <v>363.54</v>
      </c>
      <c r="AM11" s="256">
        <v>1.8912</v>
      </c>
      <c r="AN11" s="256">
        <v>1.8763000000000001</v>
      </c>
      <c r="AO11" s="255">
        <v>400.41</v>
      </c>
      <c r="AP11" s="256">
        <v>1.7962</v>
      </c>
      <c r="AQ11" s="255">
        <v>363.78</v>
      </c>
      <c r="AR11" s="256">
        <v>1.8874</v>
      </c>
      <c r="AS11" s="256">
        <v>1.8740000000000001</v>
      </c>
      <c r="AT11" s="255">
        <v>400.45</v>
      </c>
      <c r="AU11" s="256">
        <v>1.8055000000000001</v>
      </c>
      <c r="AV11" s="413">
        <v>1.0086999999999999</v>
      </c>
      <c r="AW11">
        <v>1</v>
      </c>
      <c r="AX11">
        <v>8.0199999999999994E-2</v>
      </c>
      <c r="AY11">
        <v>1.8800000000000001E-2</v>
      </c>
      <c r="AZ11">
        <v>0.26013999999999998</v>
      </c>
      <c r="BA11">
        <v>0.25419999999999998</v>
      </c>
      <c r="BC11" s="256">
        <v>1.00678</v>
      </c>
      <c r="BD11" s="253">
        <v>0.99990000000000001</v>
      </c>
      <c r="BE11" s="283" t="s">
        <v>283</v>
      </c>
      <c r="BF11" s="283" t="s">
        <v>283</v>
      </c>
      <c r="BG11" t="s">
        <v>31</v>
      </c>
      <c r="BH11" s="413" t="str">
        <f t="shared" si="0"/>
        <v>00</v>
      </c>
    </row>
    <row r="12" spans="1:60" x14ac:dyDescent="0.35">
      <c r="A12" s="253" t="s">
        <v>59</v>
      </c>
      <c r="B12" s="253"/>
      <c r="C12" s="253" t="s">
        <v>392</v>
      </c>
      <c r="D12" s="253" t="s">
        <v>393</v>
      </c>
      <c r="E12" s="253" t="s">
        <v>393</v>
      </c>
      <c r="F12" s="253" t="s">
        <v>393</v>
      </c>
      <c r="G12" s="253" t="s">
        <v>404</v>
      </c>
      <c r="H12" s="253" t="s">
        <v>385</v>
      </c>
      <c r="I12" s="253" t="s">
        <v>395</v>
      </c>
      <c r="J12" s="253" t="s">
        <v>395</v>
      </c>
      <c r="K12" s="253" t="s">
        <v>23</v>
      </c>
      <c r="L12" s="413">
        <v>1.0126999999999999</v>
      </c>
      <c r="M12" s="253"/>
      <c r="N12" s="253"/>
      <c r="O12" s="253"/>
      <c r="P12" s="253"/>
      <c r="R12">
        <v>1</v>
      </c>
      <c r="S12">
        <v>0</v>
      </c>
      <c r="T12">
        <v>0</v>
      </c>
      <c r="U12">
        <v>71</v>
      </c>
      <c r="V12">
        <v>44</v>
      </c>
      <c r="W12" s="413">
        <v>0</v>
      </c>
      <c r="X12" s="413">
        <v>0</v>
      </c>
      <c r="Y12">
        <v>0.3226</v>
      </c>
      <c r="Z12">
        <v>0.03</v>
      </c>
      <c r="AA12">
        <v>0</v>
      </c>
      <c r="AB12">
        <v>0.03</v>
      </c>
      <c r="AD12">
        <v>0</v>
      </c>
      <c r="AF12">
        <v>0</v>
      </c>
      <c r="AG12">
        <v>0.21899999999999997</v>
      </c>
      <c r="AH12">
        <v>2.5999999999999999E-2</v>
      </c>
      <c r="AI12" s="283" t="s">
        <v>396</v>
      </c>
      <c r="AJ12">
        <v>8888.69</v>
      </c>
      <c r="AK12" s="254">
        <v>1291</v>
      </c>
      <c r="AL12" s="255">
        <v>1249.97</v>
      </c>
      <c r="AM12" s="256">
        <v>1.9075</v>
      </c>
      <c r="AN12" s="256">
        <v>1.9079999999999999</v>
      </c>
      <c r="AO12" s="255"/>
      <c r="AP12" s="256"/>
      <c r="AQ12" s="255">
        <v>1250.5999999999999</v>
      </c>
      <c r="AR12" s="256">
        <v>1.9101999999999999</v>
      </c>
      <c r="AS12" s="256">
        <v>1.9112</v>
      </c>
      <c r="AT12" s="255"/>
      <c r="AU12" s="256"/>
      <c r="AV12" s="413">
        <v>1.0086999999999999</v>
      </c>
      <c r="AW12">
        <v>1</v>
      </c>
      <c r="AX12">
        <v>7.6859999999999998E-2</v>
      </c>
      <c r="AY12">
        <v>0.15656999999999999</v>
      </c>
      <c r="AZ12">
        <v>0.34943999999999997</v>
      </c>
      <c r="BA12">
        <v>0.28560000000000002</v>
      </c>
      <c r="BC12" s="256">
        <v>1.01986</v>
      </c>
      <c r="BD12" s="253">
        <v>1</v>
      </c>
      <c r="BE12" s="283" t="s">
        <v>283</v>
      </c>
      <c r="BF12" s="283" t="s">
        <v>283</v>
      </c>
      <c r="BG12" t="s">
        <v>31</v>
      </c>
      <c r="BH12" s="413" t="str">
        <f t="shared" si="0"/>
        <v>00</v>
      </c>
    </row>
    <row r="13" spans="1:60" x14ac:dyDescent="0.35">
      <c r="A13" s="253" t="s">
        <v>61</v>
      </c>
      <c r="B13" s="253"/>
      <c r="C13" s="253" t="s">
        <v>389</v>
      </c>
      <c r="D13" s="253" t="s">
        <v>389</v>
      </c>
      <c r="E13" s="253" t="s">
        <v>389</v>
      </c>
      <c r="F13" s="253" t="s">
        <v>389</v>
      </c>
      <c r="G13" s="253" t="s">
        <v>401</v>
      </c>
      <c r="H13" s="253" t="s">
        <v>385</v>
      </c>
      <c r="I13" s="253" t="s">
        <v>391</v>
      </c>
      <c r="J13" s="253" t="s">
        <v>391</v>
      </c>
      <c r="K13" s="253" t="s">
        <v>23</v>
      </c>
      <c r="L13" s="413">
        <v>1.0126999999999999</v>
      </c>
      <c r="M13" s="253"/>
      <c r="N13" s="253"/>
      <c r="O13" s="253"/>
      <c r="P13" s="253"/>
      <c r="R13">
        <v>1</v>
      </c>
      <c r="S13">
        <v>4.7599999999999996E-2</v>
      </c>
      <c r="T13">
        <v>0.10379999999999999</v>
      </c>
      <c r="U13">
        <v>315</v>
      </c>
      <c r="V13">
        <v>191</v>
      </c>
      <c r="W13" s="413">
        <v>2.5669999999999998E-2</v>
      </c>
      <c r="X13" s="413">
        <v>2.9729999999999999E-2</v>
      </c>
      <c r="Y13">
        <v>0.47689999999999999</v>
      </c>
      <c r="Z13">
        <v>7.1400000000000005E-2</v>
      </c>
      <c r="AA13">
        <v>0.10138999999999999</v>
      </c>
      <c r="AB13">
        <v>7.1400000000000005E-2</v>
      </c>
      <c r="AC13">
        <v>1.7899999999999999E-4</v>
      </c>
      <c r="AD13">
        <v>693.83</v>
      </c>
      <c r="AE13">
        <v>1.8200000000000001E-4</v>
      </c>
      <c r="AF13">
        <v>681.93</v>
      </c>
      <c r="AG13">
        <v>0.10999999999999999</v>
      </c>
      <c r="AH13">
        <v>1.5999999999999997E-2</v>
      </c>
      <c r="AI13" s="283" t="s">
        <v>283</v>
      </c>
      <c r="AK13" s="254">
        <v>1405</v>
      </c>
      <c r="AL13" s="255">
        <v>1376.44</v>
      </c>
      <c r="AM13" s="256">
        <v>3.2202999999999999</v>
      </c>
      <c r="AN13" s="256">
        <v>3.0459000000000001</v>
      </c>
      <c r="AO13" s="255">
        <v>1139.3599999999999</v>
      </c>
      <c r="AP13" s="256">
        <v>2.6934</v>
      </c>
      <c r="AQ13" s="255">
        <v>1376.7</v>
      </c>
      <c r="AR13" s="256">
        <v>3.1947000000000001</v>
      </c>
      <c r="AS13" s="256">
        <v>3.0345</v>
      </c>
      <c r="AT13" s="255">
        <v>1139.57</v>
      </c>
      <c r="AU13" s="256">
        <v>2.665</v>
      </c>
      <c r="AV13" s="413">
        <v>1.0086999999999999</v>
      </c>
      <c r="AW13">
        <v>1</v>
      </c>
      <c r="AX13">
        <v>0.27925</v>
      </c>
      <c r="AY13">
        <v>0.68542999999999998</v>
      </c>
      <c r="AZ13">
        <v>0.12623000000000001</v>
      </c>
      <c r="BA13">
        <v>0.43340000000000001</v>
      </c>
      <c r="BC13" s="256">
        <v>1.0013300000000001</v>
      </c>
      <c r="BD13" s="253">
        <v>0.99609999999999999</v>
      </c>
      <c r="BE13" s="283" t="s">
        <v>283</v>
      </c>
      <c r="BF13" s="283" t="s">
        <v>283</v>
      </c>
      <c r="BG13" t="s">
        <v>25</v>
      </c>
      <c r="BH13" s="413" t="str">
        <f t="shared" si="0"/>
        <v>00</v>
      </c>
    </row>
    <row r="14" spans="1:60" x14ac:dyDescent="0.35">
      <c r="A14" s="253" t="s">
        <v>63</v>
      </c>
      <c r="B14" s="253"/>
      <c r="C14" s="253" t="s">
        <v>389</v>
      </c>
      <c r="D14" s="253" t="s">
        <v>389</v>
      </c>
      <c r="E14" s="253" t="s">
        <v>393</v>
      </c>
      <c r="F14" s="253" t="s">
        <v>393</v>
      </c>
      <c r="G14" s="253" t="s">
        <v>401</v>
      </c>
      <c r="H14" s="253" t="s">
        <v>385</v>
      </c>
      <c r="I14" s="253" t="s">
        <v>391</v>
      </c>
      <c r="J14" s="253" t="s">
        <v>395</v>
      </c>
      <c r="K14" s="253" t="s">
        <v>28</v>
      </c>
      <c r="L14" s="413">
        <v>1.0126999999999999</v>
      </c>
      <c r="M14" s="253"/>
      <c r="N14" s="253" t="s">
        <v>34</v>
      </c>
      <c r="O14" s="253"/>
      <c r="P14" s="253"/>
      <c r="R14">
        <v>1</v>
      </c>
      <c r="S14">
        <v>4.9999999999999996E-2</v>
      </c>
      <c r="T14">
        <v>5.74E-2</v>
      </c>
      <c r="U14">
        <v>220</v>
      </c>
      <c r="V14">
        <v>173</v>
      </c>
      <c r="W14" s="413">
        <v>2.6939999999999999E-2</v>
      </c>
      <c r="X14" s="413">
        <v>1.6330000000000001E-2</v>
      </c>
      <c r="Y14">
        <v>0.26419999999999999</v>
      </c>
      <c r="Z14">
        <v>2.7529999999999999E-2</v>
      </c>
      <c r="AA14">
        <v>0</v>
      </c>
      <c r="AB14">
        <v>2.7529999999999999E-2</v>
      </c>
      <c r="AC14">
        <v>4.1100000000000002E-4</v>
      </c>
      <c r="AD14">
        <v>827.34</v>
      </c>
      <c r="AE14">
        <v>4.17E-4</v>
      </c>
      <c r="AF14">
        <v>850.29</v>
      </c>
      <c r="AG14">
        <v>0.17499999999999999</v>
      </c>
      <c r="AH14">
        <v>7.9999999999999984E-3</v>
      </c>
      <c r="AI14" s="283" t="s">
        <v>405</v>
      </c>
      <c r="AK14" s="254">
        <v>3138</v>
      </c>
      <c r="AL14" s="255">
        <v>3071.15</v>
      </c>
      <c r="AM14" s="256">
        <v>2.2330999999999999</v>
      </c>
      <c r="AN14" s="256">
        <v>2.2275</v>
      </c>
      <c r="AO14" s="255">
        <v>2965.31</v>
      </c>
      <c r="AP14" s="256">
        <v>2.1446999999999998</v>
      </c>
      <c r="AQ14" s="255">
        <v>3070.79</v>
      </c>
      <c r="AR14" s="256">
        <v>2.2372999999999998</v>
      </c>
      <c r="AS14" s="256">
        <v>2.2265000000000001</v>
      </c>
      <c r="AT14" s="255">
        <v>2964.55</v>
      </c>
      <c r="AU14" s="256">
        <v>2.1391</v>
      </c>
      <c r="AV14" s="413">
        <v>1.0086999999999999</v>
      </c>
      <c r="AW14">
        <v>1</v>
      </c>
      <c r="AX14">
        <v>5.1589999999999997E-2</v>
      </c>
      <c r="AY14">
        <v>1.9769999999999999E-2</v>
      </c>
      <c r="AZ14">
        <v>0.25649</v>
      </c>
      <c r="BA14">
        <v>0.2301</v>
      </c>
      <c r="BC14" s="256">
        <v>0.99780000000000002</v>
      </c>
      <c r="BD14" s="253">
        <v>0.99939999999999996</v>
      </c>
      <c r="BE14" s="283" t="s">
        <v>283</v>
      </c>
      <c r="BF14" s="283" t="s">
        <v>283</v>
      </c>
      <c r="BG14" t="s">
        <v>31</v>
      </c>
      <c r="BH14" s="413" t="str">
        <f t="shared" si="0"/>
        <v>00</v>
      </c>
    </row>
    <row r="15" spans="1:60" x14ac:dyDescent="0.35">
      <c r="A15" s="253" t="s">
        <v>65</v>
      </c>
      <c r="B15" s="253"/>
      <c r="C15" s="253" t="s">
        <v>402</v>
      </c>
      <c r="D15" s="253" t="s">
        <v>402</v>
      </c>
      <c r="E15" s="253" t="s">
        <v>393</v>
      </c>
      <c r="F15" s="253" t="s">
        <v>393</v>
      </c>
      <c r="G15" s="253" t="s">
        <v>403</v>
      </c>
      <c r="H15" s="253" t="s">
        <v>385</v>
      </c>
      <c r="I15" s="253" t="s">
        <v>386</v>
      </c>
      <c r="J15" s="253" t="s">
        <v>395</v>
      </c>
      <c r="K15" s="253" t="s">
        <v>28</v>
      </c>
      <c r="L15" s="413">
        <v>1.0126999999999999</v>
      </c>
      <c r="M15" s="253"/>
      <c r="N15" s="253" t="s">
        <v>34</v>
      </c>
      <c r="O15" s="253"/>
      <c r="P15" s="253"/>
      <c r="R15">
        <v>1</v>
      </c>
      <c r="S15">
        <v>0.22109999999999999</v>
      </c>
      <c r="T15">
        <v>0.29259999999999997</v>
      </c>
      <c r="U15">
        <v>268</v>
      </c>
      <c r="V15">
        <v>199</v>
      </c>
      <c r="W15" s="413">
        <v>0.11375</v>
      </c>
      <c r="X15" s="413">
        <v>8.6080000000000004E-2</v>
      </c>
      <c r="Y15">
        <v>0.39269999999999999</v>
      </c>
      <c r="Z15">
        <v>5.4030000000000002E-2</v>
      </c>
      <c r="AA15">
        <v>0</v>
      </c>
      <c r="AB15">
        <v>5.4030000000000002E-2</v>
      </c>
      <c r="AC15">
        <v>1.46E-4</v>
      </c>
      <c r="AD15">
        <v>211.2</v>
      </c>
      <c r="AE15">
        <v>1.47E-4</v>
      </c>
      <c r="AF15">
        <v>203.61</v>
      </c>
      <c r="AG15">
        <v>0.124</v>
      </c>
      <c r="AH15">
        <v>4.9999999999999992E-3</v>
      </c>
      <c r="AI15" s="283" t="s">
        <v>405</v>
      </c>
      <c r="AK15" s="254">
        <v>3808</v>
      </c>
      <c r="AL15" s="255">
        <v>3735.7</v>
      </c>
      <c r="AM15" s="256">
        <v>1.9876</v>
      </c>
      <c r="AN15" s="256">
        <v>1.9834000000000001</v>
      </c>
      <c r="AO15" s="255">
        <v>3417.91</v>
      </c>
      <c r="AP15" s="256">
        <v>2.0428000000000002</v>
      </c>
      <c r="AQ15" s="255">
        <v>3736.36</v>
      </c>
      <c r="AR15" s="256">
        <v>1.9903</v>
      </c>
      <c r="AS15" s="256">
        <v>1.9857</v>
      </c>
      <c r="AT15" s="255">
        <v>3418</v>
      </c>
      <c r="AU15" s="256">
        <v>2.0453999999999999</v>
      </c>
      <c r="AV15" s="413">
        <v>1.0086999999999999</v>
      </c>
      <c r="AW15">
        <v>1</v>
      </c>
      <c r="AX15">
        <v>3.6600000000000001E-3</v>
      </c>
      <c r="AY15">
        <v>5.5999999999999995E-4</v>
      </c>
      <c r="AZ15">
        <v>0.29826999999999998</v>
      </c>
      <c r="BA15">
        <v>0.31330000000000002</v>
      </c>
      <c r="BC15" s="256">
        <v>0.99346999999999996</v>
      </c>
      <c r="BD15" s="253">
        <v>1</v>
      </c>
      <c r="BE15" s="283" t="s">
        <v>283</v>
      </c>
      <c r="BF15" s="283" t="s">
        <v>283</v>
      </c>
      <c r="BG15" t="s">
        <v>31</v>
      </c>
      <c r="BH15" s="413" t="str">
        <f t="shared" si="0"/>
        <v>00</v>
      </c>
    </row>
    <row r="16" spans="1:60" x14ac:dyDescent="0.35">
      <c r="A16" s="253" t="s">
        <v>67</v>
      </c>
      <c r="B16" s="253"/>
      <c r="C16" s="253" t="s">
        <v>406</v>
      </c>
      <c r="D16" s="253" t="s">
        <v>406</v>
      </c>
      <c r="E16" s="253" t="s">
        <v>406</v>
      </c>
      <c r="F16" s="253" t="s">
        <v>406</v>
      </c>
      <c r="G16" s="253" t="s">
        <v>407</v>
      </c>
      <c r="H16" s="253" t="s">
        <v>385</v>
      </c>
      <c r="I16" s="253" t="s">
        <v>386</v>
      </c>
      <c r="J16" s="253" t="s">
        <v>386</v>
      </c>
      <c r="K16" s="253" t="s">
        <v>23</v>
      </c>
      <c r="L16" s="413">
        <v>1.0126999999999999</v>
      </c>
      <c r="M16" s="253"/>
      <c r="N16" s="253"/>
      <c r="O16" s="253"/>
      <c r="P16" s="253"/>
      <c r="R16">
        <v>1</v>
      </c>
      <c r="S16">
        <v>4.6999999999999993E-3</v>
      </c>
      <c r="T16">
        <v>6.0999999999999995E-3</v>
      </c>
      <c r="U16">
        <v>425</v>
      </c>
      <c r="V16">
        <v>310</v>
      </c>
      <c r="W16" s="413">
        <v>2.5699999999999998E-3</v>
      </c>
      <c r="X16" s="413">
        <v>1.72E-3</v>
      </c>
      <c r="Y16">
        <v>0.37230000000000002</v>
      </c>
      <c r="Z16">
        <v>4.9820000000000003E-2</v>
      </c>
      <c r="AA16">
        <v>7.8310000000000005E-2</v>
      </c>
      <c r="AB16">
        <v>4.9820000000000003E-2</v>
      </c>
      <c r="AC16">
        <v>6.8400000000000004E-4</v>
      </c>
      <c r="AD16">
        <v>667.17</v>
      </c>
      <c r="AE16">
        <v>6.4599999999999998E-4</v>
      </c>
      <c r="AF16">
        <v>634.87</v>
      </c>
      <c r="AG16">
        <v>0.16700000000000001</v>
      </c>
      <c r="AH16">
        <v>9.9999999999999985E-3</v>
      </c>
      <c r="AI16" s="283" t="s">
        <v>283</v>
      </c>
      <c r="AK16" s="254">
        <v>6386</v>
      </c>
      <c r="AL16" s="255">
        <v>6249.79</v>
      </c>
      <c r="AM16" s="256">
        <v>2.1326999999999998</v>
      </c>
      <c r="AN16" s="256">
        <v>2.1280000000000001</v>
      </c>
      <c r="AO16" s="255">
        <v>1706.12</v>
      </c>
      <c r="AP16" s="256">
        <v>2.2328999999999999</v>
      </c>
      <c r="AQ16" s="255">
        <v>6253.37</v>
      </c>
      <c r="AR16" s="256">
        <v>2.1356000000000002</v>
      </c>
      <c r="AS16" s="256">
        <v>2.13</v>
      </c>
      <c r="AT16" s="255">
        <v>1706.51</v>
      </c>
      <c r="AU16" s="256">
        <v>2.2313000000000001</v>
      </c>
      <c r="AV16" s="413">
        <v>1.0086999999999999</v>
      </c>
      <c r="AW16">
        <v>1</v>
      </c>
      <c r="AX16">
        <v>2.2919999999999999E-2</v>
      </c>
      <c r="AY16">
        <v>1.2500000000000001E-2</v>
      </c>
      <c r="AZ16">
        <v>0.25555</v>
      </c>
      <c r="BA16">
        <v>0.32129999999999997</v>
      </c>
      <c r="BC16" s="256">
        <v>0.99507999999999996</v>
      </c>
      <c r="BD16" s="253">
        <v>1</v>
      </c>
      <c r="BE16" s="283" t="s">
        <v>283</v>
      </c>
      <c r="BF16" s="283" t="s">
        <v>283</v>
      </c>
      <c r="BG16" t="s">
        <v>31</v>
      </c>
      <c r="BH16" s="413" t="str">
        <f t="shared" si="0"/>
        <v>00</v>
      </c>
    </row>
    <row r="17" spans="1:60" x14ac:dyDescent="0.35">
      <c r="A17" s="253" t="s">
        <v>69</v>
      </c>
      <c r="B17" s="253"/>
      <c r="C17" s="253" t="s">
        <v>408</v>
      </c>
      <c r="D17" s="253" t="s">
        <v>408</v>
      </c>
      <c r="E17" s="253" t="s">
        <v>389</v>
      </c>
      <c r="F17" s="253" t="s">
        <v>393</v>
      </c>
      <c r="G17" s="253" t="s">
        <v>409</v>
      </c>
      <c r="H17" s="253" t="s">
        <v>385</v>
      </c>
      <c r="I17" s="253" t="s">
        <v>386</v>
      </c>
      <c r="J17" s="253" t="s">
        <v>395</v>
      </c>
      <c r="K17" s="253" t="s">
        <v>32</v>
      </c>
      <c r="L17" s="413">
        <v>1.0126999999999999</v>
      </c>
      <c r="M17" s="253"/>
      <c r="N17" s="253" t="s">
        <v>34</v>
      </c>
      <c r="O17" s="253" t="s">
        <v>34</v>
      </c>
      <c r="P17" s="253"/>
      <c r="R17">
        <v>1</v>
      </c>
      <c r="S17">
        <v>7.0699999999999999E-2</v>
      </c>
      <c r="T17">
        <v>0.13239999999999999</v>
      </c>
      <c r="U17">
        <v>253</v>
      </c>
      <c r="V17">
        <v>143</v>
      </c>
      <c r="W17" s="413">
        <v>3.7870000000000001E-2</v>
      </c>
      <c r="X17" s="413">
        <v>3.807E-2</v>
      </c>
      <c r="Y17">
        <v>0.34899999999999998</v>
      </c>
      <c r="Z17">
        <v>4.5019999999999998E-2</v>
      </c>
      <c r="AA17">
        <v>0</v>
      </c>
      <c r="AB17">
        <v>4.5019999999999998E-2</v>
      </c>
      <c r="AD17">
        <v>0</v>
      </c>
      <c r="AF17">
        <v>0</v>
      </c>
      <c r="AG17">
        <v>0.22599999999999998</v>
      </c>
      <c r="AH17">
        <v>2.7E-2</v>
      </c>
      <c r="AI17" s="283" t="s">
        <v>410</v>
      </c>
      <c r="AJ17">
        <v>7742.79</v>
      </c>
      <c r="AK17" s="254">
        <v>3128</v>
      </c>
      <c r="AL17" s="255">
        <v>3088.95</v>
      </c>
      <c r="AM17" s="256">
        <v>2.2412000000000001</v>
      </c>
      <c r="AN17" s="256">
        <v>2.2347999999999999</v>
      </c>
      <c r="AO17" s="255">
        <v>1636.23</v>
      </c>
      <c r="AP17" s="256">
        <v>2.1583000000000001</v>
      </c>
      <c r="AQ17" s="255">
        <v>3089.35</v>
      </c>
      <c r="AR17" s="256">
        <v>2.2410999999999999</v>
      </c>
      <c r="AS17" s="256">
        <v>2.2334000000000001</v>
      </c>
      <c r="AT17" s="255">
        <v>1636.41</v>
      </c>
      <c r="AU17" s="256">
        <v>2.1621999999999999</v>
      </c>
      <c r="AV17" s="413">
        <v>1.0086999999999999</v>
      </c>
      <c r="AW17">
        <v>1</v>
      </c>
      <c r="AX17">
        <v>2.964E-2</v>
      </c>
      <c r="AY17">
        <v>8.3379999999999996E-2</v>
      </c>
      <c r="AZ17">
        <v>0.37628</v>
      </c>
      <c r="BA17">
        <v>0.29360000000000003</v>
      </c>
      <c r="BC17" s="256">
        <v>0.99587999999999999</v>
      </c>
      <c r="BD17" s="253">
        <v>0.999</v>
      </c>
      <c r="BE17" s="283" t="s">
        <v>283</v>
      </c>
      <c r="BF17" s="283" t="s">
        <v>283</v>
      </c>
      <c r="BG17" t="s">
        <v>31</v>
      </c>
      <c r="BH17" s="413" t="str">
        <f t="shared" si="0"/>
        <v>00</v>
      </c>
    </row>
    <row r="18" spans="1:60" x14ac:dyDescent="0.35">
      <c r="A18" s="253" t="s">
        <v>71</v>
      </c>
      <c r="B18" s="253"/>
      <c r="C18" s="253" t="s">
        <v>389</v>
      </c>
      <c r="D18" s="253" t="s">
        <v>389</v>
      </c>
      <c r="E18" s="253" t="s">
        <v>389</v>
      </c>
      <c r="F18" s="253" t="s">
        <v>393</v>
      </c>
      <c r="G18" s="253" t="s">
        <v>390</v>
      </c>
      <c r="H18" s="253" t="s">
        <v>385</v>
      </c>
      <c r="I18" s="253" t="s">
        <v>391</v>
      </c>
      <c r="J18" s="253" t="s">
        <v>395</v>
      </c>
      <c r="K18" s="253" t="s">
        <v>32</v>
      </c>
      <c r="L18" s="413">
        <v>1.0126999999999999</v>
      </c>
      <c r="M18" s="253"/>
      <c r="N18" s="253" t="s">
        <v>34</v>
      </c>
      <c r="O18" s="253" t="s">
        <v>34</v>
      </c>
      <c r="P18" s="253"/>
      <c r="R18">
        <v>1</v>
      </c>
      <c r="S18">
        <v>0.53959999999999997</v>
      </c>
      <c r="T18">
        <v>0.58919999999999995</v>
      </c>
      <c r="U18">
        <v>653</v>
      </c>
      <c r="V18">
        <v>577</v>
      </c>
      <c r="W18" s="413">
        <v>0.25780999999999998</v>
      </c>
      <c r="X18" s="413">
        <v>0.18089</v>
      </c>
      <c r="Y18">
        <v>0.41089999999999999</v>
      </c>
      <c r="Z18">
        <v>5.7790000000000001E-2</v>
      </c>
      <c r="AA18">
        <v>0</v>
      </c>
      <c r="AB18">
        <v>5.7790000000000001E-2</v>
      </c>
      <c r="AC18">
        <v>1.2199999999999999E-3</v>
      </c>
      <c r="AD18">
        <v>955.77</v>
      </c>
      <c r="AE18">
        <v>1.129E-3</v>
      </c>
      <c r="AF18">
        <v>861.43</v>
      </c>
      <c r="AG18">
        <v>0.14399999999999999</v>
      </c>
      <c r="AH18">
        <v>7.9999999999999984E-3</v>
      </c>
      <c r="AI18" s="283" t="s">
        <v>405</v>
      </c>
      <c r="AK18" s="254">
        <v>7362</v>
      </c>
      <c r="AL18" s="255">
        <v>7279.79</v>
      </c>
      <c r="AM18" s="256">
        <v>2.5703999999999998</v>
      </c>
      <c r="AN18" s="256">
        <v>2.5369000000000002</v>
      </c>
      <c r="AO18" s="255">
        <v>3372.45</v>
      </c>
      <c r="AP18" s="256">
        <v>2.3534000000000002</v>
      </c>
      <c r="AQ18" s="255">
        <v>7280.39</v>
      </c>
      <c r="AR18" s="256">
        <v>2.5621</v>
      </c>
      <c r="AS18" s="256">
        <v>2.5301</v>
      </c>
      <c r="AT18" s="255">
        <v>3373.27</v>
      </c>
      <c r="AU18" s="256">
        <v>2.3565999999999998</v>
      </c>
      <c r="AV18" s="413">
        <v>1.0086999999999999</v>
      </c>
      <c r="AW18">
        <v>1</v>
      </c>
      <c r="AX18">
        <v>0.11285000000000001</v>
      </c>
      <c r="AY18">
        <v>7.535E-2</v>
      </c>
      <c r="AZ18">
        <v>0.25683</v>
      </c>
      <c r="BA18">
        <v>0.35489999999999999</v>
      </c>
      <c r="BC18" s="256">
        <v>0.99843999999999999</v>
      </c>
      <c r="BD18" s="253">
        <v>0.99809999999999999</v>
      </c>
      <c r="BE18" s="283" t="s">
        <v>283</v>
      </c>
      <c r="BF18" s="283" t="s">
        <v>283</v>
      </c>
      <c r="BG18" t="s">
        <v>16</v>
      </c>
      <c r="BH18" s="413" t="str">
        <f t="shared" si="0"/>
        <v>00</v>
      </c>
    </row>
    <row r="19" spans="1:60" s="145" customFormat="1" x14ac:dyDescent="0.35">
      <c r="A19" s="432" t="s">
        <v>73</v>
      </c>
      <c r="B19" s="432"/>
      <c r="C19" s="432" t="s">
        <v>387</v>
      </c>
      <c r="D19" s="432" t="s">
        <v>387</v>
      </c>
      <c r="E19" s="432" t="s">
        <v>387</v>
      </c>
      <c r="F19" s="432" t="s">
        <v>387</v>
      </c>
      <c r="G19" s="432" t="s">
        <v>388</v>
      </c>
      <c r="H19" s="432" t="s">
        <v>385</v>
      </c>
      <c r="I19" s="432" t="s">
        <v>386</v>
      </c>
      <c r="J19" s="432" t="s">
        <v>386</v>
      </c>
      <c r="K19" s="432" t="s">
        <v>23</v>
      </c>
      <c r="L19" s="433">
        <v>1.0126999999999999</v>
      </c>
      <c r="M19" s="432"/>
      <c r="N19" s="432"/>
      <c r="O19" s="432"/>
      <c r="P19" s="432"/>
      <c r="R19" s="145">
        <v>1</v>
      </c>
      <c r="S19" s="145">
        <v>0</v>
      </c>
      <c r="T19" s="145">
        <v>0</v>
      </c>
      <c r="U19" s="145">
        <v>139</v>
      </c>
      <c r="V19" s="145">
        <v>69</v>
      </c>
      <c r="W19" s="433">
        <v>0</v>
      </c>
      <c r="X19" s="433">
        <v>0</v>
      </c>
      <c r="Y19" s="145">
        <v>0.20449999999999999</v>
      </c>
      <c r="Z19" s="145">
        <v>1.5219999999999999E-2</v>
      </c>
      <c r="AA19" s="145">
        <v>4.2279999999999998E-2</v>
      </c>
      <c r="AB19" s="145">
        <v>1.5219999999999999E-2</v>
      </c>
      <c r="AC19" s="145">
        <v>3.1500000000000001E-4</v>
      </c>
      <c r="AD19" s="145">
        <v>797.96</v>
      </c>
      <c r="AE19" s="145">
        <v>4.9200000000000003E-4</v>
      </c>
      <c r="AF19" s="145">
        <v>1225.0999999999999</v>
      </c>
      <c r="AG19" s="145">
        <v>0.18099999999999999</v>
      </c>
      <c r="AH19" s="145">
        <v>1.3999999999999999E-2</v>
      </c>
      <c r="AI19" s="434" t="s">
        <v>283</v>
      </c>
      <c r="AK19" s="435">
        <v>2339</v>
      </c>
      <c r="AL19" s="436">
        <v>2302.88</v>
      </c>
      <c r="AM19" s="437">
        <v>2.0773999999999999</v>
      </c>
      <c r="AN19" s="437">
        <v>2.0726</v>
      </c>
      <c r="AO19" s="436"/>
      <c r="AP19" s="437"/>
      <c r="AQ19" s="436">
        <v>2303.13</v>
      </c>
      <c r="AR19" s="437">
        <v>2.0653999999999999</v>
      </c>
      <c r="AS19" s="437">
        <v>2.0598999999999998</v>
      </c>
      <c r="AT19" s="436"/>
      <c r="AU19" s="437"/>
      <c r="AV19" s="433">
        <v>1.0086999999999999</v>
      </c>
      <c r="AW19" s="145">
        <v>1</v>
      </c>
      <c r="AX19" s="145">
        <v>5.8900000000000001E-2</v>
      </c>
      <c r="AY19" s="145">
        <v>5.5899999999999998E-2</v>
      </c>
      <c r="AZ19" s="145">
        <v>0.37698999999999999</v>
      </c>
      <c r="BA19" s="145">
        <v>0.16880000000000001</v>
      </c>
      <c r="BC19" s="437">
        <v>1.0048600000000001</v>
      </c>
      <c r="BD19" s="432">
        <v>0.99809999999999999</v>
      </c>
      <c r="BE19" s="434" t="s">
        <v>283</v>
      </c>
      <c r="BF19" s="434" t="s">
        <v>411</v>
      </c>
      <c r="BG19" s="145" t="s">
        <v>31</v>
      </c>
      <c r="BH19" s="433" t="str">
        <f t="shared" si="0"/>
        <v>01</v>
      </c>
    </row>
    <row r="20" spans="1:60" x14ac:dyDescent="0.35">
      <c r="A20" s="253" t="s">
        <v>75</v>
      </c>
      <c r="B20" s="253"/>
      <c r="C20" s="253" t="s">
        <v>389</v>
      </c>
      <c r="D20" s="253" t="s">
        <v>389</v>
      </c>
      <c r="E20" s="253" t="s">
        <v>389</v>
      </c>
      <c r="F20" s="253" t="s">
        <v>389</v>
      </c>
      <c r="G20" s="253" t="s">
        <v>401</v>
      </c>
      <c r="H20" s="253" t="s">
        <v>385</v>
      </c>
      <c r="I20" s="253" t="s">
        <v>391</v>
      </c>
      <c r="J20" s="253" t="s">
        <v>391</v>
      </c>
      <c r="K20" s="253" t="s">
        <v>23</v>
      </c>
      <c r="L20" s="413">
        <v>1.0126999999999999</v>
      </c>
      <c r="M20" s="253"/>
      <c r="N20" s="253"/>
      <c r="O20" s="253"/>
      <c r="P20" s="253"/>
      <c r="R20">
        <v>1</v>
      </c>
      <c r="S20">
        <v>0.20149999999999998</v>
      </c>
      <c r="T20">
        <v>0.34059999999999996</v>
      </c>
      <c r="U20">
        <v>358</v>
      </c>
      <c r="V20">
        <v>207</v>
      </c>
      <c r="W20" s="413">
        <v>0.10419</v>
      </c>
      <c r="X20" s="413">
        <v>0.10088999999999999</v>
      </c>
      <c r="Y20">
        <v>0.30470000000000003</v>
      </c>
      <c r="Z20">
        <v>3.5880000000000002E-2</v>
      </c>
      <c r="AA20">
        <v>6.3649999999999998E-2</v>
      </c>
      <c r="AB20">
        <v>3.5880000000000002E-2</v>
      </c>
      <c r="AC20">
        <v>3.86E-4</v>
      </c>
      <c r="AD20">
        <v>1624.29</v>
      </c>
      <c r="AE20">
        <v>3.5399999999999999E-4</v>
      </c>
      <c r="AF20">
        <v>1416.6</v>
      </c>
      <c r="AG20">
        <v>0.16499999999999998</v>
      </c>
      <c r="AH20">
        <v>2.3999999999999997E-2</v>
      </c>
      <c r="AI20" s="283" t="s">
        <v>283</v>
      </c>
      <c r="AK20" s="254">
        <v>1199</v>
      </c>
      <c r="AL20" s="255">
        <v>1177.95</v>
      </c>
      <c r="AM20" s="256">
        <v>2.4134000000000002</v>
      </c>
      <c r="AN20" s="256">
        <v>2.4018000000000002</v>
      </c>
      <c r="AO20" s="255">
        <v>5217.09</v>
      </c>
      <c r="AP20" s="256">
        <v>2.13</v>
      </c>
      <c r="AQ20" s="255">
        <v>1177.9000000000001</v>
      </c>
      <c r="AR20" s="256">
        <v>2.3938000000000001</v>
      </c>
      <c r="AS20" s="256">
        <v>2.3820000000000001</v>
      </c>
      <c r="AT20" s="255">
        <v>5218.1400000000003</v>
      </c>
      <c r="AU20" s="256">
        <v>2.1206999999999998</v>
      </c>
      <c r="AV20" s="413">
        <v>1.0086999999999999</v>
      </c>
      <c r="AW20">
        <v>1</v>
      </c>
      <c r="AX20">
        <v>4.8860000000000001E-2</v>
      </c>
      <c r="AY20">
        <v>0.1464</v>
      </c>
      <c r="AZ20">
        <v>9.2249999999999999E-2</v>
      </c>
      <c r="BA20">
        <v>0.26229999999999998</v>
      </c>
      <c r="BC20" s="256">
        <v>1.00935</v>
      </c>
      <c r="BD20" s="253">
        <v>0.99909999999999999</v>
      </c>
      <c r="BE20" s="283" t="s">
        <v>283</v>
      </c>
      <c r="BF20" s="283" t="s">
        <v>283</v>
      </c>
      <c r="BG20" t="s">
        <v>31</v>
      </c>
      <c r="BH20" s="413" t="str">
        <f t="shared" si="0"/>
        <v>00</v>
      </c>
    </row>
    <row r="21" spans="1:60" x14ac:dyDescent="0.35">
      <c r="A21" s="253" t="s">
        <v>77</v>
      </c>
      <c r="B21" s="253"/>
      <c r="C21" s="253" t="s">
        <v>399</v>
      </c>
      <c r="D21" s="253" t="s">
        <v>399</v>
      </c>
      <c r="E21" s="253" t="s">
        <v>399</v>
      </c>
      <c r="F21" s="253" t="s">
        <v>399</v>
      </c>
      <c r="G21" s="253" t="s">
        <v>400</v>
      </c>
      <c r="H21" s="253" t="s">
        <v>385</v>
      </c>
      <c r="I21" s="253" t="s">
        <v>386</v>
      </c>
      <c r="J21" s="253" t="s">
        <v>386</v>
      </c>
      <c r="K21" s="253" t="s">
        <v>23</v>
      </c>
      <c r="L21" s="413">
        <v>1.0126999999999999</v>
      </c>
      <c r="M21" s="253"/>
      <c r="N21" s="253"/>
      <c r="O21" s="253"/>
      <c r="P21" s="253"/>
      <c r="R21">
        <v>1</v>
      </c>
      <c r="S21">
        <v>0</v>
      </c>
      <c r="T21">
        <v>0</v>
      </c>
      <c r="U21">
        <v>101</v>
      </c>
      <c r="V21">
        <v>22</v>
      </c>
      <c r="W21" s="413">
        <v>0</v>
      </c>
      <c r="X21" s="413">
        <v>0</v>
      </c>
      <c r="Y21">
        <v>0.2737</v>
      </c>
      <c r="Z21">
        <v>2.9489999999999999E-2</v>
      </c>
      <c r="AA21">
        <v>5.6989999999999999E-2</v>
      </c>
      <c r="AB21">
        <v>2.9489999999999999E-2</v>
      </c>
      <c r="AC21">
        <v>8.7999999999999998E-5</v>
      </c>
      <c r="AD21">
        <v>784.08</v>
      </c>
      <c r="AE21">
        <v>8.7000000000000001E-5</v>
      </c>
      <c r="AF21">
        <v>719.71</v>
      </c>
      <c r="AG21">
        <v>0.308</v>
      </c>
      <c r="AH21">
        <v>4.2999999999999997E-2</v>
      </c>
      <c r="AI21" s="283" t="s">
        <v>283</v>
      </c>
      <c r="AK21" s="254">
        <v>569</v>
      </c>
      <c r="AL21" s="255">
        <v>548.76</v>
      </c>
      <c r="AM21" s="256">
        <v>1.8023</v>
      </c>
      <c r="AN21" s="256">
        <v>1.7929999999999999</v>
      </c>
      <c r="AO21" s="255"/>
      <c r="AP21" s="256"/>
      <c r="AQ21" s="255">
        <v>548.77</v>
      </c>
      <c r="AR21" s="256">
        <v>1.7983</v>
      </c>
      <c r="AS21" s="256">
        <v>1.7891999999999999</v>
      </c>
      <c r="AT21" s="255"/>
      <c r="AU21" s="256"/>
      <c r="AV21" s="413">
        <v>1.0086999999999999</v>
      </c>
      <c r="AW21">
        <v>1</v>
      </c>
      <c r="AX21">
        <v>3.5409999999999997E-2</v>
      </c>
      <c r="AY21">
        <v>0.1182</v>
      </c>
      <c r="AZ21">
        <v>0.25719999999999998</v>
      </c>
      <c r="BA21">
        <v>0.24199999999999999</v>
      </c>
      <c r="BC21" s="256">
        <v>1.0071000000000001</v>
      </c>
      <c r="BD21" s="253">
        <v>0.99980000000000002</v>
      </c>
      <c r="BE21" s="283" t="s">
        <v>283</v>
      </c>
      <c r="BF21" s="283" t="s">
        <v>283</v>
      </c>
      <c r="BG21" t="s">
        <v>31</v>
      </c>
      <c r="BH21" s="413" t="str">
        <f t="shared" si="0"/>
        <v>00</v>
      </c>
    </row>
    <row r="22" spans="1:60" x14ac:dyDescent="0.35">
      <c r="A22" s="253" t="s">
        <v>79</v>
      </c>
      <c r="B22" s="253"/>
      <c r="C22" s="253" t="s">
        <v>406</v>
      </c>
      <c r="D22" s="253" t="s">
        <v>406</v>
      </c>
      <c r="E22" s="253" t="s">
        <v>406</v>
      </c>
      <c r="F22" s="253" t="s">
        <v>406</v>
      </c>
      <c r="G22" s="253" t="s">
        <v>407</v>
      </c>
      <c r="H22" s="253" t="s">
        <v>385</v>
      </c>
      <c r="I22" s="253" t="s">
        <v>386</v>
      </c>
      <c r="J22" s="253" t="s">
        <v>386</v>
      </c>
      <c r="K22" s="253" t="s">
        <v>23</v>
      </c>
      <c r="L22" s="413">
        <v>1.0126999999999999</v>
      </c>
      <c r="M22" s="253"/>
      <c r="N22" s="253"/>
      <c r="O22" s="253"/>
      <c r="P22" s="253"/>
      <c r="R22">
        <v>1</v>
      </c>
      <c r="S22">
        <v>1.01E-2</v>
      </c>
      <c r="T22">
        <v>1.5399999999999999E-2</v>
      </c>
      <c r="U22">
        <v>473</v>
      </c>
      <c r="V22">
        <v>298</v>
      </c>
      <c r="W22" s="413">
        <v>5.5100000000000001E-3</v>
      </c>
      <c r="X22" s="413">
        <v>4.3600000000000002E-3</v>
      </c>
      <c r="Y22">
        <v>0.30730000000000002</v>
      </c>
      <c r="Z22">
        <v>3.6420000000000001E-2</v>
      </c>
      <c r="AA22">
        <v>6.4210000000000003E-2</v>
      </c>
      <c r="AB22">
        <v>3.6420000000000001E-2</v>
      </c>
      <c r="AC22">
        <v>4.9299999999999995E-4</v>
      </c>
      <c r="AD22">
        <v>477.37</v>
      </c>
      <c r="AE22">
        <v>4.37E-4</v>
      </c>
      <c r="AF22">
        <v>411.82</v>
      </c>
      <c r="AG22">
        <v>0.16599999999999998</v>
      </c>
      <c r="AH22">
        <v>1.1999999999999999E-2</v>
      </c>
      <c r="AI22" s="283" t="s">
        <v>283</v>
      </c>
      <c r="AK22" s="254">
        <v>5929</v>
      </c>
      <c r="AL22" s="255">
        <v>5819.16</v>
      </c>
      <c r="AM22" s="256">
        <v>2.1036999999999999</v>
      </c>
      <c r="AN22" s="256">
        <v>2.0985</v>
      </c>
      <c r="AO22" s="255">
        <v>5274.94</v>
      </c>
      <c r="AP22" s="256">
        <v>1.9914000000000001</v>
      </c>
      <c r="AQ22" s="255">
        <v>5818.01</v>
      </c>
      <c r="AR22" s="256">
        <v>2.1017000000000001</v>
      </c>
      <c r="AS22" s="256">
        <v>2.0956999999999999</v>
      </c>
      <c r="AT22" s="255">
        <v>5275.72</v>
      </c>
      <c r="AU22" s="256">
        <v>1.9850000000000001</v>
      </c>
      <c r="AV22" s="413">
        <v>1.0086999999999999</v>
      </c>
      <c r="AW22">
        <v>1</v>
      </c>
      <c r="AX22">
        <v>2.266E-2</v>
      </c>
      <c r="AY22">
        <v>1.7909999999999999E-2</v>
      </c>
      <c r="AZ22">
        <v>0.24335999999999999</v>
      </c>
      <c r="BA22">
        <v>0.2646</v>
      </c>
      <c r="BC22" s="256">
        <v>0.99716000000000005</v>
      </c>
      <c r="BD22" s="253">
        <v>1</v>
      </c>
      <c r="BE22" s="283" t="s">
        <v>283</v>
      </c>
      <c r="BF22" s="283" t="s">
        <v>283</v>
      </c>
      <c r="BG22" t="s">
        <v>31</v>
      </c>
      <c r="BH22" s="413" t="str">
        <f t="shared" si="0"/>
        <v>00</v>
      </c>
    </row>
    <row r="23" spans="1:60" x14ac:dyDescent="0.35">
      <c r="A23" s="253" t="s">
        <v>81</v>
      </c>
      <c r="B23" s="253"/>
      <c r="C23" s="253" t="s">
        <v>389</v>
      </c>
      <c r="D23" s="253" t="s">
        <v>389</v>
      </c>
      <c r="E23" s="253" t="s">
        <v>389</v>
      </c>
      <c r="F23" s="253" t="s">
        <v>389</v>
      </c>
      <c r="G23" s="253" t="s">
        <v>401</v>
      </c>
      <c r="H23" s="253" t="s">
        <v>385</v>
      </c>
      <c r="I23" s="253" t="s">
        <v>391</v>
      </c>
      <c r="J23" s="253" t="s">
        <v>391</v>
      </c>
      <c r="K23" s="253" t="s">
        <v>23</v>
      </c>
      <c r="L23" s="413">
        <v>1.0126999999999999</v>
      </c>
      <c r="M23" s="253"/>
      <c r="N23" s="253"/>
      <c r="O23" s="253"/>
      <c r="P23" s="253"/>
      <c r="R23">
        <v>1</v>
      </c>
      <c r="S23">
        <v>4.4899999999999995E-2</v>
      </c>
      <c r="T23">
        <v>8.7799999999999989E-2</v>
      </c>
      <c r="U23">
        <v>219</v>
      </c>
      <c r="V23">
        <v>114</v>
      </c>
      <c r="W23" s="413">
        <v>2.4230000000000002E-2</v>
      </c>
      <c r="X23" s="413">
        <v>2.5090000000000001E-2</v>
      </c>
      <c r="Y23">
        <v>0.30590000000000001</v>
      </c>
      <c r="Z23">
        <v>3.6130000000000002E-2</v>
      </c>
      <c r="AA23">
        <v>6.3899999999999998E-2</v>
      </c>
      <c r="AB23">
        <v>3.6130000000000002E-2</v>
      </c>
      <c r="AC23">
        <v>1.54E-4</v>
      </c>
      <c r="AD23">
        <v>481.25</v>
      </c>
      <c r="AE23">
        <v>1.4999999999999999E-4</v>
      </c>
      <c r="AF23">
        <v>441.22</v>
      </c>
      <c r="AG23">
        <v>9.6999999999999989E-2</v>
      </c>
      <c r="AH23">
        <v>1.4999999999999999E-2</v>
      </c>
      <c r="AI23" s="283" t="s">
        <v>283</v>
      </c>
      <c r="AK23" s="254">
        <v>1620</v>
      </c>
      <c r="AL23" s="255">
        <v>1588.7</v>
      </c>
      <c r="AM23" s="256">
        <v>2.0903999999999998</v>
      </c>
      <c r="AN23" s="256">
        <v>2.0714000000000001</v>
      </c>
      <c r="AO23" s="255">
        <v>1339.85</v>
      </c>
      <c r="AP23" s="256">
        <v>1.9885999999999999</v>
      </c>
      <c r="AQ23" s="255">
        <v>1588.55</v>
      </c>
      <c r="AR23" s="256">
        <v>2.0869</v>
      </c>
      <c r="AS23" s="256">
        <v>2.0648</v>
      </c>
      <c r="AT23" s="255">
        <v>1339.51</v>
      </c>
      <c r="AU23" s="256">
        <v>1.9877</v>
      </c>
      <c r="AV23" s="413">
        <v>1.0086999999999999</v>
      </c>
      <c r="AW23">
        <v>1</v>
      </c>
      <c r="AX23">
        <v>2.4750000000000001E-2</v>
      </c>
      <c r="AY23">
        <v>9.3789999999999998E-2</v>
      </c>
      <c r="AZ23">
        <v>0.1749</v>
      </c>
      <c r="BA23">
        <v>0.25059999999999999</v>
      </c>
      <c r="BC23" s="256">
        <v>1.00678</v>
      </c>
      <c r="BD23" s="253">
        <v>0.99980000000000002</v>
      </c>
      <c r="BE23" s="283" t="s">
        <v>283</v>
      </c>
      <c r="BF23" s="283" t="s">
        <v>283</v>
      </c>
      <c r="BG23" t="s">
        <v>25</v>
      </c>
      <c r="BH23" s="413" t="str">
        <f t="shared" si="0"/>
        <v>00</v>
      </c>
    </row>
    <row r="24" spans="1:60" x14ac:dyDescent="0.35">
      <c r="A24" s="253" t="s">
        <v>83</v>
      </c>
      <c r="B24" s="253"/>
      <c r="C24" s="253" t="s">
        <v>389</v>
      </c>
      <c r="D24" s="253" t="s">
        <v>389</v>
      </c>
      <c r="E24" s="253" t="s">
        <v>389</v>
      </c>
      <c r="F24" s="253" t="s">
        <v>389</v>
      </c>
      <c r="G24" s="253" t="s">
        <v>412</v>
      </c>
      <c r="H24" s="253" t="s">
        <v>385</v>
      </c>
      <c r="I24" s="253" t="s">
        <v>391</v>
      </c>
      <c r="J24" s="253" t="s">
        <v>391</v>
      </c>
      <c r="K24" s="253" t="s">
        <v>23</v>
      </c>
      <c r="L24" s="413">
        <v>1.0126999999999999</v>
      </c>
      <c r="M24" s="253"/>
      <c r="N24" s="253"/>
      <c r="O24" s="253"/>
      <c r="P24" s="253"/>
      <c r="R24">
        <v>1</v>
      </c>
      <c r="S24">
        <v>9.9699999999999997E-2</v>
      </c>
      <c r="T24">
        <v>0.12599999999999997</v>
      </c>
      <c r="U24">
        <v>342</v>
      </c>
      <c r="V24">
        <v>263</v>
      </c>
      <c r="W24" s="413">
        <v>5.2970000000000003E-2</v>
      </c>
      <c r="X24" s="413">
        <v>3.6200000000000003E-2</v>
      </c>
      <c r="Y24">
        <v>0.29559999999999997</v>
      </c>
      <c r="Z24">
        <v>3.4009999999999999E-2</v>
      </c>
      <c r="AA24">
        <v>6.1690000000000002E-2</v>
      </c>
      <c r="AB24">
        <v>3.4009999999999999E-2</v>
      </c>
      <c r="AC24">
        <v>3.8200000000000002E-4</v>
      </c>
      <c r="AD24">
        <v>552.24</v>
      </c>
      <c r="AE24">
        <v>3.5799999999999997E-4</v>
      </c>
      <c r="AF24">
        <v>513.84</v>
      </c>
      <c r="AG24">
        <v>7.5999999999999998E-2</v>
      </c>
      <c r="AH24">
        <v>1.0999999999999999E-2</v>
      </c>
      <c r="AI24" s="283" t="s">
        <v>283</v>
      </c>
      <c r="AK24" s="254">
        <v>4097</v>
      </c>
      <c r="AL24" s="255">
        <v>4029.51</v>
      </c>
      <c r="AM24" s="256">
        <v>2.2871000000000001</v>
      </c>
      <c r="AN24" s="256">
        <v>2.2803</v>
      </c>
      <c r="AO24" s="255">
        <v>4430.1400000000003</v>
      </c>
      <c r="AP24" s="256">
        <v>2.0962000000000001</v>
      </c>
      <c r="AQ24" s="255">
        <v>4029.01</v>
      </c>
      <c r="AR24" s="256">
        <v>2.2905000000000002</v>
      </c>
      <c r="AS24" s="256">
        <v>2.2799</v>
      </c>
      <c r="AT24" s="255">
        <v>4431.18</v>
      </c>
      <c r="AU24" s="256">
        <v>2.0966999999999998</v>
      </c>
      <c r="AV24" s="413">
        <v>1.0086999999999999</v>
      </c>
      <c r="AW24">
        <v>1</v>
      </c>
      <c r="AX24">
        <v>4.6879999999999998E-2</v>
      </c>
      <c r="AY24">
        <v>0.15540999999999999</v>
      </c>
      <c r="AZ24">
        <v>0.25906000000000001</v>
      </c>
      <c r="BA24">
        <v>0.25569999999999998</v>
      </c>
      <c r="BC24" s="256">
        <v>1.00037</v>
      </c>
      <c r="BD24" s="253">
        <v>0.99760000000000004</v>
      </c>
      <c r="BE24" s="283" t="s">
        <v>283</v>
      </c>
      <c r="BF24" s="283" t="s">
        <v>283</v>
      </c>
      <c r="BG24" t="s">
        <v>25</v>
      </c>
      <c r="BH24" s="413" t="str">
        <f t="shared" si="0"/>
        <v>00</v>
      </c>
    </row>
    <row r="25" spans="1:60" x14ac:dyDescent="0.35">
      <c r="A25" s="253" t="s">
        <v>85</v>
      </c>
      <c r="B25" s="253"/>
      <c r="C25" s="253" t="s">
        <v>392</v>
      </c>
      <c r="D25" s="253" t="s">
        <v>393</v>
      </c>
      <c r="E25" s="253" t="s">
        <v>393</v>
      </c>
      <c r="F25" s="253" t="s">
        <v>393</v>
      </c>
      <c r="G25" s="253" t="s">
        <v>413</v>
      </c>
      <c r="H25" s="253" t="s">
        <v>385</v>
      </c>
      <c r="I25" s="253" t="s">
        <v>395</v>
      </c>
      <c r="J25" s="253" t="s">
        <v>395</v>
      </c>
      <c r="K25" s="253" t="s">
        <v>23</v>
      </c>
      <c r="L25" s="413">
        <v>1.0126999999999999</v>
      </c>
      <c r="M25" s="253"/>
      <c r="N25" s="253"/>
      <c r="O25" s="253"/>
      <c r="P25" s="253"/>
      <c r="R25">
        <v>1</v>
      </c>
      <c r="S25">
        <v>0</v>
      </c>
      <c r="T25">
        <v>0</v>
      </c>
      <c r="U25">
        <v>36</v>
      </c>
      <c r="V25">
        <v>6</v>
      </c>
      <c r="W25" s="413">
        <v>0</v>
      </c>
      <c r="X25" s="413">
        <v>0</v>
      </c>
      <c r="Y25">
        <v>0.43419999999999997</v>
      </c>
      <c r="Z25">
        <v>0.03</v>
      </c>
      <c r="AA25">
        <v>0</v>
      </c>
      <c r="AB25">
        <v>0.03</v>
      </c>
      <c r="AD25">
        <v>0</v>
      </c>
      <c r="AF25">
        <v>0</v>
      </c>
      <c r="AG25">
        <v>0.27199999999999996</v>
      </c>
      <c r="AH25">
        <v>2.5999999999999999E-2</v>
      </c>
      <c r="AI25" s="283" t="s">
        <v>396</v>
      </c>
      <c r="AJ25">
        <v>7329.9</v>
      </c>
      <c r="AK25" s="254">
        <v>213</v>
      </c>
      <c r="AL25" s="255">
        <v>205.43</v>
      </c>
      <c r="AM25" s="256">
        <v>1.4013</v>
      </c>
      <c r="AN25" s="256">
        <v>1.3855</v>
      </c>
      <c r="AO25" s="255"/>
      <c r="AP25" s="256"/>
      <c r="AQ25" s="255">
        <v>205.73</v>
      </c>
      <c r="AR25" s="256">
        <v>1.3937999999999999</v>
      </c>
      <c r="AS25" s="256">
        <v>1.3774999999999999</v>
      </c>
      <c r="AT25" s="255"/>
      <c r="AU25" s="256"/>
      <c r="AV25" s="413">
        <v>1.0086999999999999</v>
      </c>
      <c r="AW25">
        <v>1</v>
      </c>
      <c r="AX25">
        <v>1.337E-2</v>
      </c>
      <c r="AY25">
        <v>2.8840000000000001E-2</v>
      </c>
      <c r="AZ25">
        <v>0.32899</v>
      </c>
      <c r="BA25">
        <v>0.36919999999999997</v>
      </c>
      <c r="BC25" s="256">
        <v>1.0009600000000001</v>
      </c>
      <c r="BD25" s="253">
        <v>1</v>
      </c>
      <c r="BE25" s="283" t="s">
        <v>283</v>
      </c>
      <c r="BF25" s="283" t="s">
        <v>283</v>
      </c>
      <c r="BG25" t="s">
        <v>25</v>
      </c>
      <c r="BH25" s="413" t="str">
        <f t="shared" si="0"/>
        <v>00</v>
      </c>
    </row>
    <row r="26" spans="1:60" x14ac:dyDescent="0.35">
      <c r="A26" s="253" t="s">
        <v>87</v>
      </c>
      <c r="B26" s="253"/>
      <c r="C26" s="253" t="s">
        <v>392</v>
      </c>
      <c r="D26" s="253" t="s">
        <v>393</v>
      </c>
      <c r="E26" s="253" t="s">
        <v>393</v>
      </c>
      <c r="F26" s="253" t="s">
        <v>393</v>
      </c>
      <c r="G26" s="253" t="s">
        <v>414</v>
      </c>
      <c r="H26" s="253" t="s">
        <v>385</v>
      </c>
      <c r="I26" s="253" t="s">
        <v>395</v>
      </c>
      <c r="J26" s="253" t="s">
        <v>395</v>
      </c>
      <c r="K26" s="253" t="s">
        <v>23</v>
      </c>
      <c r="L26" s="413">
        <v>1.0126999999999999</v>
      </c>
      <c r="M26" s="253"/>
      <c r="N26" s="253"/>
      <c r="O26" s="253"/>
      <c r="P26" s="253"/>
      <c r="R26">
        <v>1</v>
      </c>
      <c r="S26">
        <v>0</v>
      </c>
      <c r="T26">
        <v>0</v>
      </c>
      <c r="U26">
        <v>39</v>
      </c>
      <c r="V26">
        <v>7</v>
      </c>
      <c r="W26" s="413">
        <v>0</v>
      </c>
      <c r="X26" s="413">
        <v>0</v>
      </c>
      <c r="Y26">
        <v>0.3085</v>
      </c>
      <c r="Z26">
        <v>0.03</v>
      </c>
      <c r="AA26">
        <v>0</v>
      </c>
      <c r="AB26">
        <v>0.03</v>
      </c>
      <c r="AD26">
        <v>0</v>
      </c>
      <c r="AF26">
        <v>0</v>
      </c>
      <c r="AG26">
        <v>0.40399999999999997</v>
      </c>
      <c r="AH26">
        <v>5.0999999999999997E-2</v>
      </c>
      <c r="AI26" s="283" t="s">
        <v>396</v>
      </c>
      <c r="AJ26">
        <v>10736.66</v>
      </c>
      <c r="AK26" s="254">
        <v>287</v>
      </c>
      <c r="AL26" s="255">
        <v>279.14</v>
      </c>
      <c r="AM26" s="256">
        <v>1.9322999999999999</v>
      </c>
      <c r="AN26" s="256">
        <v>1.9322999999999999</v>
      </c>
      <c r="AO26" s="255"/>
      <c r="AP26" s="256"/>
      <c r="AQ26" s="255">
        <v>279.32</v>
      </c>
      <c r="AR26" s="256">
        <v>1.9204000000000001</v>
      </c>
      <c r="AS26" s="256">
        <v>1.9200999999999999</v>
      </c>
      <c r="AT26" s="255"/>
      <c r="AU26" s="256"/>
      <c r="AV26" s="413">
        <v>1.0086999999999999</v>
      </c>
      <c r="AW26">
        <v>1</v>
      </c>
      <c r="AX26">
        <v>1.081E-2</v>
      </c>
      <c r="AY26">
        <v>4.3830000000000001E-2</v>
      </c>
      <c r="AZ26">
        <v>0.24335999999999999</v>
      </c>
      <c r="BA26">
        <v>0.29010000000000002</v>
      </c>
      <c r="BC26" s="256">
        <v>1.0268299999999999</v>
      </c>
      <c r="BD26" s="253">
        <v>1</v>
      </c>
      <c r="BE26" s="283" t="s">
        <v>283</v>
      </c>
      <c r="BF26" s="283" t="s">
        <v>283</v>
      </c>
      <c r="BG26" t="s">
        <v>31</v>
      </c>
      <c r="BH26" s="413" t="str">
        <f t="shared" si="0"/>
        <v>00</v>
      </c>
    </row>
    <row r="27" spans="1:60" x14ac:dyDescent="0.35">
      <c r="A27" s="253" t="s">
        <v>89</v>
      </c>
      <c r="B27" s="253"/>
      <c r="C27" s="253" t="s">
        <v>408</v>
      </c>
      <c r="D27" s="253" t="s">
        <v>408</v>
      </c>
      <c r="E27" s="253" t="s">
        <v>408</v>
      </c>
      <c r="F27" s="253" t="s">
        <v>408</v>
      </c>
      <c r="G27" s="253" t="s">
        <v>409</v>
      </c>
      <c r="H27" s="253" t="s">
        <v>385</v>
      </c>
      <c r="I27" s="253" t="s">
        <v>386</v>
      </c>
      <c r="J27" s="253" t="s">
        <v>386</v>
      </c>
      <c r="K27" s="253" t="s">
        <v>23</v>
      </c>
      <c r="L27" s="413">
        <v>1.0126999999999999</v>
      </c>
      <c r="M27" s="253"/>
      <c r="N27" s="253"/>
      <c r="O27" s="253"/>
      <c r="P27" s="253"/>
      <c r="R27">
        <v>1</v>
      </c>
      <c r="S27">
        <v>0</v>
      </c>
      <c r="T27">
        <v>0</v>
      </c>
      <c r="U27">
        <v>44</v>
      </c>
      <c r="V27">
        <v>18</v>
      </c>
      <c r="W27" s="413">
        <v>0</v>
      </c>
      <c r="X27" s="413">
        <v>0</v>
      </c>
      <c r="Y27">
        <v>0.29430000000000001</v>
      </c>
      <c r="Z27">
        <v>0.03</v>
      </c>
      <c r="AA27">
        <v>0</v>
      </c>
      <c r="AB27">
        <v>0.03</v>
      </c>
      <c r="AC27">
        <v>7.6000000000000004E-5</v>
      </c>
      <c r="AD27">
        <v>554.57000000000005</v>
      </c>
      <c r="AE27">
        <v>8.2000000000000001E-5</v>
      </c>
      <c r="AF27">
        <v>557.69000000000005</v>
      </c>
      <c r="AG27">
        <v>0.18799999999999997</v>
      </c>
      <c r="AH27">
        <v>1.9E-2</v>
      </c>
      <c r="AI27" s="283" t="s">
        <v>283</v>
      </c>
      <c r="AK27" s="254">
        <v>721</v>
      </c>
      <c r="AL27" s="255">
        <v>707.44</v>
      </c>
      <c r="AM27" s="256">
        <v>2.0099999999999998</v>
      </c>
      <c r="AN27" s="256">
        <v>1.9974000000000001</v>
      </c>
      <c r="AO27" s="255"/>
      <c r="AP27" s="256"/>
      <c r="AQ27" s="255">
        <v>708.14</v>
      </c>
      <c r="AR27" s="256">
        <v>1.9915</v>
      </c>
      <c r="AS27" s="256">
        <v>1.9804999999999999</v>
      </c>
      <c r="AT27" s="255"/>
      <c r="AU27" s="256"/>
      <c r="AV27" s="413">
        <v>1.0086999999999999</v>
      </c>
      <c r="AW27">
        <v>1</v>
      </c>
      <c r="AX27">
        <v>3.1510000000000003E-2</v>
      </c>
      <c r="AY27">
        <v>5.7340000000000002E-2</v>
      </c>
      <c r="AZ27">
        <v>0.41225000000000001</v>
      </c>
      <c r="BA27">
        <v>0.2606</v>
      </c>
      <c r="BC27" s="256">
        <v>0.99795999999999996</v>
      </c>
      <c r="BD27" s="253">
        <v>1</v>
      </c>
      <c r="BE27" s="283" t="s">
        <v>283</v>
      </c>
      <c r="BF27" s="283" t="s">
        <v>283</v>
      </c>
      <c r="BG27" t="s">
        <v>31</v>
      </c>
      <c r="BH27" s="413" t="str">
        <f t="shared" si="0"/>
        <v>00</v>
      </c>
    </row>
    <row r="28" spans="1:60" x14ac:dyDescent="0.35">
      <c r="A28" s="253" t="s">
        <v>91</v>
      </c>
      <c r="B28" s="253"/>
      <c r="C28" s="253" t="s">
        <v>389</v>
      </c>
      <c r="D28" s="253" t="s">
        <v>389</v>
      </c>
      <c r="E28" s="253" t="s">
        <v>389</v>
      </c>
      <c r="F28" s="253" t="s">
        <v>389</v>
      </c>
      <c r="G28" s="253" t="s">
        <v>401</v>
      </c>
      <c r="H28" s="253" t="s">
        <v>385</v>
      </c>
      <c r="I28" s="253" t="s">
        <v>391</v>
      </c>
      <c r="J28" s="253" t="s">
        <v>391</v>
      </c>
      <c r="K28" s="253" t="s">
        <v>23</v>
      </c>
      <c r="L28" s="413">
        <v>1.0126999999999999</v>
      </c>
      <c r="M28" s="253"/>
      <c r="N28" s="253"/>
      <c r="O28" s="253"/>
      <c r="P28" s="253"/>
      <c r="R28">
        <v>1</v>
      </c>
      <c r="S28">
        <v>0</v>
      </c>
      <c r="T28">
        <v>0</v>
      </c>
      <c r="U28">
        <v>180</v>
      </c>
      <c r="V28">
        <v>81</v>
      </c>
      <c r="W28" s="413">
        <v>0</v>
      </c>
      <c r="X28" s="413">
        <v>0</v>
      </c>
      <c r="Y28">
        <v>0.2586</v>
      </c>
      <c r="Z28">
        <v>2.6370000000000001E-2</v>
      </c>
      <c r="AA28">
        <v>5.3760000000000002E-2</v>
      </c>
      <c r="AB28">
        <v>2.6370000000000001E-2</v>
      </c>
      <c r="AC28">
        <v>1.4200000000000001E-4</v>
      </c>
      <c r="AD28">
        <v>444.23</v>
      </c>
      <c r="AE28">
        <v>1.1900000000000001E-4</v>
      </c>
      <c r="AF28">
        <v>340.18</v>
      </c>
      <c r="AG28">
        <v>0.19899999999999998</v>
      </c>
      <c r="AH28">
        <v>1.5999999999999997E-2</v>
      </c>
      <c r="AI28" s="283" t="s">
        <v>283</v>
      </c>
      <c r="AK28" s="254">
        <v>1546</v>
      </c>
      <c r="AL28" s="255">
        <v>1522.52</v>
      </c>
      <c r="AM28" s="256">
        <v>2.4333</v>
      </c>
      <c r="AN28" s="256">
        <v>2.4346000000000001</v>
      </c>
      <c r="AO28" s="255"/>
      <c r="AP28" s="256"/>
      <c r="AQ28" s="255">
        <v>1522.36</v>
      </c>
      <c r="AR28" s="256">
        <v>2.4352</v>
      </c>
      <c r="AS28" s="256">
        <v>2.4352999999999998</v>
      </c>
      <c r="AT28" s="255"/>
      <c r="AU28" s="256"/>
      <c r="AV28" s="413">
        <v>1.0086999999999999</v>
      </c>
      <c r="AW28">
        <v>1</v>
      </c>
      <c r="AX28">
        <v>7.3679999999999995E-2</v>
      </c>
      <c r="AY28">
        <v>7.7100000000000002E-2</v>
      </c>
      <c r="AZ28">
        <v>0.31202999999999997</v>
      </c>
      <c r="BA28">
        <v>0.2145</v>
      </c>
      <c r="BC28" s="256">
        <v>0.99941000000000002</v>
      </c>
      <c r="BD28" s="253">
        <v>0.99929999999999997</v>
      </c>
      <c r="BE28" s="283" t="s">
        <v>283</v>
      </c>
      <c r="BF28" s="283" t="s">
        <v>283</v>
      </c>
      <c r="BG28" t="s">
        <v>31</v>
      </c>
      <c r="BH28" s="413" t="str">
        <f t="shared" si="0"/>
        <v>00</v>
      </c>
    </row>
    <row r="29" spans="1:60" x14ac:dyDescent="0.35">
      <c r="A29" s="253" t="s">
        <v>93</v>
      </c>
      <c r="B29" s="253"/>
      <c r="C29" s="253" t="s">
        <v>389</v>
      </c>
      <c r="D29" s="253" t="s">
        <v>389</v>
      </c>
      <c r="E29" s="253" t="s">
        <v>389</v>
      </c>
      <c r="F29" s="253" t="s">
        <v>389</v>
      </c>
      <c r="G29" s="253" t="s">
        <v>390</v>
      </c>
      <c r="H29" s="253" t="s">
        <v>385</v>
      </c>
      <c r="I29" s="253" t="s">
        <v>391</v>
      </c>
      <c r="J29" s="253" t="s">
        <v>391</v>
      </c>
      <c r="K29" s="253" t="s">
        <v>23</v>
      </c>
      <c r="L29" s="413">
        <v>1.0126999999999999</v>
      </c>
      <c r="M29" s="253"/>
      <c r="N29" s="253"/>
      <c r="O29" s="253"/>
      <c r="P29" s="253"/>
      <c r="R29">
        <v>1</v>
      </c>
      <c r="S29">
        <v>1.44E-2</v>
      </c>
      <c r="T29">
        <v>2.1399999999999999E-2</v>
      </c>
      <c r="U29">
        <v>139</v>
      </c>
      <c r="V29">
        <v>90</v>
      </c>
      <c r="W29" s="413">
        <v>7.8399999999999997E-3</v>
      </c>
      <c r="X29" s="413">
        <v>6.0600000000000003E-3</v>
      </c>
      <c r="Y29">
        <v>0.46700000000000003</v>
      </c>
      <c r="Z29">
        <v>6.9360000000000005E-2</v>
      </c>
      <c r="AA29">
        <v>9.9180000000000004E-2</v>
      </c>
      <c r="AB29">
        <v>6.9360000000000005E-2</v>
      </c>
      <c r="AC29">
        <v>2.7799999999999998E-4</v>
      </c>
      <c r="AD29">
        <v>1482.24</v>
      </c>
      <c r="AE29">
        <v>2.7599999999999999E-4</v>
      </c>
      <c r="AF29">
        <v>1331.58</v>
      </c>
      <c r="AG29">
        <v>8.199999999999999E-2</v>
      </c>
      <c r="AH29">
        <v>9.9999999999999985E-3</v>
      </c>
      <c r="AI29" s="283" t="s">
        <v>283</v>
      </c>
      <c r="AK29" s="254">
        <v>856</v>
      </c>
      <c r="AL29" s="255">
        <v>835.98</v>
      </c>
      <c r="AM29" s="256">
        <v>2.0135000000000001</v>
      </c>
      <c r="AN29" s="256">
        <v>1.9881</v>
      </c>
      <c r="AO29" s="255">
        <v>1265.04</v>
      </c>
      <c r="AP29" s="256">
        <v>1.8994</v>
      </c>
      <c r="AQ29" s="255">
        <v>836.03</v>
      </c>
      <c r="AR29" s="256">
        <v>2.0265</v>
      </c>
      <c r="AS29" s="256">
        <v>1.9993000000000001</v>
      </c>
      <c r="AT29" s="255">
        <v>1265.3900000000001</v>
      </c>
      <c r="AU29" s="256">
        <v>1.9059999999999999</v>
      </c>
      <c r="AV29" s="413">
        <v>1.0086999999999999</v>
      </c>
      <c r="AW29">
        <v>1</v>
      </c>
      <c r="AX29">
        <v>2.6440000000000002E-2</v>
      </c>
      <c r="AY29">
        <v>7.9630000000000006E-2</v>
      </c>
      <c r="AZ29">
        <v>0.18684000000000001</v>
      </c>
      <c r="BA29">
        <v>0.3921</v>
      </c>
      <c r="BC29" s="256">
        <v>1.0024500000000001</v>
      </c>
      <c r="BD29" s="253">
        <v>0.99939999999999996</v>
      </c>
      <c r="BE29" s="283" t="s">
        <v>283</v>
      </c>
      <c r="BF29" s="283" t="s">
        <v>283</v>
      </c>
      <c r="BG29" t="s">
        <v>25</v>
      </c>
      <c r="BH29" s="413" t="str">
        <f t="shared" si="0"/>
        <v>00</v>
      </c>
    </row>
    <row r="30" spans="1:60" x14ac:dyDescent="0.35">
      <c r="A30" s="253" t="s">
        <v>95</v>
      </c>
      <c r="B30" s="253"/>
      <c r="C30" s="253" t="s">
        <v>392</v>
      </c>
      <c r="D30" s="253" t="s">
        <v>393</v>
      </c>
      <c r="E30" s="253" t="s">
        <v>393</v>
      </c>
      <c r="F30" s="253" t="s">
        <v>393</v>
      </c>
      <c r="G30" s="253" t="s">
        <v>415</v>
      </c>
      <c r="H30" s="253" t="s">
        <v>385</v>
      </c>
      <c r="I30" s="253" t="s">
        <v>395</v>
      </c>
      <c r="J30" s="253" t="s">
        <v>395</v>
      </c>
      <c r="K30" s="253" t="s">
        <v>23</v>
      </c>
      <c r="L30" s="413">
        <v>1.0126999999999999</v>
      </c>
      <c r="M30" s="253"/>
      <c r="N30" s="253"/>
      <c r="O30" s="253"/>
      <c r="P30" s="253"/>
      <c r="R30">
        <v>1</v>
      </c>
      <c r="S30">
        <v>0</v>
      </c>
      <c r="T30">
        <v>0</v>
      </c>
      <c r="U30">
        <v>49</v>
      </c>
      <c r="V30">
        <v>13</v>
      </c>
      <c r="W30" s="413">
        <v>0</v>
      </c>
      <c r="X30" s="413">
        <v>0</v>
      </c>
      <c r="Y30">
        <v>0.2132</v>
      </c>
      <c r="Z30">
        <v>1.7010000000000001E-2</v>
      </c>
      <c r="AA30">
        <v>0</v>
      </c>
      <c r="AB30">
        <v>1.7010000000000001E-2</v>
      </c>
      <c r="AD30">
        <v>0</v>
      </c>
      <c r="AF30">
        <v>0</v>
      </c>
      <c r="AG30">
        <v>0.39299999999999996</v>
      </c>
      <c r="AH30">
        <v>2.3E-2</v>
      </c>
      <c r="AI30" s="283" t="s">
        <v>396</v>
      </c>
      <c r="AJ30">
        <v>5678.23</v>
      </c>
      <c r="AK30" s="254">
        <v>463</v>
      </c>
      <c r="AL30" s="255">
        <v>455.93</v>
      </c>
      <c r="AM30" s="256">
        <v>1.5382</v>
      </c>
      <c r="AN30" s="256">
        <v>1.5279</v>
      </c>
      <c r="AO30" s="255"/>
      <c r="AP30" s="256"/>
      <c r="AQ30" s="255">
        <v>456.08</v>
      </c>
      <c r="AR30" s="256">
        <v>1.5359</v>
      </c>
      <c r="AS30" s="256">
        <v>1.5255000000000001</v>
      </c>
      <c r="AT30" s="255"/>
      <c r="AU30" s="256"/>
      <c r="AV30" s="413">
        <v>1.0086999999999999</v>
      </c>
      <c r="AW30">
        <v>1</v>
      </c>
      <c r="AX30">
        <v>5.6520000000000001E-2</v>
      </c>
      <c r="AY30">
        <v>2.665E-2</v>
      </c>
      <c r="AZ30">
        <v>0.49264999999999998</v>
      </c>
      <c r="BA30">
        <v>0.18859999999999999</v>
      </c>
      <c r="BC30" s="256">
        <v>1.00983</v>
      </c>
      <c r="BD30" s="253">
        <v>0.99960000000000004</v>
      </c>
      <c r="BE30" s="283" t="s">
        <v>283</v>
      </c>
      <c r="BF30" s="283" t="s">
        <v>283</v>
      </c>
      <c r="BG30" t="s">
        <v>16</v>
      </c>
      <c r="BH30" s="413" t="str">
        <f t="shared" si="0"/>
        <v>00</v>
      </c>
    </row>
    <row r="31" spans="1:60" x14ac:dyDescent="0.35">
      <c r="A31" s="253" t="s">
        <v>97</v>
      </c>
      <c r="B31" s="253"/>
      <c r="C31" s="253" t="s">
        <v>392</v>
      </c>
      <c r="D31" s="253" t="s">
        <v>393</v>
      </c>
      <c r="E31" s="253" t="s">
        <v>393</v>
      </c>
      <c r="F31" s="253" t="s">
        <v>393</v>
      </c>
      <c r="G31" s="253" t="s">
        <v>416</v>
      </c>
      <c r="H31" s="253" t="s">
        <v>385</v>
      </c>
      <c r="I31" s="253" t="s">
        <v>395</v>
      </c>
      <c r="J31" s="253" t="s">
        <v>395</v>
      </c>
      <c r="K31" s="253" t="s">
        <v>23</v>
      </c>
      <c r="L31" s="413">
        <v>1.0126999999999999</v>
      </c>
      <c r="M31" s="253"/>
      <c r="N31" s="253"/>
      <c r="O31" s="253"/>
      <c r="P31" s="253"/>
      <c r="R31">
        <v>1</v>
      </c>
      <c r="S31">
        <v>0</v>
      </c>
      <c r="T31">
        <v>0</v>
      </c>
      <c r="U31">
        <v>36</v>
      </c>
      <c r="V31">
        <v>28</v>
      </c>
      <c r="W31" s="413">
        <v>0</v>
      </c>
      <c r="X31" s="413">
        <v>0</v>
      </c>
      <c r="Y31">
        <v>0.37290000000000001</v>
      </c>
      <c r="Z31">
        <v>0.03</v>
      </c>
      <c r="AA31">
        <v>0</v>
      </c>
      <c r="AB31">
        <v>0.03</v>
      </c>
      <c r="AD31">
        <v>0</v>
      </c>
      <c r="AF31">
        <v>0</v>
      </c>
      <c r="AG31">
        <v>0.35799999999999998</v>
      </c>
      <c r="AH31">
        <v>3.9999999999999994E-2</v>
      </c>
      <c r="AI31" s="283" t="s">
        <v>396</v>
      </c>
      <c r="AJ31">
        <v>9187.74</v>
      </c>
      <c r="AK31" s="254">
        <v>941</v>
      </c>
      <c r="AL31" s="255">
        <v>924.17</v>
      </c>
      <c r="AM31" s="256">
        <v>2.0682999999999998</v>
      </c>
      <c r="AN31" s="256">
        <v>2.0697000000000001</v>
      </c>
      <c r="AO31" s="255"/>
      <c r="AP31" s="256"/>
      <c r="AQ31" s="255">
        <v>924.21</v>
      </c>
      <c r="AR31" s="256">
        <v>2.0607000000000002</v>
      </c>
      <c r="AS31" s="256">
        <v>2.0623</v>
      </c>
      <c r="AT31" s="255"/>
      <c r="AU31" s="256"/>
      <c r="AV31" s="413">
        <v>1.0086999999999999</v>
      </c>
      <c r="AW31">
        <v>1</v>
      </c>
      <c r="AX31">
        <v>0.20785999999999999</v>
      </c>
      <c r="AY31">
        <v>0.40981000000000001</v>
      </c>
      <c r="AZ31">
        <v>0.27646999999999999</v>
      </c>
      <c r="BA31">
        <v>0.3518</v>
      </c>
      <c r="BC31" s="256">
        <v>0.99892999999999998</v>
      </c>
      <c r="BD31" s="253">
        <v>0.99990000000000001</v>
      </c>
      <c r="BE31" s="283" t="s">
        <v>283</v>
      </c>
      <c r="BF31" s="283" t="s">
        <v>283</v>
      </c>
      <c r="BG31" t="s">
        <v>31</v>
      </c>
      <c r="BH31" s="413" t="str">
        <f t="shared" si="0"/>
        <v>00</v>
      </c>
    </row>
    <row r="32" spans="1:60" x14ac:dyDescent="0.35">
      <c r="A32" s="253" t="s">
        <v>99</v>
      </c>
      <c r="B32" s="253"/>
      <c r="C32" s="253" t="s">
        <v>392</v>
      </c>
      <c r="D32" s="253" t="s">
        <v>393</v>
      </c>
      <c r="E32" s="253" t="s">
        <v>393</v>
      </c>
      <c r="F32" s="253" t="s">
        <v>393</v>
      </c>
      <c r="G32" s="253" t="s">
        <v>417</v>
      </c>
      <c r="H32" s="253" t="s">
        <v>385</v>
      </c>
      <c r="I32" s="253" t="s">
        <v>395</v>
      </c>
      <c r="J32" s="253" t="s">
        <v>395</v>
      </c>
      <c r="K32" s="253" t="s">
        <v>23</v>
      </c>
      <c r="L32" s="413">
        <v>1.0126999999999999</v>
      </c>
      <c r="M32" s="253"/>
      <c r="N32" s="253"/>
      <c r="O32" s="253"/>
      <c r="P32" s="253"/>
      <c r="R32">
        <v>1</v>
      </c>
      <c r="S32">
        <v>0</v>
      </c>
      <c r="T32">
        <v>0</v>
      </c>
      <c r="U32">
        <v>25</v>
      </c>
      <c r="V32">
        <v>7</v>
      </c>
      <c r="W32" s="413">
        <v>0</v>
      </c>
      <c r="X32" s="413">
        <v>0</v>
      </c>
      <c r="Y32">
        <v>0.31430000000000002</v>
      </c>
      <c r="Z32">
        <v>0.03</v>
      </c>
      <c r="AA32">
        <v>0</v>
      </c>
      <c r="AB32">
        <v>0.03</v>
      </c>
      <c r="AD32">
        <v>0</v>
      </c>
      <c r="AF32">
        <v>0</v>
      </c>
      <c r="AG32">
        <v>0.45299999999999996</v>
      </c>
      <c r="AH32">
        <v>3.6999999999999998E-2</v>
      </c>
      <c r="AI32" s="283" t="s">
        <v>396</v>
      </c>
      <c r="AJ32">
        <v>8716.57</v>
      </c>
      <c r="AK32" s="254">
        <v>400</v>
      </c>
      <c r="AL32" s="255">
        <v>386.16</v>
      </c>
      <c r="AM32" s="256">
        <v>1.597</v>
      </c>
      <c r="AN32" s="256">
        <v>1.5915999999999999</v>
      </c>
      <c r="AO32" s="255"/>
      <c r="AP32" s="256"/>
      <c r="AQ32" s="255">
        <v>386.27</v>
      </c>
      <c r="AR32" s="256">
        <v>1.5929</v>
      </c>
      <c r="AS32" s="256">
        <v>1.5859000000000001</v>
      </c>
      <c r="AT32" s="255"/>
      <c r="AU32" s="256"/>
      <c r="AV32" s="413">
        <v>1.0086999999999999</v>
      </c>
      <c r="AW32">
        <v>1</v>
      </c>
      <c r="AX32">
        <v>7.9000000000000008E-3</v>
      </c>
      <c r="AY32">
        <v>1.102E-2</v>
      </c>
      <c r="AZ32">
        <v>0.38596000000000003</v>
      </c>
      <c r="BA32">
        <v>0.28389999999999999</v>
      </c>
      <c r="BC32" s="256">
        <v>0.99711000000000005</v>
      </c>
      <c r="BD32" s="253">
        <v>0.99399999999999999</v>
      </c>
      <c r="BE32" s="283" t="s">
        <v>283</v>
      </c>
      <c r="BF32" s="283" t="s">
        <v>283</v>
      </c>
      <c r="BG32" t="s">
        <v>31</v>
      </c>
      <c r="BH32" s="413" t="str">
        <f t="shared" si="0"/>
        <v>00</v>
      </c>
    </row>
    <row r="33" spans="1:60" x14ac:dyDescent="0.35">
      <c r="A33" s="253" t="s">
        <v>101</v>
      </c>
      <c r="B33" s="253"/>
      <c r="C33" s="253" t="s">
        <v>392</v>
      </c>
      <c r="D33" s="253" t="s">
        <v>393</v>
      </c>
      <c r="E33" s="253" t="s">
        <v>393</v>
      </c>
      <c r="F33" s="253" t="s">
        <v>393</v>
      </c>
      <c r="G33" s="253" t="s">
        <v>418</v>
      </c>
      <c r="H33" s="253" t="s">
        <v>385</v>
      </c>
      <c r="I33" s="253" t="s">
        <v>395</v>
      </c>
      <c r="J33" s="253" t="s">
        <v>395</v>
      </c>
      <c r="K33" s="253" t="s">
        <v>23</v>
      </c>
      <c r="L33" s="413">
        <v>1.0126999999999999</v>
      </c>
      <c r="M33" s="253"/>
      <c r="N33" s="253"/>
      <c r="O33" s="253"/>
      <c r="P33" s="253"/>
      <c r="R33">
        <v>1</v>
      </c>
      <c r="S33">
        <v>0</v>
      </c>
      <c r="T33">
        <v>0</v>
      </c>
      <c r="U33">
        <v>54</v>
      </c>
      <c r="V33">
        <v>9</v>
      </c>
      <c r="W33" s="413">
        <v>0</v>
      </c>
      <c r="X33" s="413">
        <v>0</v>
      </c>
      <c r="Y33">
        <v>0.1517</v>
      </c>
      <c r="Z33">
        <v>6.5300000000000002E-3</v>
      </c>
      <c r="AA33">
        <v>0</v>
      </c>
      <c r="AB33">
        <v>6.5300000000000002E-3</v>
      </c>
      <c r="AD33">
        <v>0</v>
      </c>
      <c r="AF33">
        <v>0</v>
      </c>
      <c r="AG33">
        <v>0.5109999999999999</v>
      </c>
      <c r="AH33">
        <v>5.6999999999999995E-2</v>
      </c>
      <c r="AI33" s="283" t="s">
        <v>396</v>
      </c>
      <c r="AJ33">
        <v>13453.27</v>
      </c>
      <c r="AK33" s="254">
        <v>472</v>
      </c>
      <c r="AL33" s="255">
        <v>464.52</v>
      </c>
      <c r="AM33" s="256">
        <v>2.0604</v>
      </c>
      <c r="AN33" s="256">
        <v>2.0661</v>
      </c>
      <c r="AO33" s="255"/>
      <c r="AP33" s="256"/>
      <c r="AQ33" s="255">
        <v>464.63</v>
      </c>
      <c r="AR33" s="256">
        <v>2.0510999999999999</v>
      </c>
      <c r="AS33" s="256">
        <v>2.0562999999999998</v>
      </c>
      <c r="AT33" s="255"/>
      <c r="AU33" s="256"/>
      <c r="AV33" s="413">
        <v>1.0086999999999999</v>
      </c>
      <c r="AW33">
        <v>1</v>
      </c>
      <c r="AX33">
        <v>0.24353</v>
      </c>
      <c r="AY33">
        <v>0.48419000000000001</v>
      </c>
      <c r="AZ33">
        <v>0.23099</v>
      </c>
      <c r="BA33">
        <v>0.151</v>
      </c>
      <c r="BC33" s="256">
        <v>1.0212699999999999</v>
      </c>
      <c r="BD33" s="253">
        <v>1</v>
      </c>
      <c r="BE33" s="283" t="s">
        <v>283</v>
      </c>
      <c r="BF33" s="283" t="s">
        <v>283</v>
      </c>
      <c r="BG33" t="s">
        <v>16</v>
      </c>
      <c r="BH33" s="413" t="str">
        <f t="shared" si="0"/>
        <v>00</v>
      </c>
    </row>
    <row r="34" spans="1:60" x14ac:dyDescent="0.35">
      <c r="A34" s="253" t="s">
        <v>103</v>
      </c>
      <c r="B34" s="253"/>
      <c r="C34" s="253" t="s">
        <v>389</v>
      </c>
      <c r="D34" s="253" t="s">
        <v>389</v>
      </c>
      <c r="E34" s="253" t="s">
        <v>389</v>
      </c>
      <c r="F34" s="253" t="s">
        <v>389</v>
      </c>
      <c r="G34" s="253" t="s">
        <v>412</v>
      </c>
      <c r="H34" s="253" t="s">
        <v>385</v>
      </c>
      <c r="I34" s="253" t="s">
        <v>391</v>
      </c>
      <c r="J34" s="253" t="s">
        <v>391</v>
      </c>
      <c r="K34" s="253" t="s">
        <v>23</v>
      </c>
      <c r="L34" s="413">
        <v>1.0126999999999999</v>
      </c>
      <c r="M34" s="253"/>
      <c r="N34" s="253"/>
      <c r="O34" s="253"/>
      <c r="P34" s="253"/>
      <c r="R34">
        <v>1</v>
      </c>
      <c r="S34">
        <v>8.1699999999999995E-2</v>
      </c>
      <c r="T34">
        <v>0.12639999999999998</v>
      </c>
      <c r="U34">
        <v>322</v>
      </c>
      <c r="V34">
        <v>213</v>
      </c>
      <c r="W34" s="413">
        <v>4.3630000000000002E-2</v>
      </c>
      <c r="X34" s="413">
        <v>3.6310000000000002E-2</v>
      </c>
      <c r="Y34">
        <v>0.41210000000000002</v>
      </c>
      <c r="Z34">
        <v>5.8029999999999998E-2</v>
      </c>
      <c r="AA34">
        <v>8.7029999999999996E-2</v>
      </c>
      <c r="AB34">
        <v>5.8029999999999998E-2</v>
      </c>
      <c r="AC34">
        <v>4.5899999999999999E-4</v>
      </c>
      <c r="AD34">
        <v>900.67</v>
      </c>
      <c r="AE34">
        <v>4.2900000000000002E-4</v>
      </c>
      <c r="AF34">
        <v>809.99</v>
      </c>
      <c r="AG34">
        <v>9.1999999999999998E-2</v>
      </c>
      <c r="AH34">
        <v>8.9999999999999993E-3</v>
      </c>
      <c r="AI34" s="283" t="s">
        <v>283</v>
      </c>
      <c r="AK34" s="254">
        <v>2746</v>
      </c>
      <c r="AL34" s="255">
        <v>2671.18</v>
      </c>
      <c r="AM34" s="256">
        <v>2.1638000000000002</v>
      </c>
      <c r="AN34" s="256">
        <v>2.1518000000000002</v>
      </c>
      <c r="AO34" s="255">
        <v>3280.24</v>
      </c>
      <c r="AP34" s="256">
        <v>2.0171999999999999</v>
      </c>
      <c r="AQ34" s="255">
        <v>2670.91</v>
      </c>
      <c r="AR34" s="256">
        <v>2.1682000000000001</v>
      </c>
      <c r="AS34" s="256">
        <v>2.1545999999999998</v>
      </c>
      <c r="AT34" s="255">
        <v>3280.78</v>
      </c>
      <c r="AU34" s="256">
        <v>2.0184000000000002</v>
      </c>
      <c r="AV34" s="413">
        <v>1.0086999999999999</v>
      </c>
      <c r="AW34">
        <v>1</v>
      </c>
      <c r="AX34">
        <v>4.0099999999999997E-2</v>
      </c>
      <c r="AY34">
        <v>6.7659999999999998E-2</v>
      </c>
      <c r="AZ34">
        <v>0.21007999999999999</v>
      </c>
      <c r="BA34">
        <v>0.36459999999999998</v>
      </c>
      <c r="BC34" s="256">
        <v>0.99748000000000003</v>
      </c>
      <c r="BD34" s="253">
        <v>0.99660000000000004</v>
      </c>
      <c r="BE34" s="283" t="s">
        <v>283</v>
      </c>
      <c r="BF34" s="283" t="s">
        <v>283</v>
      </c>
      <c r="BG34" t="s">
        <v>25</v>
      </c>
      <c r="BH34" s="413" t="str">
        <f t="shared" si="0"/>
        <v>00</v>
      </c>
    </row>
    <row r="35" spans="1:60" x14ac:dyDescent="0.35">
      <c r="A35" s="253" t="s">
        <v>105</v>
      </c>
      <c r="B35" s="253"/>
      <c r="C35" s="253" t="s">
        <v>387</v>
      </c>
      <c r="D35" s="253" t="s">
        <v>387</v>
      </c>
      <c r="E35" s="253" t="s">
        <v>387</v>
      </c>
      <c r="F35" s="253" t="s">
        <v>387</v>
      </c>
      <c r="G35" s="253" t="s">
        <v>388</v>
      </c>
      <c r="H35" s="253" t="s">
        <v>385</v>
      </c>
      <c r="I35" s="253" t="s">
        <v>386</v>
      </c>
      <c r="J35" s="253" t="s">
        <v>386</v>
      </c>
      <c r="K35" s="253" t="s">
        <v>23</v>
      </c>
      <c r="L35" s="413">
        <v>1.0126999999999999</v>
      </c>
      <c r="M35" s="253"/>
      <c r="N35" s="253"/>
      <c r="O35" s="253"/>
      <c r="P35" s="253"/>
      <c r="R35">
        <v>1</v>
      </c>
      <c r="S35">
        <v>0</v>
      </c>
      <c r="T35">
        <v>0</v>
      </c>
      <c r="U35">
        <v>108</v>
      </c>
      <c r="V35">
        <v>32</v>
      </c>
      <c r="W35" s="413">
        <v>0</v>
      </c>
      <c r="X35" s="413">
        <v>0</v>
      </c>
      <c r="Y35">
        <v>0.36899999999999999</v>
      </c>
      <c r="Z35">
        <v>4.9140000000000003E-2</v>
      </c>
      <c r="AA35">
        <v>7.7590000000000006E-2</v>
      </c>
      <c r="AB35">
        <v>4.9140000000000003E-2</v>
      </c>
      <c r="AC35">
        <v>1.0399999999999999E-4</v>
      </c>
      <c r="AD35">
        <v>1396.49</v>
      </c>
      <c r="AE35">
        <v>9.7E-5</v>
      </c>
      <c r="AF35">
        <v>1293.72</v>
      </c>
      <c r="AG35">
        <v>0.23099999999999998</v>
      </c>
      <c r="AH35">
        <v>2.4999999999999998E-2</v>
      </c>
      <c r="AI35" s="283" t="s">
        <v>283</v>
      </c>
      <c r="AK35" s="254">
        <v>433</v>
      </c>
      <c r="AL35" s="255">
        <v>418.9</v>
      </c>
      <c r="AM35" s="256">
        <v>2.5089999999999999</v>
      </c>
      <c r="AN35" s="256">
        <v>2.5129000000000001</v>
      </c>
      <c r="AO35" s="255"/>
      <c r="AP35" s="256"/>
      <c r="AQ35" s="255">
        <v>418.9</v>
      </c>
      <c r="AR35" s="256">
        <v>2.5085999999999999</v>
      </c>
      <c r="AS35" s="256">
        <v>2.5118</v>
      </c>
      <c r="AT35" s="255"/>
      <c r="AU35" s="256"/>
      <c r="AV35" s="413">
        <v>1.0086999999999999</v>
      </c>
      <c r="AW35">
        <v>1</v>
      </c>
      <c r="AX35">
        <v>5.0569999999999997E-2</v>
      </c>
      <c r="AY35">
        <v>0.11648</v>
      </c>
      <c r="AZ35">
        <v>7.8619999999999995E-2</v>
      </c>
      <c r="BA35">
        <v>0.34670000000000001</v>
      </c>
      <c r="BC35" s="256">
        <v>0.99539999999999995</v>
      </c>
      <c r="BD35" s="253">
        <v>1</v>
      </c>
      <c r="BE35" s="283" t="s">
        <v>283</v>
      </c>
      <c r="BF35" s="283" t="s">
        <v>283</v>
      </c>
      <c r="BG35" t="s">
        <v>31</v>
      </c>
      <c r="BH35" s="413" t="str">
        <f t="shared" si="0"/>
        <v>00</v>
      </c>
    </row>
    <row r="36" spans="1:60" x14ac:dyDescent="0.35">
      <c r="A36" s="253" t="s">
        <v>107</v>
      </c>
      <c r="B36" s="253"/>
      <c r="C36" s="253" t="s">
        <v>389</v>
      </c>
      <c r="D36" s="253" t="s">
        <v>389</v>
      </c>
      <c r="E36" s="253" t="s">
        <v>389</v>
      </c>
      <c r="F36" s="253" t="s">
        <v>389</v>
      </c>
      <c r="G36" s="253" t="s">
        <v>390</v>
      </c>
      <c r="H36" s="253" t="s">
        <v>385</v>
      </c>
      <c r="I36" s="253" t="s">
        <v>391</v>
      </c>
      <c r="J36" s="253" t="s">
        <v>391</v>
      </c>
      <c r="K36" s="253" t="s">
        <v>23</v>
      </c>
      <c r="L36" s="413">
        <v>1.0126999999999999</v>
      </c>
      <c r="M36" s="253"/>
      <c r="N36" s="253"/>
      <c r="O36" s="253"/>
      <c r="P36" s="253"/>
      <c r="R36">
        <v>1</v>
      </c>
      <c r="S36">
        <v>0.24829999999999999</v>
      </c>
      <c r="T36">
        <v>0.36839999999999995</v>
      </c>
      <c r="U36">
        <v>112</v>
      </c>
      <c r="V36">
        <v>67</v>
      </c>
      <c r="W36" s="413">
        <v>0.12687000000000001</v>
      </c>
      <c r="X36" s="413">
        <v>0.10956</v>
      </c>
      <c r="Y36">
        <v>0.29699999999999999</v>
      </c>
      <c r="Z36">
        <v>3.4290000000000001E-2</v>
      </c>
      <c r="AA36">
        <v>6.1990000000000003E-2</v>
      </c>
      <c r="AB36">
        <v>3.4290000000000001E-2</v>
      </c>
      <c r="AC36">
        <v>2.4800000000000001E-4</v>
      </c>
      <c r="AD36">
        <v>1281.56</v>
      </c>
      <c r="AE36">
        <v>2.1800000000000001E-4</v>
      </c>
      <c r="AF36">
        <v>1162.8699999999999</v>
      </c>
      <c r="AG36">
        <v>0.154</v>
      </c>
      <c r="AH36">
        <v>8.9999999999999993E-3</v>
      </c>
      <c r="AI36" s="283" t="s">
        <v>283</v>
      </c>
      <c r="AK36" s="254">
        <v>1247</v>
      </c>
      <c r="AL36" s="255">
        <v>1199.5899999999999</v>
      </c>
      <c r="AM36" s="256">
        <v>1.8252999999999999</v>
      </c>
      <c r="AN36" s="256">
        <v>1.8107</v>
      </c>
      <c r="AO36" s="255">
        <v>1528.42</v>
      </c>
      <c r="AP36" s="256">
        <v>1.7857000000000001</v>
      </c>
      <c r="AQ36" s="255">
        <v>1198.9000000000001</v>
      </c>
      <c r="AR36" s="256">
        <v>1.8339000000000001</v>
      </c>
      <c r="AS36" s="256">
        <v>1.8164</v>
      </c>
      <c r="AT36" s="255">
        <v>1528.5</v>
      </c>
      <c r="AU36" s="256">
        <v>1.7856000000000001</v>
      </c>
      <c r="AV36" s="413">
        <v>1.0086999999999999</v>
      </c>
      <c r="AW36">
        <v>1</v>
      </c>
      <c r="AX36">
        <v>3.46E-3</v>
      </c>
      <c r="AY36">
        <v>1.25E-3</v>
      </c>
      <c r="AZ36">
        <v>0.20286999999999999</v>
      </c>
      <c r="BA36">
        <v>0.25790000000000002</v>
      </c>
      <c r="BC36" s="256">
        <v>1.0079100000000001</v>
      </c>
      <c r="BD36" s="253">
        <v>0.99519999999999997</v>
      </c>
      <c r="BE36" s="283" t="s">
        <v>283</v>
      </c>
      <c r="BF36" s="283" t="s">
        <v>283</v>
      </c>
      <c r="BG36" t="s">
        <v>31</v>
      </c>
      <c r="BH36" s="413" t="str">
        <f t="shared" si="0"/>
        <v>00</v>
      </c>
    </row>
    <row r="37" spans="1:60" x14ac:dyDescent="0.35">
      <c r="A37" s="253" t="s">
        <v>109</v>
      </c>
      <c r="B37" s="253"/>
      <c r="C37" s="253" t="s">
        <v>389</v>
      </c>
      <c r="D37" s="253" t="s">
        <v>389</v>
      </c>
      <c r="E37" s="253" t="s">
        <v>389</v>
      </c>
      <c r="F37" s="253" t="s">
        <v>389</v>
      </c>
      <c r="G37" s="253" t="s">
        <v>401</v>
      </c>
      <c r="H37" s="253" t="s">
        <v>385</v>
      </c>
      <c r="I37" s="253" t="s">
        <v>391</v>
      </c>
      <c r="J37" s="253" t="s">
        <v>391</v>
      </c>
      <c r="K37" s="253" t="s">
        <v>23</v>
      </c>
      <c r="L37" s="413">
        <v>1.0126999999999999</v>
      </c>
      <c r="M37" s="253"/>
      <c r="N37" s="253"/>
      <c r="O37" s="253"/>
      <c r="P37" s="253"/>
      <c r="R37">
        <v>1</v>
      </c>
      <c r="S37">
        <v>0</v>
      </c>
      <c r="T37">
        <v>0</v>
      </c>
      <c r="U37">
        <v>13</v>
      </c>
      <c r="V37">
        <v>1</v>
      </c>
      <c r="W37" s="413">
        <v>0</v>
      </c>
      <c r="X37" s="413">
        <v>0</v>
      </c>
      <c r="Y37">
        <v>9.7000000000000003E-2</v>
      </c>
      <c r="Z37">
        <v>0</v>
      </c>
      <c r="AA37">
        <v>0</v>
      </c>
      <c r="AB37">
        <v>0</v>
      </c>
      <c r="AD37">
        <v>0</v>
      </c>
      <c r="AE37">
        <v>3.4E-5</v>
      </c>
      <c r="AF37">
        <v>48227.14</v>
      </c>
      <c r="AG37">
        <v>0.16700000000000001</v>
      </c>
      <c r="AH37">
        <v>1.7999999999999999E-2</v>
      </c>
      <c r="AI37" s="283" t="s">
        <v>283</v>
      </c>
      <c r="AK37" s="254">
        <v>21</v>
      </c>
      <c r="AL37" s="255">
        <v>21</v>
      </c>
      <c r="AM37" s="256">
        <v>1.0630999999999999</v>
      </c>
      <c r="AN37" s="256">
        <v>1.0630999999999999</v>
      </c>
      <c r="AO37" s="255"/>
      <c r="AP37" s="256"/>
      <c r="AQ37" s="255">
        <v>21</v>
      </c>
      <c r="AR37" s="256">
        <v>1.0233000000000001</v>
      </c>
      <c r="AS37" s="256">
        <v>1.0233000000000001</v>
      </c>
      <c r="AT37" s="255"/>
      <c r="AU37" s="256"/>
      <c r="AV37" s="413">
        <v>1.0086999999999999</v>
      </c>
      <c r="AW37">
        <v>1</v>
      </c>
      <c r="AX37">
        <v>0</v>
      </c>
      <c r="AY37">
        <v>0</v>
      </c>
      <c r="AZ37">
        <v>0.42538999999999999</v>
      </c>
      <c r="BA37">
        <v>6.3200000000000006E-2</v>
      </c>
      <c r="BC37" s="256">
        <v>1</v>
      </c>
      <c r="BD37" s="253">
        <v>1</v>
      </c>
      <c r="BE37" s="283" t="s">
        <v>283</v>
      </c>
      <c r="BF37" s="283" t="s">
        <v>283</v>
      </c>
      <c r="BG37" t="s">
        <v>31</v>
      </c>
      <c r="BH37" s="413" t="str">
        <f t="shared" si="0"/>
        <v>00</v>
      </c>
    </row>
    <row r="38" spans="1:60" x14ac:dyDescent="0.35">
      <c r="A38" s="253" t="s">
        <v>111</v>
      </c>
      <c r="B38" s="253"/>
      <c r="C38" s="253" t="s">
        <v>389</v>
      </c>
      <c r="D38" s="253" t="s">
        <v>389</v>
      </c>
      <c r="E38" s="253" t="s">
        <v>389</v>
      </c>
      <c r="F38" s="253" t="s">
        <v>389</v>
      </c>
      <c r="G38" s="253" t="s">
        <v>419</v>
      </c>
      <c r="H38" s="253" t="s">
        <v>385</v>
      </c>
      <c r="I38" s="253" t="s">
        <v>391</v>
      </c>
      <c r="J38" s="253" t="s">
        <v>391</v>
      </c>
      <c r="K38" s="253" t="s">
        <v>23</v>
      </c>
      <c r="L38" s="413">
        <v>1.0126999999999999</v>
      </c>
      <c r="M38" s="253"/>
      <c r="N38" s="253"/>
      <c r="O38" s="253"/>
      <c r="P38" s="253"/>
      <c r="R38">
        <v>1</v>
      </c>
      <c r="S38">
        <v>0.2949</v>
      </c>
      <c r="T38">
        <v>0.50679999999999992</v>
      </c>
      <c r="U38">
        <v>274</v>
      </c>
      <c r="V38">
        <v>155</v>
      </c>
      <c r="W38" s="413">
        <v>0.14896000000000001</v>
      </c>
      <c r="X38" s="413">
        <v>0.15375</v>
      </c>
      <c r="Y38">
        <v>0.1391</v>
      </c>
      <c r="Z38">
        <v>0</v>
      </c>
      <c r="AA38">
        <v>2.8570000000000002E-2</v>
      </c>
      <c r="AB38">
        <v>0</v>
      </c>
      <c r="AD38">
        <v>0</v>
      </c>
      <c r="AF38">
        <v>0</v>
      </c>
      <c r="AG38">
        <v>7.1999999999999995E-2</v>
      </c>
      <c r="AH38">
        <v>8.9999999999999993E-3</v>
      </c>
      <c r="AI38" s="283" t="s">
        <v>283</v>
      </c>
      <c r="AK38" s="254">
        <v>2349</v>
      </c>
      <c r="AL38" s="255">
        <v>2279.29</v>
      </c>
      <c r="AM38" s="256">
        <v>2.2483</v>
      </c>
      <c r="AN38" s="256">
        <v>2.2494000000000001</v>
      </c>
      <c r="AO38" s="255">
        <v>3511.35</v>
      </c>
      <c r="AP38" s="256">
        <v>1.9466000000000001</v>
      </c>
      <c r="AQ38" s="255">
        <v>2279.4699999999998</v>
      </c>
      <c r="AR38" s="256">
        <v>2.2496999999999998</v>
      </c>
      <c r="AS38" s="256">
        <v>2.2503000000000002</v>
      </c>
      <c r="AT38" s="255">
        <v>3512.6</v>
      </c>
      <c r="AU38" s="256">
        <v>1.9451000000000001</v>
      </c>
      <c r="AV38" s="413">
        <v>1.0086999999999999</v>
      </c>
      <c r="AW38">
        <v>1</v>
      </c>
      <c r="AX38">
        <v>1.538E-2</v>
      </c>
      <c r="AY38">
        <v>4.1050000000000003E-2</v>
      </c>
      <c r="AZ38">
        <v>0.18274000000000001</v>
      </c>
      <c r="BA38">
        <v>0.129</v>
      </c>
      <c r="BC38" s="256">
        <v>1.00518</v>
      </c>
      <c r="BD38" s="253">
        <v>1</v>
      </c>
      <c r="BE38" s="283" t="s">
        <v>283</v>
      </c>
      <c r="BF38" s="283" t="s">
        <v>283</v>
      </c>
      <c r="BG38" t="s">
        <v>25</v>
      </c>
      <c r="BH38" s="413" t="str">
        <f t="shared" si="0"/>
        <v>00</v>
      </c>
    </row>
    <row r="39" spans="1:60" x14ac:dyDescent="0.35">
      <c r="A39" s="253" t="s">
        <v>113</v>
      </c>
      <c r="B39" s="253"/>
      <c r="C39" s="253" t="s">
        <v>389</v>
      </c>
      <c r="D39" s="253" t="s">
        <v>389</v>
      </c>
      <c r="E39" s="253" t="s">
        <v>389</v>
      </c>
      <c r="F39" s="253" t="s">
        <v>389</v>
      </c>
      <c r="G39" s="253" t="s">
        <v>412</v>
      </c>
      <c r="H39" s="253" t="s">
        <v>385</v>
      </c>
      <c r="I39" s="253" t="s">
        <v>391</v>
      </c>
      <c r="J39" s="253" t="s">
        <v>391</v>
      </c>
      <c r="K39" s="253" t="s">
        <v>23</v>
      </c>
      <c r="L39" s="413">
        <v>1.0126999999999999</v>
      </c>
      <c r="M39" s="253"/>
      <c r="N39" s="253"/>
      <c r="O39" s="253"/>
      <c r="P39" s="253"/>
      <c r="R39">
        <v>1</v>
      </c>
      <c r="S39">
        <v>0</v>
      </c>
      <c r="T39">
        <v>0</v>
      </c>
      <c r="U39">
        <v>159</v>
      </c>
      <c r="V39">
        <v>104</v>
      </c>
      <c r="W39" s="413">
        <v>0</v>
      </c>
      <c r="X39" s="413">
        <v>0</v>
      </c>
      <c r="Y39">
        <v>0.15690000000000001</v>
      </c>
      <c r="Z39">
        <v>7.3699999999999998E-3</v>
      </c>
      <c r="AA39">
        <v>3.2280000000000003E-2</v>
      </c>
      <c r="AB39">
        <v>7.3699999999999998E-3</v>
      </c>
      <c r="AC39">
        <v>1.46E-4</v>
      </c>
      <c r="AD39">
        <v>366.13</v>
      </c>
      <c r="AE39">
        <v>1.2799999999999999E-4</v>
      </c>
      <c r="AF39">
        <v>306.95</v>
      </c>
      <c r="AG39">
        <v>0.16499999999999998</v>
      </c>
      <c r="AH39">
        <v>1.3999999999999999E-2</v>
      </c>
      <c r="AI39" s="283" t="s">
        <v>283</v>
      </c>
      <c r="AK39" s="254">
        <v>2120</v>
      </c>
      <c r="AL39" s="255">
        <v>2070.9699999999998</v>
      </c>
      <c r="AM39" s="256">
        <v>1.9678</v>
      </c>
      <c r="AN39" s="256">
        <v>1.9616</v>
      </c>
      <c r="AO39" s="255"/>
      <c r="AP39" s="256"/>
      <c r="AQ39" s="255">
        <v>2071.17</v>
      </c>
      <c r="AR39" s="256">
        <v>1.9696</v>
      </c>
      <c r="AS39" s="256">
        <v>1.9633</v>
      </c>
      <c r="AT39" s="255"/>
      <c r="AU39" s="256"/>
      <c r="AV39" s="413">
        <v>1.0086999999999999</v>
      </c>
      <c r="AW39">
        <v>1</v>
      </c>
      <c r="AX39">
        <v>4.4389999999999999E-2</v>
      </c>
      <c r="AY39">
        <v>4.9029999999999997E-2</v>
      </c>
      <c r="AZ39">
        <v>0.28188000000000002</v>
      </c>
      <c r="BA39">
        <v>0.14560000000000001</v>
      </c>
      <c r="BC39" s="256">
        <v>0.99683999999999995</v>
      </c>
      <c r="BD39" s="253">
        <v>0.99970000000000003</v>
      </c>
      <c r="BE39" s="283" t="s">
        <v>283</v>
      </c>
      <c r="BF39" s="283" t="s">
        <v>283</v>
      </c>
      <c r="BG39" t="s">
        <v>31</v>
      </c>
      <c r="BH39" s="413" t="str">
        <f t="shared" si="0"/>
        <v>00</v>
      </c>
    </row>
    <row r="40" spans="1:60" x14ac:dyDescent="0.35">
      <c r="A40" s="253" t="s">
        <v>115</v>
      </c>
      <c r="B40" s="253"/>
      <c r="C40" s="253" t="s">
        <v>389</v>
      </c>
      <c r="D40" s="253" t="s">
        <v>389</v>
      </c>
      <c r="E40" s="253" t="s">
        <v>389</v>
      </c>
      <c r="F40" s="253" t="s">
        <v>389</v>
      </c>
      <c r="G40" s="253" t="s">
        <v>419</v>
      </c>
      <c r="H40" s="253" t="s">
        <v>385</v>
      </c>
      <c r="I40" s="253" t="s">
        <v>391</v>
      </c>
      <c r="J40" s="253" t="s">
        <v>391</v>
      </c>
      <c r="K40" s="253" t="s">
        <v>23</v>
      </c>
      <c r="L40" s="413">
        <v>1.0126999999999999</v>
      </c>
      <c r="M40" s="253"/>
      <c r="N40" s="253"/>
      <c r="O40" s="253"/>
      <c r="P40" s="253"/>
      <c r="R40">
        <v>1</v>
      </c>
      <c r="S40">
        <v>0</v>
      </c>
      <c r="T40">
        <v>0</v>
      </c>
      <c r="U40">
        <v>164</v>
      </c>
      <c r="V40">
        <v>86</v>
      </c>
      <c r="W40" s="413">
        <v>0</v>
      </c>
      <c r="X40" s="413">
        <v>0</v>
      </c>
      <c r="Y40">
        <v>0.19170000000000001</v>
      </c>
      <c r="Z40">
        <v>1.303E-2</v>
      </c>
      <c r="AA40">
        <v>3.9579999999999997E-2</v>
      </c>
      <c r="AB40">
        <v>1.303E-2</v>
      </c>
      <c r="AC40">
        <v>1.6699999999999999E-4</v>
      </c>
      <c r="AD40">
        <v>550.1</v>
      </c>
      <c r="AE40">
        <v>1.5100000000000001E-4</v>
      </c>
      <c r="AF40">
        <v>479.56</v>
      </c>
      <c r="AG40">
        <v>0.16599999999999998</v>
      </c>
      <c r="AH40">
        <v>2.5999999999999999E-2</v>
      </c>
      <c r="AI40" s="283" t="s">
        <v>283</v>
      </c>
      <c r="AK40" s="254">
        <v>1686</v>
      </c>
      <c r="AL40" s="255">
        <v>1644.28</v>
      </c>
      <c r="AM40" s="256">
        <v>2.0571999999999999</v>
      </c>
      <c r="AN40" s="256">
        <v>2.048</v>
      </c>
      <c r="AO40" s="255"/>
      <c r="AP40" s="256"/>
      <c r="AQ40" s="255">
        <v>1643.44</v>
      </c>
      <c r="AR40" s="256">
        <v>2.0691999999999999</v>
      </c>
      <c r="AS40" s="256">
        <v>2.0579999999999998</v>
      </c>
      <c r="AT40" s="255"/>
      <c r="AU40" s="256"/>
      <c r="AV40" s="413">
        <v>1.0086999999999999</v>
      </c>
      <c r="AW40">
        <v>1</v>
      </c>
      <c r="AX40">
        <v>4.0809999999999999E-2</v>
      </c>
      <c r="AY40">
        <v>0.14735000000000001</v>
      </c>
      <c r="AZ40">
        <v>0.27357999999999999</v>
      </c>
      <c r="BA40">
        <v>0.16980000000000001</v>
      </c>
      <c r="BC40" s="256">
        <v>1.0066200000000001</v>
      </c>
      <c r="BD40" s="253">
        <v>0.99209999999999998</v>
      </c>
      <c r="BE40" s="283" t="s">
        <v>283</v>
      </c>
      <c r="BF40" s="283" t="s">
        <v>283</v>
      </c>
      <c r="BG40" t="s">
        <v>31</v>
      </c>
      <c r="BH40" s="413" t="str">
        <f t="shared" si="0"/>
        <v>00</v>
      </c>
    </row>
    <row r="41" spans="1:60" x14ac:dyDescent="0.35">
      <c r="A41" s="253" t="s">
        <v>117</v>
      </c>
      <c r="B41" s="253"/>
      <c r="C41" s="253" t="s">
        <v>387</v>
      </c>
      <c r="D41" s="253" t="s">
        <v>387</v>
      </c>
      <c r="E41" s="253" t="s">
        <v>387</v>
      </c>
      <c r="F41" s="253" t="s">
        <v>387</v>
      </c>
      <c r="G41" s="253" t="s">
        <v>388</v>
      </c>
      <c r="H41" s="253" t="s">
        <v>385</v>
      </c>
      <c r="I41" s="253" t="s">
        <v>386</v>
      </c>
      <c r="J41" s="253" t="s">
        <v>386</v>
      </c>
      <c r="K41" s="253" t="s">
        <v>23</v>
      </c>
      <c r="L41" s="413">
        <v>1.0126999999999999</v>
      </c>
      <c r="M41" s="253"/>
      <c r="N41" s="253"/>
      <c r="O41" s="253"/>
      <c r="P41" s="253"/>
      <c r="R41">
        <v>1</v>
      </c>
      <c r="S41">
        <v>0</v>
      </c>
      <c r="T41">
        <v>0</v>
      </c>
      <c r="U41">
        <v>183</v>
      </c>
      <c r="V41">
        <v>115</v>
      </c>
      <c r="W41" s="413">
        <v>0</v>
      </c>
      <c r="X41" s="413">
        <v>0</v>
      </c>
      <c r="Y41">
        <v>0.15770000000000001</v>
      </c>
      <c r="Z41">
        <v>7.4999999999999997E-3</v>
      </c>
      <c r="AA41">
        <v>3.245E-2</v>
      </c>
      <c r="AB41">
        <v>7.4999999999999997E-3</v>
      </c>
      <c r="AC41">
        <v>9.5000000000000005E-5</v>
      </c>
      <c r="AD41">
        <v>532.29999999999995</v>
      </c>
      <c r="AE41">
        <v>9.2E-5</v>
      </c>
      <c r="AF41">
        <v>508.84</v>
      </c>
      <c r="AG41">
        <v>0.16599999999999998</v>
      </c>
      <c r="AH41">
        <v>1.6999999999999998E-2</v>
      </c>
      <c r="AI41" s="283" t="s">
        <v>283</v>
      </c>
      <c r="AK41" s="254">
        <v>1030</v>
      </c>
      <c r="AL41" s="255">
        <v>1004.78</v>
      </c>
      <c r="AM41" s="256">
        <v>1.8996999999999999</v>
      </c>
      <c r="AN41" s="256">
        <v>1.8819999999999999</v>
      </c>
      <c r="AO41" s="255"/>
      <c r="AP41" s="256"/>
      <c r="AQ41" s="255">
        <v>1005.4</v>
      </c>
      <c r="AR41" s="256">
        <v>1.9058999999999999</v>
      </c>
      <c r="AS41" s="256">
        <v>1.8874</v>
      </c>
      <c r="AT41" s="255"/>
      <c r="AU41" s="256"/>
      <c r="AV41" s="413">
        <v>1.0086999999999999</v>
      </c>
      <c r="AW41">
        <v>1</v>
      </c>
      <c r="AX41">
        <v>1.4789999999999999E-2</v>
      </c>
      <c r="AY41">
        <v>2.8740000000000002E-2</v>
      </c>
      <c r="AZ41">
        <v>0.10474</v>
      </c>
      <c r="BA41">
        <v>0.1439</v>
      </c>
      <c r="BC41" s="256">
        <v>1.0079100000000001</v>
      </c>
      <c r="BD41" s="253">
        <v>0.99909999999999999</v>
      </c>
      <c r="BE41" s="283" t="s">
        <v>283</v>
      </c>
      <c r="BF41" s="283" t="s">
        <v>283</v>
      </c>
      <c r="BG41" t="s">
        <v>31</v>
      </c>
      <c r="BH41" s="413" t="str">
        <f t="shared" si="0"/>
        <v>00</v>
      </c>
    </row>
    <row r="42" spans="1:60" x14ac:dyDescent="0.35">
      <c r="A42" s="253" t="s">
        <v>119</v>
      </c>
      <c r="B42" s="253"/>
      <c r="C42" s="253" t="s">
        <v>392</v>
      </c>
      <c r="D42" s="253" t="s">
        <v>393</v>
      </c>
      <c r="E42" s="253" t="s">
        <v>393</v>
      </c>
      <c r="F42" s="253" t="s">
        <v>393</v>
      </c>
      <c r="G42" s="253" t="s">
        <v>404</v>
      </c>
      <c r="H42" s="253" t="s">
        <v>385</v>
      </c>
      <c r="I42" s="253" t="s">
        <v>395</v>
      </c>
      <c r="J42" s="253" t="s">
        <v>395</v>
      </c>
      <c r="K42" s="253" t="s">
        <v>23</v>
      </c>
      <c r="L42" s="413">
        <v>1.0126999999999999</v>
      </c>
      <c r="M42" s="253"/>
      <c r="N42" s="253"/>
      <c r="O42" s="253"/>
      <c r="P42" s="253"/>
      <c r="R42">
        <v>1</v>
      </c>
      <c r="S42">
        <v>0</v>
      </c>
      <c r="T42">
        <v>0</v>
      </c>
      <c r="U42">
        <v>12</v>
      </c>
      <c r="V42">
        <v>2</v>
      </c>
      <c r="W42" s="413">
        <v>0</v>
      </c>
      <c r="X42" s="413">
        <v>0</v>
      </c>
      <c r="Y42">
        <v>2.3859999999999999E-2</v>
      </c>
      <c r="Z42">
        <v>0</v>
      </c>
      <c r="AA42">
        <v>0</v>
      </c>
      <c r="AB42">
        <v>0</v>
      </c>
      <c r="AD42">
        <v>0</v>
      </c>
      <c r="AF42">
        <v>0</v>
      </c>
      <c r="AG42">
        <v>0.34299999999999997</v>
      </c>
      <c r="AH42">
        <v>5.0999999999999997E-2</v>
      </c>
      <c r="AI42" s="283" t="s">
        <v>283</v>
      </c>
      <c r="AK42" s="254">
        <v>259</v>
      </c>
      <c r="AL42" s="255">
        <v>258.01</v>
      </c>
      <c r="AM42" s="256">
        <v>2.2187000000000001</v>
      </c>
      <c r="AN42" s="256">
        <v>2.2170999999999998</v>
      </c>
      <c r="AO42" s="255"/>
      <c r="AP42" s="256"/>
      <c r="AQ42" s="255">
        <v>257.94</v>
      </c>
      <c r="AR42" s="256">
        <v>2.226</v>
      </c>
      <c r="AS42" s="256">
        <v>2.2238000000000002</v>
      </c>
      <c r="AT42" s="255"/>
      <c r="AU42" s="256"/>
      <c r="AV42" s="413">
        <v>1.0086999999999999</v>
      </c>
      <c r="AW42">
        <v>1</v>
      </c>
      <c r="AX42">
        <v>2.3429999999999999E-2</v>
      </c>
      <c r="AY42">
        <v>0.10582</v>
      </c>
      <c r="AZ42">
        <v>0.58894000000000002</v>
      </c>
      <c r="BA42">
        <v>2.3859999999999999E-2</v>
      </c>
      <c r="BC42" s="256">
        <v>1</v>
      </c>
      <c r="BD42" s="253">
        <v>1</v>
      </c>
      <c r="BE42" s="283" t="s">
        <v>283</v>
      </c>
      <c r="BF42" s="283" t="s">
        <v>283</v>
      </c>
      <c r="BG42" t="s">
        <v>25</v>
      </c>
      <c r="BH42" s="413" t="str">
        <f t="shared" si="0"/>
        <v>00</v>
      </c>
    </row>
    <row r="43" spans="1:60" x14ac:dyDescent="0.35">
      <c r="A43" s="253" t="s">
        <v>121</v>
      </c>
      <c r="B43" s="253"/>
      <c r="C43" s="253" t="s">
        <v>392</v>
      </c>
      <c r="D43" s="253" t="s">
        <v>393</v>
      </c>
      <c r="E43" s="253" t="s">
        <v>393</v>
      </c>
      <c r="F43" s="253" t="s">
        <v>393</v>
      </c>
      <c r="G43" s="253" t="s">
        <v>420</v>
      </c>
      <c r="H43" s="253" t="s">
        <v>385</v>
      </c>
      <c r="I43" s="253" t="s">
        <v>395</v>
      </c>
      <c r="J43" s="253" t="s">
        <v>395</v>
      </c>
      <c r="K43" s="253" t="s">
        <v>23</v>
      </c>
      <c r="L43" s="413">
        <v>1.0126999999999999</v>
      </c>
      <c r="M43" s="253"/>
      <c r="N43" s="253"/>
      <c r="O43" s="253"/>
      <c r="P43" s="253"/>
      <c r="R43">
        <v>1</v>
      </c>
      <c r="S43">
        <v>0</v>
      </c>
      <c r="T43">
        <v>0</v>
      </c>
      <c r="U43">
        <v>34</v>
      </c>
      <c r="V43">
        <v>7</v>
      </c>
      <c r="W43" s="413">
        <v>0</v>
      </c>
      <c r="X43" s="413">
        <v>0</v>
      </c>
      <c r="Y43">
        <v>0.29759999999999998</v>
      </c>
      <c r="Z43">
        <v>0.03</v>
      </c>
      <c r="AA43">
        <v>0</v>
      </c>
      <c r="AB43">
        <v>0.03</v>
      </c>
      <c r="AD43">
        <v>0</v>
      </c>
      <c r="AF43">
        <v>0</v>
      </c>
      <c r="AG43">
        <v>0.31499999999999995</v>
      </c>
      <c r="AH43">
        <v>3.5999999999999997E-2</v>
      </c>
      <c r="AI43" s="283" t="s">
        <v>283</v>
      </c>
      <c r="AK43" s="254">
        <v>150</v>
      </c>
      <c r="AL43" s="255">
        <v>144.13999999999999</v>
      </c>
      <c r="AM43" s="256">
        <v>1.5122</v>
      </c>
      <c r="AN43" s="256">
        <v>1.4952000000000001</v>
      </c>
      <c r="AO43" s="255"/>
      <c r="AP43" s="256"/>
      <c r="AQ43" s="255">
        <v>144.27000000000001</v>
      </c>
      <c r="AR43" s="256">
        <v>1.5069999999999999</v>
      </c>
      <c r="AS43" s="256">
        <v>1.4903999999999999</v>
      </c>
      <c r="AT43" s="255"/>
      <c r="AU43" s="256"/>
      <c r="AV43" s="413">
        <v>1.0086999999999999</v>
      </c>
      <c r="AW43">
        <v>1</v>
      </c>
      <c r="AX43">
        <v>5.1560000000000002E-2</v>
      </c>
      <c r="AY43">
        <v>0.14742</v>
      </c>
      <c r="AZ43">
        <v>0.13827</v>
      </c>
      <c r="BA43">
        <v>0.2727</v>
      </c>
      <c r="BC43" s="256">
        <v>1</v>
      </c>
      <c r="BD43" s="253">
        <v>0.99609999999999999</v>
      </c>
      <c r="BE43" s="283" t="s">
        <v>283</v>
      </c>
      <c r="BF43" s="283" t="s">
        <v>283</v>
      </c>
      <c r="BG43" t="s">
        <v>31</v>
      </c>
      <c r="BH43" s="413" t="str">
        <f t="shared" si="0"/>
        <v>00</v>
      </c>
    </row>
    <row r="44" spans="1:60" x14ac:dyDescent="0.35">
      <c r="A44" s="253" t="s">
        <v>123</v>
      </c>
      <c r="B44" s="253"/>
      <c r="C44" s="253" t="s">
        <v>399</v>
      </c>
      <c r="D44" s="253" t="s">
        <v>399</v>
      </c>
      <c r="E44" s="253" t="s">
        <v>399</v>
      </c>
      <c r="F44" s="253" t="s">
        <v>399</v>
      </c>
      <c r="G44" s="253" t="s">
        <v>400</v>
      </c>
      <c r="H44" s="253" t="s">
        <v>385</v>
      </c>
      <c r="I44" s="253" t="s">
        <v>386</v>
      </c>
      <c r="J44" s="253" t="s">
        <v>386</v>
      </c>
      <c r="K44" s="253" t="s">
        <v>23</v>
      </c>
      <c r="L44" s="413">
        <v>1.0126999999999999</v>
      </c>
      <c r="M44" s="253"/>
      <c r="N44" s="253"/>
      <c r="O44" s="253"/>
      <c r="P44" s="253"/>
      <c r="R44">
        <v>1</v>
      </c>
      <c r="S44">
        <v>0</v>
      </c>
      <c r="T44">
        <v>0</v>
      </c>
      <c r="U44">
        <v>182</v>
      </c>
      <c r="V44">
        <v>137</v>
      </c>
      <c r="W44" s="413">
        <v>0</v>
      </c>
      <c r="X44" s="413">
        <v>0</v>
      </c>
      <c r="Y44">
        <v>0.17810000000000001</v>
      </c>
      <c r="Z44">
        <v>1.082E-2</v>
      </c>
      <c r="AA44">
        <v>3.6720000000000003E-2</v>
      </c>
      <c r="AB44">
        <v>1.082E-2</v>
      </c>
      <c r="AC44">
        <v>2.5500000000000002E-4</v>
      </c>
      <c r="AD44">
        <v>399.72</v>
      </c>
      <c r="AE44">
        <v>2.3900000000000001E-4</v>
      </c>
      <c r="AF44">
        <v>359</v>
      </c>
      <c r="AG44">
        <v>0.22699999999999998</v>
      </c>
      <c r="AH44">
        <v>1.6999999999999998E-2</v>
      </c>
      <c r="AI44" s="283" t="s">
        <v>283</v>
      </c>
      <c r="AK44" s="254">
        <v>3500</v>
      </c>
      <c r="AL44" s="255">
        <v>3439</v>
      </c>
      <c r="AM44" s="256">
        <v>2.5278999999999998</v>
      </c>
      <c r="AN44" s="256">
        <v>2.5278999999999998</v>
      </c>
      <c r="AO44" s="255"/>
      <c r="AP44" s="256"/>
      <c r="AQ44" s="255">
        <v>3439.68</v>
      </c>
      <c r="AR44" s="256">
        <v>2.5118999999999998</v>
      </c>
      <c r="AS44" s="256">
        <v>2.5099999999999998</v>
      </c>
      <c r="AT44" s="255"/>
      <c r="AU44" s="256"/>
      <c r="AV44" s="413">
        <v>1.0086999999999999</v>
      </c>
      <c r="AW44">
        <v>1</v>
      </c>
      <c r="AX44">
        <v>8.0860000000000001E-2</v>
      </c>
      <c r="AY44">
        <v>7.7160000000000006E-2</v>
      </c>
      <c r="AZ44">
        <v>0.35830000000000001</v>
      </c>
      <c r="BA44">
        <v>0.14910000000000001</v>
      </c>
      <c r="BC44" s="256">
        <v>1.00213</v>
      </c>
      <c r="BD44" s="253">
        <v>1</v>
      </c>
      <c r="BE44" s="283" t="s">
        <v>283</v>
      </c>
      <c r="BF44" s="283" t="s">
        <v>283</v>
      </c>
      <c r="BG44" t="s">
        <v>31</v>
      </c>
      <c r="BH44" s="413" t="str">
        <f t="shared" si="0"/>
        <v>00</v>
      </c>
    </row>
    <row r="45" spans="1:60" x14ac:dyDescent="0.35">
      <c r="A45" s="253" t="s">
        <v>125</v>
      </c>
      <c r="B45" s="253"/>
      <c r="C45" s="253" t="s">
        <v>389</v>
      </c>
      <c r="D45" s="253" t="s">
        <v>389</v>
      </c>
      <c r="E45" s="253" t="s">
        <v>389</v>
      </c>
      <c r="F45" s="253" t="s">
        <v>389</v>
      </c>
      <c r="G45" s="253" t="s">
        <v>398</v>
      </c>
      <c r="H45" s="253" t="s">
        <v>385</v>
      </c>
      <c r="I45" s="253" t="s">
        <v>391</v>
      </c>
      <c r="J45" s="253" t="s">
        <v>391</v>
      </c>
      <c r="K45" s="253" t="s">
        <v>23</v>
      </c>
      <c r="L45" s="413">
        <v>1.0126999999999999</v>
      </c>
      <c r="M45" s="253"/>
      <c r="N45" s="253"/>
      <c r="O45" s="253"/>
      <c r="P45" s="253"/>
      <c r="R45">
        <v>1</v>
      </c>
      <c r="S45">
        <v>0</v>
      </c>
      <c r="T45">
        <v>0</v>
      </c>
      <c r="U45">
        <v>48</v>
      </c>
      <c r="V45">
        <v>9</v>
      </c>
      <c r="W45" s="413">
        <v>0</v>
      </c>
      <c r="X45" s="413">
        <v>0</v>
      </c>
      <c r="Y45">
        <v>1.06E-2</v>
      </c>
      <c r="Z45">
        <v>0</v>
      </c>
      <c r="AA45">
        <v>0</v>
      </c>
      <c r="AB45">
        <v>0</v>
      </c>
      <c r="AD45">
        <v>0</v>
      </c>
      <c r="AF45">
        <v>0</v>
      </c>
      <c r="AG45">
        <v>0.16399999999999998</v>
      </c>
      <c r="AH45">
        <v>8.9999999999999993E-3</v>
      </c>
      <c r="AI45" s="283" t="s">
        <v>283</v>
      </c>
      <c r="AK45" s="254">
        <v>365</v>
      </c>
      <c r="AL45" s="255">
        <v>363.13</v>
      </c>
      <c r="AM45" s="256">
        <v>3.7094999999999998</v>
      </c>
      <c r="AN45" s="256">
        <v>3.7097000000000002</v>
      </c>
      <c r="AO45" s="255"/>
      <c r="AP45" s="256"/>
      <c r="AQ45" s="255">
        <v>363.18</v>
      </c>
      <c r="AR45" s="256">
        <v>3.6939000000000002</v>
      </c>
      <c r="AS45" s="256">
        <v>3.6934999999999998</v>
      </c>
      <c r="AT45" s="255"/>
      <c r="AU45" s="256"/>
      <c r="AV45" s="413">
        <v>1.0086999999999999</v>
      </c>
      <c r="AW45">
        <v>1</v>
      </c>
      <c r="AX45">
        <v>5.3499999999999997E-3</v>
      </c>
      <c r="AY45">
        <v>1.67E-3</v>
      </c>
      <c r="AZ45">
        <v>0.35776000000000002</v>
      </c>
      <c r="BA45">
        <v>0</v>
      </c>
      <c r="BC45" s="256">
        <v>1</v>
      </c>
      <c r="BD45" s="253">
        <v>1</v>
      </c>
      <c r="BE45" s="283" t="s">
        <v>283</v>
      </c>
      <c r="BF45" s="283" t="s">
        <v>283</v>
      </c>
      <c r="BG45" t="s">
        <v>31</v>
      </c>
      <c r="BH45" s="413" t="str">
        <f t="shared" si="0"/>
        <v>00</v>
      </c>
    </row>
    <row r="46" spans="1:60" x14ac:dyDescent="0.35">
      <c r="A46" s="253" t="s">
        <v>128</v>
      </c>
      <c r="B46" s="253"/>
      <c r="C46" s="253" t="s">
        <v>389</v>
      </c>
      <c r="D46" s="253" t="s">
        <v>389</v>
      </c>
      <c r="E46" s="253" t="s">
        <v>389</v>
      </c>
      <c r="F46" s="253" t="s">
        <v>389</v>
      </c>
      <c r="G46" s="253" t="s">
        <v>419</v>
      </c>
      <c r="H46" s="253" t="s">
        <v>385</v>
      </c>
      <c r="I46" s="253" t="s">
        <v>391</v>
      </c>
      <c r="J46" s="253" t="s">
        <v>391</v>
      </c>
      <c r="K46" s="253" t="s">
        <v>23</v>
      </c>
      <c r="L46" s="413">
        <v>1.0126999999999999</v>
      </c>
      <c r="M46" s="253"/>
      <c r="N46" s="253"/>
      <c r="O46" s="253"/>
      <c r="P46" s="253"/>
      <c r="R46">
        <v>1</v>
      </c>
      <c r="S46">
        <v>0</v>
      </c>
      <c r="T46">
        <v>0</v>
      </c>
      <c r="U46">
        <v>53</v>
      </c>
      <c r="V46">
        <v>27</v>
      </c>
      <c r="W46" s="413">
        <v>0</v>
      </c>
      <c r="X46" s="413">
        <v>0</v>
      </c>
      <c r="Y46">
        <v>0.20469999999999999</v>
      </c>
      <c r="Z46">
        <v>1.5259999999999999E-2</v>
      </c>
      <c r="AA46">
        <v>0</v>
      </c>
      <c r="AB46">
        <v>1.5259999999999999E-2</v>
      </c>
      <c r="AC46">
        <v>7.1000000000000005E-5</v>
      </c>
      <c r="AD46">
        <v>633.41</v>
      </c>
      <c r="AE46">
        <v>5.8E-5</v>
      </c>
      <c r="AF46">
        <v>492.5</v>
      </c>
      <c r="AG46">
        <v>0.183</v>
      </c>
      <c r="AH46">
        <v>2.7999999999999997E-2</v>
      </c>
      <c r="AI46" s="283" t="s">
        <v>283</v>
      </c>
      <c r="AK46" s="254">
        <v>602</v>
      </c>
      <c r="AL46" s="255">
        <v>587.15</v>
      </c>
      <c r="AM46" s="256">
        <v>1.8798999999999999</v>
      </c>
      <c r="AN46" s="256">
        <v>1.8787</v>
      </c>
      <c r="AO46" s="255"/>
      <c r="AP46" s="256"/>
      <c r="AQ46" s="255">
        <v>587.09</v>
      </c>
      <c r="AR46" s="256">
        <v>1.8834</v>
      </c>
      <c r="AS46" s="256">
        <v>1.8784000000000001</v>
      </c>
      <c r="AT46" s="255"/>
      <c r="AU46" s="256"/>
      <c r="AV46" s="413">
        <v>1.0086999999999999</v>
      </c>
      <c r="AW46">
        <v>1</v>
      </c>
      <c r="AX46">
        <v>1.558E-2</v>
      </c>
      <c r="AY46">
        <v>6.515E-2</v>
      </c>
      <c r="AZ46">
        <v>0.19314999999999999</v>
      </c>
      <c r="BA46">
        <v>0.182</v>
      </c>
      <c r="BC46" s="256">
        <v>1.01176</v>
      </c>
      <c r="BD46" s="253">
        <v>0.98970000000000002</v>
      </c>
      <c r="BE46" s="283" t="s">
        <v>283</v>
      </c>
      <c r="BF46" s="283" t="s">
        <v>283</v>
      </c>
      <c r="BG46" t="s">
        <v>31</v>
      </c>
      <c r="BH46" s="413" t="str">
        <f t="shared" si="0"/>
        <v>00</v>
      </c>
    </row>
    <row r="47" spans="1:60" x14ac:dyDescent="0.35">
      <c r="A47" s="253" t="s">
        <v>130</v>
      </c>
      <c r="B47" s="253"/>
      <c r="C47" s="253" t="s">
        <v>399</v>
      </c>
      <c r="D47" s="253" t="s">
        <v>399</v>
      </c>
      <c r="E47" s="253" t="s">
        <v>399</v>
      </c>
      <c r="F47" s="253" t="s">
        <v>399</v>
      </c>
      <c r="G47" s="253" t="s">
        <v>400</v>
      </c>
      <c r="H47" s="253" t="s">
        <v>385</v>
      </c>
      <c r="I47" s="253" t="s">
        <v>386</v>
      </c>
      <c r="J47" s="253" t="s">
        <v>386</v>
      </c>
      <c r="K47" s="253" t="s">
        <v>23</v>
      </c>
      <c r="L47" s="413">
        <v>1.0126999999999999</v>
      </c>
      <c r="M47" s="253"/>
      <c r="N47" s="253"/>
      <c r="O47" s="253"/>
      <c r="P47" s="253"/>
      <c r="R47">
        <v>1</v>
      </c>
      <c r="S47">
        <v>0</v>
      </c>
      <c r="T47">
        <v>0</v>
      </c>
      <c r="U47">
        <v>29</v>
      </c>
      <c r="V47">
        <v>8</v>
      </c>
      <c r="W47" s="413">
        <v>0</v>
      </c>
      <c r="X47" s="413">
        <v>0</v>
      </c>
      <c r="Y47">
        <v>0.3362</v>
      </c>
      <c r="Z47">
        <v>0.03</v>
      </c>
      <c r="AA47">
        <v>0</v>
      </c>
      <c r="AB47">
        <v>0.03</v>
      </c>
      <c r="AC47">
        <v>4.6E-5</v>
      </c>
      <c r="AD47">
        <v>1934.86</v>
      </c>
      <c r="AE47">
        <v>4.8000000000000001E-5</v>
      </c>
      <c r="AF47">
        <v>1909.77</v>
      </c>
      <c r="AG47">
        <v>0.31799999999999995</v>
      </c>
      <c r="AH47">
        <v>9.8999999999999991E-2</v>
      </c>
      <c r="AI47" s="283" t="s">
        <v>283</v>
      </c>
      <c r="AK47" s="254">
        <v>123</v>
      </c>
      <c r="AL47" s="255">
        <v>119.56</v>
      </c>
      <c r="AM47" s="256">
        <v>1.9831000000000001</v>
      </c>
      <c r="AN47" s="256">
        <v>1.9461999999999999</v>
      </c>
      <c r="AO47" s="255"/>
      <c r="AP47" s="256"/>
      <c r="AQ47" s="255">
        <v>119.52</v>
      </c>
      <c r="AR47" s="256">
        <v>1.9812000000000001</v>
      </c>
      <c r="AS47" s="256">
        <v>1.9444999999999999</v>
      </c>
      <c r="AT47" s="255"/>
      <c r="AU47" s="256"/>
      <c r="AV47" s="413">
        <v>1.0086999999999999</v>
      </c>
      <c r="AW47">
        <v>1</v>
      </c>
      <c r="AX47">
        <v>3.0000000000000001E-5</v>
      </c>
      <c r="AY47">
        <v>0.11444</v>
      </c>
      <c r="AZ47">
        <v>0.12867000000000001</v>
      </c>
      <c r="BA47">
        <v>0.29389999999999999</v>
      </c>
      <c r="BC47" s="256">
        <v>1</v>
      </c>
      <c r="BD47" s="253">
        <v>0.98680000000000001</v>
      </c>
      <c r="BE47" s="283" t="s">
        <v>283</v>
      </c>
      <c r="BF47" s="283" t="s">
        <v>283</v>
      </c>
      <c r="BG47" t="s">
        <v>31</v>
      </c>
      <c r="BH47" s="413" t="str">
        <f t="shared" si="0"/>
        <v>00</v>
      </c>
    </row>
    <row r="48" spans="1:60" x14ac:dyDescent="0.35">
      <c r="A48" s="253" t="s">
        <v>132</v>
      </c>
      <c r="B48" s="253"/>
      <c r="C48" s="253" t="s">
        <v>387</v>
      </c>
      <c r="D48" s="253" t="s">
        <v>387</v>
      </c>
      <c r="E48" s="253" t="s">
        <v>387</v>
      </c>
      <c r="F48" s="253" t="s">
        <v>387</v>
      </c>
      <c r="G48" s="253" t="s">
        <v>388</v>
      </c>
      <c r="H48" s="253" t="s">
        <v>385</v>
      </c>
      <c r="I48" s="253" t="s">
        <v>386</v>
      </c>
      <c r="J48" s="253" t="s">
        <v>386</v>
      </c>
      <c r="K48" s="253" t="s">
        <v>23</v>
      </c>
      <c r="L48" s="413">
        <v>1.0126999999999999</v>
      </c>
      <c r="M48" s="253"/>
      <c r="N48" s="253"/>
      <c r="O48" s="253"/>
      <c r="P48" s="253"/>
      <c r="R48">
        <v>1</v>
      </c>
      <c r="S48">
        <v>0</v>
      </c>
      <c r="T48">
        <v>0</v>
      </c>
      <c r="U48">
        <v>53</v>
      </c>
      <c r="V48">
        <v>35</v>
      </c>
      <c r="W48" s="413">
        <v>0</v>
      </c>
      <c r="X48" s="413">
        <v>0</v>
      </c>
      <c r="Y48">
        <v>0.28010000000000002</v>
      </c>
      <c r="Z48">
        <v>0.03</v>
      </c>
      <c r="AA48">
        <v>0</v>
      </c>
      <c r="AB48">
        <v>0.03</v>
      </c>
      <c r="AC48">
        <v>1.01E-4</v>
      </c>
      <c r="AD48">
        <v>870.44</v>
      </c>
      <c r="AE48">
        <v>8.3999999999999995E-5</v>
      </c>
      <c r="AF48">
        <v>836.58</v>
      </c>
      <c r="AG48">
        <v>0.21</v>
      </c>
      <c r="AH48">
        <v>3.5999999999999997E-2</v>
      </c>
      <c r="AI48" s="283" t="s">
        <v>283</v>
      </c>
      <c r="AK48" s="254">
        <v>939</v>
      </c>
      <c r="AL48" s="255">
        <v>910.83</v>
      </c>
      <c r="AM48" s="256">
        <v>1.9091</v>
      </c>
      <c r="AN48" s="256">
        <v>1.9008</v>
      </c>
      <c r="AO48" s="255"/>
      <c r="AP48" s="256"/>
      <c r="AQ48" s="255">
        <v>910.93</v>
      </c>
      <c r="AR48" s="256">
        <v>1.909</v>
      </c>
      <c r="AS48" s="256">
        <v>1.9011</v>
      </c>
      <c r="AT48" s="255"/>
      <c r="AU48" s="256"/>
      <c r="AV48" s="413">
        <v>1.0086999999999999</v>
      </c>
      <c r="AW48">
        <v>1</v>
      </c>
      <c r="AX48">
        <v>6.2330000000000003E-2</v>
      </c>
      <c r="AY48">
        <v>0.22231000000000001</v>
      </c>
      <c r="AZ48">
        <v>0.24804000000000001</v>
      </c>
      <c r="BA48">
        <v>0.24440000000000001</v>
      </c>
      <c r="BC48" s="256">
        <v>1.0074799999999999</v>
      </c>
      <c r="BD48" s="253">
        <v>0.99950000000000006</v>
      </c>
      <c r="BE48" s="283" t="s">
        <v>283</v>
      </c>
      <c r="BF48" s="283" t="s">
        <v>283</v>
      </c>
      <c r="BG48" t="s">
        <v>31</v>
      </c>
      <c r="BH48" s="413" t="str">
        <f t="shared" si="0"/>
        <v>00</v>
      </c>
    </row>
    <row r="49" spans="1:60" x14ac:dyDescent="0.35">
      <c r="A49" s="253" t="s">
        <v>134</v>
      </c>
      <c r="B49" s="253"/>
      <c r="C49" s="253" t="s">
        <v>389</v>
      </c>
      <c r="D49" s="253" t="s">
        <v>389</v>
      </c>
      <c r="E49" s="253" t="s">
        <v>389</v>
      </c>
      <c r="F49" s="253" t="s">
        <v>389</v>
      </c>
      <c r="G49" s="253" t="s">
        <v>421</v>
      </c>
      <c r="H49" s="253" t="s">
        <v>385</v>
      </c>
      <c r="I49" s="253" t="s">
        <v>391</v>
      </c>
      <c r="J49" s="253" t="s">
        <v>391</v>
      </c>
      <c r="K49" s="253" t="s">
        <v>23</v>
      </c>
      <c r="L49" s="413">
        <v>1.0126999999999999</v>
      </c>
      <c r="M49" s="253"/>
      <c r="N49" s="253"/>
      <c r="O49" s="253"/>
      <c r="P49" s="253"/>
      <c r="R49">
        <v>1</v>
      </c>
      <c r="S49">
        <v>0</v>
      </c>
      <c r="T49">
        <v>0</v>
      </c>
      <c r="U49">
        <v>22</v>
      </c>
      <c r="V49">
        <v>10</v>
      </c>
      <c r="W49" s="413">
        <v>0</v>
      </c>
      <c r="X49" s="413">
        <v>0</v>
      </c>
      <c r="Y49">
        <v>0.55840000000000001</v>
      </c>
      <c r="Z49">
        <v>0.03</v>
      </c>
      <c r="AA49">
        <v>0</v>
      </c>
      <c r="AB49">
        <v>0.03</v>
      </c>
      <c r="AC49">
        <v>2.2100000000000001E-4</v>
      </c>
      <c r="AD49">
        <v>18286.2</v>
      </c>
      <c r="AE49">
        <v>2.7E-4</v>
      </c>
      <c r="AF49">
        <v>29907.82</v>
      </c>
      <c r="AG49">
        <v>0.25399999999999995</v>
      </c>
      <c r="AH49">
        <v>5.8999999999999997E-2</v>
      </c>
      <c r="AI49" s="283" t="s">
        <v>283</v>
      </c>
      <c r="AK49" s="254">
        <v>116</v>
      </c>
      <c r="AL49" s="255">
        <v>114.42</v>
      </c>
      <c r="AM49" s="256">
        <v>1.8088</v>
      </c>
      <c r="AN49" s="256">
        <v>1.8061</v>
      </c>
      <c r="AO49" s="255"/>
      <c r="AP49" s="256"/>
      <c r="AQ49" s="255">
        <v>114.36</v>
      </c>
      <c r="AR49" s="256">
        <v>1.8262</v>
      </c>
      <c r="AS49" s="256">
        <v>1.8229</v>
      </c>
      <c r="AT49" s="255"/>
      <c r="AU49" s="256"/>
      <c r="AV49" s="413">
        <v>1.0086999999999999</v>
      </c>
      <c r="AW49">
        <v>1</v>
      </c>
      <c r="AX49">
        <v>1.159E-2</v>
      </c>
      <c r="AY49">
        <v>0.21282000000000001</v>
      </c>
      <c r="AZ49">
        <v>0.20244000000000001</v>
      </c>
      <c r="BA49">
        <v>0.54530000000000001</v>
      </c>
      <c r="BC49" s="256">
        <v>1</v>
      </c>
      <c r="BD49" s="253">
        <v>0.99660000000000004</v>
      </c>
      <c r="BE49" s="283" t="s">
        <v>283</v>
      </c>
      <c r="BF49" s="283" t="s">
        <v>283</v>
      </c>
      <c r="BG49" t="s">
        <v>31</v>
      </c>
      <c r="BH49" s="413" t="str">
        <f t="shared" si="0"/>
        <v>00</v>
      </c>
    </row>
    <row r="50" spans="1:60" x14ac:dyDescent="0.35">
      <c r="A50" s="253" t="s">
        <v>136</v>
      </c>
      <c r="B50" s="253"/>
      <c r="C50" s="253" t="s">
        <v>406</v>
      </c>
      <c r="D50" s="253" t="s">
        <v>406</v>
      </c>
      <c r="E50" s="253" t="s">
        <v>406</v>
      </c>
      <c r="F50" s="253" t="s">
        <v>406</v>
      </c>
      <c r="G50" s="253" t="s">
        <v>407</v>
      </c>
      <c r="H50" s="253" t="s">
        <v>385</v>
      </c>
      <c r="I50" s="253" t="s">
        <v>386</v>
      </c>
      <c r="J50" s="253" t="s">
        <v>386</v>
      </c>
      <c r="K50" s="253" t="s">
        <v>23</v>
      </c>
      <c r="L50" s="413">
        <v>1.0126999999999999</v>
      </c>
      <c r="M50" s="253"/>
      <c r="N50" s="253"/>
      <c r="O50" s="253"/>
      <c r="P50" s="253"/>
      <c r="R50">
        <v>1</v>
      </c>
      <c r="S50">
        <v>0</v>
      </c>
      <c r="T50">
        <v>0</v>
      </c>
      <c r="U50">
        <v>22</v>
      </c>
      <c r="V50">
        <v>6</v>
      </c>
      <c r="W50" s="413">
        <v>0</v>
      </c>
      <c r="X50" s="413">
        <v>0</v>
      </c>
      <c r="Y50">
        <v>0.16689999999999999</v>
      </c>
      <c r="Z50">
        <v>8.9999999999999993E-3</v>
      </c>
      <c r="AA50">
        <v>0</v>
      </c>
      <c r="AB50">
        <v>8.9999999999999993E-3</v>
      </c>
      <c r="AC50">
        <v>7.1000000000000005E-5</v>
      </c>
      <c r="AD50">
        <v>1845.42</v>
      </c>
      <c r="AE50">
        <v>6.7000000000000002E-5</v>
      </c>
      <c r="AF50">
        <v>2010.36</v>
      </c>
      <c r="AG50">
        <v>0.25799999999999995</v>
      </c>
      <c r="AH50">
        <v>4.5999999999999999E-2</v>
      </c>
      <c r="AI50" s="283" t="s">
        <v>283</v>
      </c>
      <c r="AK50" s="254">
        <v>303</v>
      </c>
      <c r="AL50" s="255">
        <v>297.25</v>
      </c>
      <c r="AM50" s="256">
        <v>1.8334999999999999</v>
      </c>
      <c r="AN50" s="256">
        <v>1.8371999999999999</v>
      </c>
      <c r="AO50" s="255"/>
      <c r="AP50" s="256"/>
      <c r="AQ50" s="255">
        <v>297.52999999999997</v>
      </c>
      <c r="AR50" s="256">
        <v>1.8277000000000001</v>
      </c>
      <c r="AS50" s="256">
        <v>1.8307</v>
      </c>
      <c r="AT50" s="255"/>
      <c r="AU50" s="256"/>
      <c r="AV50" s="413">
        <v>1.0086999999999999</v>
      </c>
      <c r="AW50">
        <v>1</v>
      </c>
      <c r="AX50">
        <v>3.3450000000000001E-2</v>
      </c>
      <c r="AY50">
        <v>0.10178</v>
      </c>
      <c r="AZ50">
        <v>0.37980000000000003</v>
      </c>
      <c r="BA50">
        <v>0.13619999999999999</v>
      </c>
      <c r="BC50" s="256">
        <v>1</v>
      </c>
      <c r="BD50" s="253">
        <v>1</v>
      </c>
      <c r="BE50" s="283" t="s">
        <v>283</v>
      </c>
      <c r="BF50" s="283" t="s">
        <v>283</v>
      </c>
      <c r="BG50" t="s">
        <v>31</v>
      </c>
      <c r="BH50" s="413" t="str">
        <f t="shared" si="0"/>
        <v>00</v>
      </c>
    </row>
    <row r="51" spans="1:60" x14ac:dyDescent="0.35">
      <c r="A51" s="253" t="s">
        <v>138</v>
      </c>
      <c r="B51" s="253"/>
      <c r="C51" s="253" t="s">
        <v>383</v>
      </c>
      <c r="D51" s="253" t="s">
        <v>383</v>
      </c>
      <c r="E51" s="253" t="s">
        <v>383</v>
      </c>
      <c r="F51" s="253" t="s">
        <v>383</v>
      </c>
      <c r="G51" s="253" t="s">
        <v>384</v>
      </c>
      <c r="H51" s="253" t="s">
        <v>385</v>
      </c>
      <c r="I51" s="253" t="s">
        <v>386</v>
      </c>
      <c r="J51" s="253" t="s">
        <v>386</v>
      </c>
      <c r="K51" s="253" t="s">
        <v>23</v>
      </c>
      <c r="L51" s="413">
        <v>1.0192999999999999</v>
      </c>
      <c r="M51" s="253"/>
      <c r="N51" s="253"/>
      <c r="O51" s="253"/>
      <c r="P51" s="253" t="s">
        <v>34</v>
      </c>
      <c r="Q51">
        <v>6.6E-3</v>
      </c>
      <c r="R51">
        <v>1</v>
      </c>
      <c r="S51">
        <v>0</v>
      </c>
      <c r="T51">
        <v>0</v>
      </c>
      <c r="U51">
        <v>52</v>
      </c>
      <c r="V51">
        <v>38</v>
      </c>
      <c r="W51" s="413">
        <v>0</v>
      </c>
      <c r="X51" s="413">
        <v>0</v>
      </c>
      <c r="Y51">
        <v>0.25990000000000002</v>
      </c>
      <c r="Z51">
        <v>2.664E-2</v>
      </c>
      <c r="AA51">
        <v>0</v>
      </c>
      <c r="AB51">
        <v>2.664E-2</v>
      </c>
      <c r="AC51">
        <v>6.3999999999999997E-5</v>
      </c>
      <c r="AD51">
        <v>836.59</v>
      </c>
      <c r="AF51">
        <v>0</v>
      </c>
      <c r="AG51">
        <v>0.27099999999999996</v>
      </c>
      <c r="AH51">
        <v>5.5999999999999994E-2</v>
      </c>
      <c r="AI51" s="283" t="s">
        <v>283</v>
      </c>
      <c r="AK51" s="254">
        <v>877</v>
      </c>
      <c r="AL51" s="255">
        <v>843.26</v>
      </c>
      <c r="AM51" s="256">
        <v>1.7596000000000001</v>
      </c>
      <c r="AN51" s="256">
        <v>1.7506999999999999</v>
      </c>
      <c r="AO51" s="255"/>
      <c r="AP51" s="256"/>
      <c r="AQ51" s="255">
        <v>843.19</v>
      </c>
      <c r="AR51" s="256">
        <v>1.7637</v>
      </c>
      <c r="AS51" s="256">
        <v>1.7504</v>
      </c>
      <c r="AT51" s="255"/>
      <c r="AU51" s="256"/>
      <c r="AV51" s="413">
        <v>1.0132000000000001</v>
      </c>
      <c r="AW51">
        <v>1</v>
      </c>
      <c r="AX51">
        <v>5.1020000000000003E-2</v>
      </c>
      <c r="AY51">
        <v>0.30645</v>
      </c>
      <c r="AZ51">
        <v>0.28977000000000003</v>
      </c>
      <c r="BA51">
        <v>0.2152</v>
      </c>
      <c r="BC51" s="256">
        <v>1</v>
      </c>
      <c r="BD51" s="253">
        <v>1</v>
      </c>
      <c r="BE51" s="283" t="s">
        <v>283</v>
      </c>
      <c r="BF51" s="283" t="s">
        <v>283</v>
      </c>
      <c r="BG51" t="s">
        <v>31</v>
      </c>
      <c r="BH51" s="413" t="str">
        <f t="shared" si="0"/>
        <v>00</v>
      </c>
    </row>
    <row r="52" spans="1:60" x14ac:dyDescent="0.35">
      <c r="A52" s="253" t="s">
        <v>140</v>
      </c>
      <c r="B52" s="253"/>
      <c r="C52" s="253" t="s">
        <v>389</v>
      </c>
      <c r="D52" s="253" t="s">
        <v>389</v>
      </c>
      <c r="E52" s="253" t="s">
        <v>389</v>
      </c>
      <c r="F52" s="253" t="s">
        <v>389</v>
      </c>
      <c r="G52" s="253" t="s">
        <v>419</v>
      </c>
      <c r="H52" s="253" t="s">
        <v>385</v>
      </c>
      <c r="I52" s="253" t="s">
        <v>391</v>
      </c>
      <c r="J52" s="253" t="s">
        <v>391</v>
      </c>
      <c r="K52" s="253" t="s">
        <v>23</v>
      </c>
      <c r="L52" s="413">
        <v>1.0126999999999999</v>
      </c>
      <c r="M52" s="253"/>
      <c r="N52" s="253"/>
      <c r="O52" s="253"/>
      <c r="P52" s="253"/>
      <c r="R52">
        <v>1</v>
      </c>
      <c r="S52">
        <v>0</v>
      </c>
      <c r="T52">
        <v>0</v>
      </c>
      <c r="U52">
        <v>87</v>
      </c>
      <c r="V52">
        <v>52</v>
      </c>
      <c r="W52" s="413">
        <v>0</v>
      </c>
      <c r="X52" s="413">
        <v>0</v>
      </c>
      <c r="Y52">
        <v>0.1686</v>
      </c>
      <c r="Z52">
        <v>9.2700000000000005E-3</v>
      </c>
      <c r="AA52">
        <v>0</v>
      </c>
      <c r="AB52">
        <v>9.2700000000000005E-3</v>
      </c>
      <c r="AC52">
        <v>4.0000000000000003E-5</v>
      </c>
      <c r="AD52">
        <v>381.25</v>
      </c>
      <c r="AF52">
        <v>0</v>
      </c>
      <c r="AG52">
        <v>0.21199999999999999</v>
      </c>
      <c r="AH52">
        <v>5.6999999999999995E-2</v>
      </c>
      <c r="AI52" s="283" t="s">
        <v>283</v>
      </c>
      <c r="AK52" s="254">
        <v>1301</v>
      </c>
      <c r="AL52" s="255">
        <v>1279.17</v>
      </c>
      <c r="AM52" s="256">
        <v>1.8123</v>
      </c>
      <c r="AN52" s="256">
        <v>1.7985</v>
      </c>
      <c r="AO52" s="255"/>
      <c r="AP52" s="256"/>
      <c r="AQ52" s="255">
        <v>1279.3599999999999</v>
      </c>
      <c r="AR52" s="256">
        <v>1.8223</v>
      </c>
      <c r="AS52" s="256">
        <v>1.8069</v>
      </c>
      <c r="AT52" s="255"/>
      <c r="AU52" s="256"/>
      <c r="AV52" s="413">
        <v>1.0086999999999999</v>
      </c>
      <c r="AW52">
        <v>1</v>
      </c>
      <c r="AX52">
        <v>9.8040000000000002E-2</v>
      </c>
      <c r="AY52">
        <v>0.49485000000000001</v>
      </c>
      <c r="AZ52">
        <v>0.26365</v>
      </c>
      <c r="BA52">
        <v>0.15260000000000001</v>
      </c>
      <c r="BC52" s="256">
        <v>1</v>
      </c>
      <c r="BD52" s="253">
        <v>1</v>
      </c>
      <c r="BE52" s="283" t="s">
        <v>283</v>
      </c>
      <c r="BF52" s="283" t="s">
        <v>283</v>
      </c>
      <c r="BG52" t="s">
        <v>31</v>
      </c>
      <c r="BH52" s="413" t="str">
        <f t="shared" si="0"/>
        <v>00</v>
      </c>
    </row>
    <row r="53" spans="1:60" x14ac:dyDescent="0.35">
      <c r="A53">
        <v>1</v>
      </c>
      <c r="C53">
        <v>3</v>
      </c>
      <c r="D53">
        <v>4</v>
      </c>
      <c r="E53">
        <v>5</v>
      </c>
      <c r="F53">
        <v>6</v>
      </c>
      <c r="G53">
        <v>7</v>
      </c>
      <c r="H53">
        <v>8</v>
      </c>
      <c r="I53">
        <v>9</v>
      </c>
      <c r="J53">
        <v>10</v>
      </c>
      <c r="K53">
        <v>11</v>
      </c>
      <c r="L53" s="413">
        <v>12</v>
      </c>
      <c r="M53">
        <v>13</v>
      </c>
      <c r="N53">
        <v>14</v>
      </c>
      <c r="O53">
        <v>15</v>
      </c>
      <c r="P53">
        <v>16</v>
      </c>
      <c r="Q53">
        <v>17</v>
      </c>
      <c r="R53">
        <v>18</v>
      </c>
      <c r="S53">
        <v>19</v>
      </c>
      <c r="T53">
        <v>20</v>
      </c>
      <c r="U53">
        <v>21</v>
      </c>
      <c r="V53">
        <v>22</v>
      </c>
      <c r="W53" s="413">
        <v>23</v>
      </c>
      <c r="X53" s="413">
        <v>24</v>
      </c>
      <c r="Y53">
        <v>25</v>
      </c>
      <c r="Z53">
        <v>26</v>
      </c>
      <c r="AA53">
        <v>27</v>
      </c>
      <c r="AB53">
        <v>28</v>
      </c>
      <c r="AC53">
        <v>29</v>
      </c>
      <c r="AD53">
        <v>30</v>
      </c>
      <c r="AE53">
        <v>31</v>
      </c>
      <c r="AF53">
        <v>32</v>
      </c>
      <c r="AG53">
        <v>33</v>
      </c>
      <c r="AH53">
        <v>34</v>
      </c>
      <c r="AI53" s="152">
        <v>35</v>
      </c>
      <c r="AJ53">
        <v>36</v>
      </c>
      <c r="AK53">
        <v>37</v>
      </c>
      <c r="AL53">
        <v>38</v>
      </c>
      <c r="AM53">
        <v>39</v>
      </c>
      <c r="AN53">
        <v>40</v>
      </c>
      <c r="AO53">
        <v>41</v>
      </c>
      <c r="AP53">
        <v>42</v>
      </c>
      <c r="AQ53">
        <v>43</v>
      </c>
      <c r="AR53">
        <v>44</v>
      </c>
      <c r="AS53">
        <v>45</v>
      </c>
      <c r="AT53">
        <v>46</v>
      </c>
      <c r="AU53">
        <v>47</v>
      </c>
      <c r="AV53" s="413">
        <v>48</v>
      </c>
      <c r="AW53">
        <v>49</v>
      </c>
      <c r="AX53">
        <v>50</v>
      </c>
      <c r="AY53">
        <v>51</v>
      </c>
      <c r="AZ53">
        <v>52</v>
      </c>
      <c r="BA53">
        <v>53</v>
      </c>
      <c r="BB53">
        <v>54</v>
      </c>
      <c r="BC53">
        <v>55</v>
      </c>
      <c r="BD53">
        <v>56</v>
      </c>
      <c r="BE53" s="152">
        <v>57</v>
      </c>
      <c r="BF53" s="152">
        <v>58</v>
      </c>
      <c r="BG53" s="413">
        <v>58</v>
      </c>
      <c r="BH53" s="413">
        <v>59</v>
      </c>
    </row>
  </sheetData>
  <autoFilter ref="A2:BH53" xr:uid="{0F4C54D6-C4F6-4B2E-9049-3FDE1919C112}"/>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C87C2-7E59-44AC-BAB1-55DED1EF6C82}">
  <sheetPr>
    <tabColor rgb="FF00B0F0"/>
  </sheetPr>
  <dimension ref="A1:R38"/>
  <sheetViews>
    <sheetView workbookViewId="0">
      <selection activeCell="F1" sqref="F1"/>
    </sheetView>
  </sheetViews>
  <sheetFormatPr defaultColWidth="8.81640625" defaultRowHeight="14.5" x14ac:dyDescent="0.35"/>
  <cols>
    <col min="1" max="1" width="28.7265625" style="9" customWidth="1"/>
    <col min="2" max="2" width="22.36328125" style="9" customWidth="1"/>
    <col min="3" max="3" width="20.26953125" style="9" customWidth="1"/>
    <col min="4" max="4" width="21.36328125" style="9" customWidth="1"/>
    <col min="5" max="8" width="20.26953125" style="9" customWidth="1"/>
    <col min="9" max="10" width="8.81640625" style="9"/>
    <col min="11" max="11" width="12.1796875" style="14" customWidth="1"/>
    <col min="12" max="12" width="12.6328125" style="14" customWidth="1"/>
    <col min="13" max="13" width="11.453125" style="14" customWidth="1"/>
    <col min="14" max="14" width="13.08984375" style="14" customWidth="1"/>
    <col min="15" max="15" width="11.453125" style="14" customWidth="1"/>
    <col min="16" max="16" width="15.26953125" style="14" customWidth="1"/>
    <col min="17" max="17" width="11.90625" style="14" customWidth="1"/>
    <col min="18" max="18" width="12.1796875" style="14" customWidth="1"/>
    <col min="19" max="16384" width="8.81640625" style="9"/>
  </cols>
  <sheetData>
    <row r="1" spans="1:18" s="143" customFormat="1" ht="17.5" customHeight="1" x14ac:dyDescent="0.35">
      <c r="A1" s="677" t="s">
        <v>3629</v>
      </c>
      <c r="B1" s="678"/>
      <c r="C1" s="678"/>
      <c r="D1" s="678"/>
      <c r="F1" s="276" t="s">
        <v>3634</v>
      </c>
      <c r="K1" s="662" t="s">
        <v>307</v>
      </c>
      <c r="L1" s="662"/>
      <c r="M1" s="662"/>
      <c r="N1" s="662"/>
      <c r="O1" s="662"/>
      <c r="P1" s="662"/>
      <c r="Q1" s="662"/>
      <c r="R1" s="662"/>
    </row>
    <row r="2" spans="1:18" x14ac:dyDescent="0.35">
      <c r="A2" s="678"/>
      <c r="B2" s="678"/>
      <c r="C2" s="678"/>
      <c r="D2" s="678"/>
      <c r="K2" s="631" t="s">
        <v>294</v>
      </c>
      <c r="L2" s="632"/>
      <c r="M2" s="632"/>
      <c r="N2" s="632"/>
      <c r="O2" s="632"/>
      <c r="P2" s="632"/>
      <c r="Q2" s="632"/>
      <c r="R2" s="632"/>
    </row>
    <row r="3" spans="1:18" x14ac:dyDescent="0.35">
      <c r="A3" s="679"/>
      <c r="B3" s="681" t="s">
        <v>284</v>
      </c>
      <c r="C3" s="681"/>
      <c r="D3" s="208" t="s">
        <v>285</v>
      </c>
      <c r="K3" s="642" t="s">
        <v>308</v>
      </c>
      <c r="L3" s="644"/>
      <c r="M3" s="645" t="s">
        <v>309</v>
      </c>
      <c r="N3" s="643"/>
      <c r="O3" s="642" t="s">
        <v>310</v>
      </c>
      <c r="P3" s="643"/>
      <c r="Q3" s="642" t="s">
        <v>311</v>
      </c>
      <c r="R3" s="643"/>
    </row>
    <row r="4" spans="1:18" ht="29.5" thickBot="1" x14ac:dyDescent="0.4">
      <c r="A4" s="680"/>
      <c r="B4" s="209" t="s">
        <v>286</v>
      </c>
      <c r="C4" s="209" t="s">
        <v>287</v>
      </c>
      <c r="D4" s="327" t="s">
        <v>288</v>
      </c>
      <c r="K4" s="229" t="s">
        <v>295</v>
      </c>
      <c r="L4" s="230" t="s">
        <v>296</v>
      </c>
      <c r="M4" s="230" t="s">
        <v>295</v>
      </c>
      <c r="N4" s="231" t="s">
        <v>296</v>
      </c>
      <c r="O4" s="230" t="s">
        <v>295</v>
      </c>
      <c r="P4" s="231" t="s">
        <v>296</v>
      </c>
      <c r="Q4" s="230" t="s">
        <v>295</v>
      </c>
      <c r="R4" s="231" t="s">
        <v>296</v>
      </c>
    </row>
    <row r="5" spans="1:18" ht="15" thickBot="1" x14ac:dyDescent="0.4">
      <c r="A5" s="210" t="s">
        <v>289</v>
      </c>
      <c r="B5" s="211">
        <f>A18</f>
        <v>4310</v>
      </c>
      <c r="C5" s="211">
        <f>A23</f>
        <v>3952.96</v>
      </c>
      <c r="D5" s="211">
        <f>C5</f>
        <v>3952.96</v>
      </c>
      <c r="K5" s="232">
        <v>4310</v>
      </c>
      <c r="L5" s="232">
        <v>2065.7399999999998</v>
      </c>
      <c r="M5" s="232">
        <v>4182.32</v>
      </c>
      <c r="N5" s="232">
        <v>2004.54</v>
      </c>
      <c r="O5" s="232">
        <v>4267.4399999999996</v>
      </c>
      <c r="P5" s="232">
        <v>2045.34</v>
      </c>
      <c r="Q5" s="232">
        <v>4139.76</v>
      </c>
      <c r="R5" s="232">
        <v>1984.15</v>
      </c>
    </row>
    <row r="6" spans="1:18" x14ac:dyDescent="0.35">
      <c r="A6" s="210" t="s">
        <v>290</v>
      </c>
      <c r="B6" s="211">
        <f>B18</f>
        <v>2065.7399999999998</v>
      </c>
      <c r="C6" s="211">
        <f>B23</f>
        <v>2422.7800000000002</v>
      </c>
      <c r="D6" s="211">
        <f>C6</f>
        <v>2422.7800000000002</v>
      </c>
      <c r="K6" s="233"/>
      <c r="L6" s="233"/>
      <c r="M6" s="233"/>
      <c r="N6" s="233"/>
      <c r="O6" s="233"/>
      <c r="P6" s="233"/>
      <c r="Q6" s="233"/>
      <c r="R6" s="233"/>
    </row>
    <row r="7" spans="1:18" x14ac:dyDescent="0.35">
      <c r="A7" s="210" t="s">
        <v>291</v>
      </c>
      <c r="B7" s="212">
        <f>B33</f>
        <v>483.79</v>
      </c>
      <c r="C7" s="212">
        <f>B33</f>
        <v>483.79</v>
      </c>
      <c r="D7" s="212">
        <f>C7</f>
        <v>483.79</v>
      </c>
      <c r="K7" s="631" t="s">
        <v>297</v>
      </c>
      <c r="L7" s="632"/>
      <c r="M7" s="632"/>
      <c r="N7" s="632"/>
      <c r="O7" s="632"/>
      <c r="P7" s="632"/>
      <c r="Q7" s="632"/>
      <c r="R7" s="632"/>
    </row>
    <row r="8" spans="1:18" x14ac:dyDescent="0.35">
      <c r="A8" s="213" t="s">
        <v>292</v>
      </c>
      <c r="B8" s="214">
        <f>SUM(B5:B7)</f>
        <v>6859.53</v>
      </c>
      <c r="C8" s="214">
        <f t="shared" ref="C8:D8" si="0">SUM(C5:C7)</f>
        <v>6859.53</v>
      </c>
      <c r="D8" s="214">
        <f t="shared" si="0"/>
        <v>6859.53</v>
      </c>
      <c r="K8" s="642" t="s">
        <v>308</v>
      </c>
      <c r="L8" s="644"/>
      <c r="M8" s="645" t="s">
        <v>309</v>
      </c>
      <c r="N8" s="643"/>
      <c r="O8" s="642" t="s">
        <v>310</v>
      </c>
      <c r="P8" s="643"/>
      <c r="Q8" s="642" t="s">
        <v>311</v>
      </c>
      <c r="R8" s="643"/>
    </row>
    <row r="9" spans="1:18" ht="13.9" customHeight="1" thickBot="1" x14ac:dyDescent="0.4">
      <c r="K9" s="229" t="s">
        <v>295</v>
      </c>
      <c r="L9" s="230" t="s">
        <v>296</v>
      </c>
      <c r="M9" s="230" t="s">
        <v>295</v>
      </c>
      <c r="N9" s="231" t="s">
        <v>296</v>
      </c>
      <c r="O9" s="230" t="s">
        <v>295</v>
      </c>
      <c r="P9" s="231" t="s">
        <v>296</v>
      </c>
      <c r="Q9" s="230" t="s">
        <v>295</v>
      </c>
      <c r="R9" s="231" t="s">
        <v>296</v>
      </c>
    </row>
    <row r="10" spans="1:18" ht="50.4" customHeight="1" thickBot="1" x14ac:dyDescent="0.4">
      <c r="A10" s="682" t="s">
        <v>293</v>
      </c>
      <c r="B10" s="682"/>
      <c r="C10" s="682"/>
      <c r="D10" s="682"/>
      <c r="K10" s="232">
        <v>3952.96</v>
      </c>
      <c r="L10" s="232">
        <v>2422.7800000000002</v>
      </c>
      <c r="M10" s="232">
        <v>3835.85</v>
      </c>
      <c r="N10" s="232">
        <v>2351.0100000000002</v>
      </c>
      <c r="O10" s="232">
        <v>3913.92</v>
      </c>
      <c r="P10" s="232">
        <v>2398.86</v>
      </c>
      <c r="Q10" s="232">
        <v>3796.82</v>
      </c>
      <c r="R10" s="232">
        <v>2327.09</v>
      </c>
    </row>
    <row r="11" spans="1:18" ht="49.5" customHeight="1" x14ac:dyDescent="0.35">
      <c r="A11" s="688" t="s">
        <v>3633</v>
      </c>
      <c r="B11" s="688"/>
      <c r="C11" s="688"/>
      <c r="D11" s="688"/>
      <c r="K11" s="234"/>
      <c r="L11" s="234"/>
      <c r="M11" s="234"/>
      <c r="N11" s="233"/>
      <c r="O11" s="233"/>
      <c r="P11" s="233"/>
      <c r="Q11" s="233"/>
      <c r="R11" s="233"/>
    </row>
    <row r="12" spans="1:18" x14ac:dyDescent="0.35">
      <c r="A12" s="215"/>
      <c r="K12" s="646" t="s">
        <v>298</v>
      </c>
      <c r="L12" s="632"/>
      <c r="M12" s="632"/>
      <c r="N12" s="632"/>
      <c r="O12" s="632"/>
      <c r="P12" s="632"/>
      <c r="Q12" s="632"/>
    </row>
    <row r="13" spans="1:18" ht="46.15" customHeight="1" x14ac:dyDescent="0.5">
      <c r="A13" s="685" t="s">
        <v>497</v>
      </c>
      <c r="B13" s="685"/>
      <c r="C13" s="686" t="s">
        <v>3625</v>
      </c>
      <c r="D13" s="686"/>
      <c r="E13" s="684" t="s">
        <v>3626</v>
      </c>
      <c r="F13" s="684"/>
      <c r="G13" s="687" t="s">
        <v>3627</v>
      </c>
      <c r="H13" s="687"/>
      <c r="K13" s="235"/>
      <c r="L13" s="634" t="s">
        <v>299</v>
      </c>
      <c r="M13" s="634"/>
      <c r="N13" s="634" t="s">
        <v>312</v>
      </c>
      <c r="O13" s="634"/>
      <c r="P13" s="634" t="s">
        <v>313</v>
      </c>
      <c r="Q13" s="634"/>
    </row>
    <row r="14" spans="1:18" ht="15.5" x14ac:dyDescent="0.35">
      <c r="A14" s="683" t="s">
        <v>307</v>
      </c>
      <c r="B14" s="683"/>
      <c r="C14" s="683"/>
      <c r="D14" s="683"/>
      <c r="E14" s="683"/>
      <c r="F14" s="683"/>
      <c r="G14" s="683"/>
      <c r="H14" s="683"/>
      <c r="K14" s="235"/>
      <c r="L14" s="230" t="s">
        <v>300</v>
      </c>
      <c r="M14" s="230" t="s">
        <v>301</v>
      </c>
      <c r="N14" s="230" t="s">
        <v>300</v>
      </c>
      <c r="O14" s="230" t="s">
        <v>301</v>
      </c>
      <c r="P14" s="230" t="s">
        <v>300</v>
      </c>
      <c r="Q14" s="230" t="s">
        <v>301</v>
      </c>
    </row>
    <row r="15" spans="1:18" ht="19.149999999999999" customHeight="1" thickBot="1" x14ac:dyDescent="0.4">
      <c r="A15" s="672" t="s">
        <v>294</v>
      </c>
      <c r="B15" s="673"/>
      <c r="C15" s="673"/>
      <c r="D15" s="673"/>
      <c r="E15" s="673"/>
      <c r="F15" s="673"/>
      <c r="G15" s="673"/>
      <c r="H15" s="673"/>
      <c r="K15" s="235" t="s">
        <v>314</v>
      </c>
      <c r="L15" s="236" t="s">
        <v>302</v>
      </c>
      <c r="M15" s="236" t="s">
        <v>302</v>
      </c>
      <c r="N15" s="237">
        <v>3952.96</v>
      </c>
      <c r="O15" s="237">
        <v>2422.7800000000002</v>
      </c>
      <c r="P15" s="238">
        <v>3874.89</v>
      </c>
      <c r="Q15" s="238">
        <v>2374.9299999999998</v>
      </c>
    </row>
    <row r="16" spans="1:18" ht="26" customHeight="1" x14ac:dyDescent="0.35">
      <c r="A16" s="664" t="s">
        <v>308</v>
      </c>
      <c r="B16" s="665"/>
      <c r="C16" s="666" t="s">
        <v>309</v>
      </c>
      <c r="D16" s="667"/>
      <c r="E16" s="668" t="s">
        <v>310</v>
      </c>
      <c r="F16" s="669"/>
      <c r="G16" s="670" t="s">
        <v>311</v>
      </c>
      <c r="H16" s="671"/>
      <c r="K16" s="647" t="s">
        <v>315</v>
      </c>
      <c r="L16" s="647"/>
      <c r="M16" s="647"/>
      <c r="N16" s="647"/>
      <c r="O16" s="647"/>
    </row>
    <row r="17" spans="1:16" ht="16.899999999999999" customHeight="1" thickBot="1" x14ac:dyDescent="0.4">
      <c r="A17" s="216" t="s">
        <v>295</v>
      </c>
      <c r="B17" s="217" t="s">
        <v>296</v>
      </c>
      <c r="C17" s="315" t="s">
        <v>295</v>
      </c>
      <c r="D17" s="316" t="s">
        <v>296</v>
      </c>
      <c r="E17" s="318" t="s">
        <v>295</v>
      </c>
      <c r="F17" s="319" t="s">
        <v>296</v>
      </c>
      <c r="G17" s="322" t="s">
        <v>3628</v>
      </c>
      <c r="H17" s="323" t="s">
        <v>296</v>
      </c>
      <c r="K17" s="234"/>
      <c r="L17" s="234"/>
    </row>
    <row r="18" spans="1:16" ht="15.5" x14ac:dyDescent="0.35">
      <c r="A18" s="219">
        <v>4310</v>
      </c>
      <c r="B18" s="219">
        <v>2065.7399999999998</v>
      </c>
      <c r="C18" s="317">
        <v>4182.32</v>
      </c>
      <c r="D18" s="317">
        <v>2004.54</v>
      </c>
      <c r="E18" s="320">
        <v>4267.4399999999996</v>
      </c>
      <c r="F18" s="320">
        <v>2045.34</v>
      </c>
      <c r="G18" s="324">
        <v>4139.76</v>
      </c>
      <c r="H18" s="324">
        <v>1984.15</v>
      </c>
      <c r="K18" s="640" t="s">
        <v>303</v>
      </c>
      <c r="L18" s="641"/>
    </row>
    <row r="19" spans="1:16" x14ac:dyDescent="0.35">
      <c r="A19" s="220"/>
      <c r="B19" s="220"/>
      <c r="C19" s="220"/>
      <c r="D19" s="220"/>
      <c r="E19" s="220"/>
      <c r="F19" s="220"/>
      <c r="G19" s="220"/>
      <c r="H19" s="220"/>
      <c r="K19" s="239"/>
      <c r="L19" s="231" t="s">
        <v>304</v>
      </c>
    </row>
    <row r="20" spans="1:16" ht="31.15" customHeight="1" thickBot="1" x14ac:dyDescent="0.4">
      <c r="A20" s="672" t="s">
        <v>297</v>
      </c>
      <c r="B20" s="673"/>
      <c r="C20" s="673"/>
      <c r="D20" s="673"/>
      <c r="E20" s="673"/>
      <c r="F20" s="673"/>
      <c r="G20" s="673"/>
      <c r="H20" s="673"/>
      <c r="K20" s="240" t="s">
        <v>305</v>
      </c>
      <c r="L20" s="241">
        <v>483.79</v>
      </c>
    </row>
    <row r="21" spans="1:16" ht="26.5" customHeight="1" x14ac:dyDescent="0.35">
      <c r="A21" s="664" t="s">
        <v>308</v>
      </c>
      <c r="B21" s="665"/>
      <c r="C21" s="666" t="s">
        <v>309</v>
      </c>
      <c r="D21" s="667"/>
      <c r="E21" s="668" t="s">
        <v>310</v>
      </c>
      <c r="F21" s="669"/>
      <c r="G21" s="670" t="s">
        <v>311</v>
      </c>
      <c r="H21" s="671"/>
      <c r="K21" s="630"/>
      <c r="L21" s="630"/>
      <c r="M21" s="630"/>
      <c r="N21" s="630"/>
      <c r="O21" s="630"/>
      <c r="P21" s="630"/>
    </row>
    <row r="22" spans="1:16" ht="15" customHeight="1" x14ac:dyDescent="0.35">
      <c r="A22" s="216" t="s">
        <v>295</v>
      </c>
      <c r="B22" s="217" t="s">
        <v>296</v>
      </c>
      <c r="C22" s="315" t="s">
        <v>295</v>
      </c>
      <c r="D22" s="316" t="s">
        <v>296</v>
      </c>
      <c r="E22" s="318" t="s">
        <v>295</v>
      </c>
      <c r="F22" s="319" t="s">
        <v>296</v>
      </c>
      <c r="G22" s="322" t="s">
        <v>295</v>
      </c>
      <c r="H22" s="323" t="s">
        <v>296</v>
      </c>
      <c r="K22" s="631" t="s">
        <v>306</v>
      </c>
      <c r="L22" s="632"/>
      <c r="M22" s="632"/>
      <c r="N22" s="632"/>
      <c r="O22" s="632"/>
      <c r="P22" s="632"/>
    </row>
    <row r="23" spans="1:16" ht="16.75" customHeight="1" x14ac:dyDescent="0.35">
      <c r="A23" s="219">
        <v>3952.96</v>
      </c>
      <c r="B23" s="219">
        <v>2422.7800000000002</v>
      </c>
      <c r="C23" s="317">
        <v>3835.85</v>
      </c>
      <c r="D23" s="317">
        <v>2351.0100000000002</v>
      </c>
      <c r="E23" s="321">
        <v>3913.92</v>
      </c>
      <c r="F23" s="321">
        <v>2398.86</v>
      </c>
      <c r="G23" s="324">
        <v>3796.82</v>
      </c>
      <c r="H23" s="324">
        <v>2327.09</v>
      </c>
      <c r="K23" s="633"/>
      <c r="L23" s="634"/>
      <c r="M23" s="634"/>
      <c r="N23" s="634"/>
      <c r="O23" s="230" t="s">
        <v>316</v>
      </c>
      <c r="P23" s="242" t="s">
        <v>317</v>
      </c>
    </row>
    <row r="24" spans="1:16" x14ac:dyDescent="0.35">
      <c r="A24" s="221"/>
      <c r="B24" s="221"/>
      <c r="C24" s="221"/>
      <c r="D24" s="220"/>
      <c r="E24" s="220"/>
      <c r="F24" s="220"/>
      <c r="G24" s="220"/>
      <c r="H24" s="220"/>
      <c r="K24" s="635" t="s">
        <v>318</v>
      </c>
      <c r="L24" s="636"/>
      <c r="M24" s="636"/>
      <c r="N24" s="636"/>
      <c r="O24" s="243">
        <v>46432.77</v>
      </c>
      <c r="P24" s="244">
        <v>45538.11</v>
      </c>
    </row>
    <row r="25" spans="1:16" ht="15" thickBot="1" x14ac:dyDescent="0.4">
      <c r="A25" s="674" t="s">
        <v>298</v>
      </c>
      <c r="B25" s="673"/>
      <c r="C25" s="673"/>
      <c r="D25" s="673"/>
      <c r="E25" s="673"/>
      <c r="F25" s="673"/>
      <c r="G25" s="673"/>
      <c r="H25" s="222"/>
      <c r="K25" s="637" t="s">
        <v>319</v>
      </c>
      <c r="L25" s="638"/>
      <c r="M25" s="638"/>
      <c r="N25" s="638"/>
      <c r="O25" s="638"/>
      <c r="P25" s="639"/>
    </row>
    <row r="26" spans="1:16" x14ac:dyDescent="0.35">
      <c r="A26" s="223"/>
      <c r="B26" s="675" t="s">
        <v>299</v>
      </c>
      <c r="C26" s="675"/>
      <c r="D26" s="675" t="s">
        <v>312</v>
      </c>
      <c r="E26" s="675"/>
      <c r="F26" s="675" t="s">
        <v>313</v>
      </c>
      <c r="G26" s="675"/>
      <c r="H26" s="222"/>
    </row>
    <row r="27" spans="1:16" x14ac:dyDescent="0.35">
      <c r="A27" s="223"/>
      <c r="B27" s="298" t="s">
        <v>300</v>
      </c>
      <c r="C27" s="298" t="s">
        <v>301</v>
      </c>
      <c r="D27" s="298" t="s">
        <v>300</v>
      </c>
      <c r="E27" s="298" t="s">
        <v>301</v>
      </c>
      <c r="F27" s="298" t="s">
        <v>300</v>
      </c>
      <c r="G27" s="298" t="s">
        <v>301</v>
      </c>
      <c r="H27" s="222"/>
    </row>
    <row r="28" spans="1:16" ht="15.5" x14ac:dyDescent="0.35">
      <c r="A28" s="223" t="s">
        <v>320</v>
      </c>
      <c r="B28" s="224" t="s">
        <v>302</v>
      </c>
      <c r="C28" s="224" t="s">
        <v>302</v>
      </c>
      <c r="D28" s="328">
        <v>3952.96</v>
      </c>
      <c r="E28" s="328">
        <v>2422.7800000000002</v>
      </c>
      <c r="F28" s="328">
        <v>3874.89</v>
      </c>
      <c r="G28" s="328">
        <v>2374.9299999999998</v>
      </c>
      <c r="H28" s="222"/>
    </row>
    <row r="29" spans="1:16" x14ac:dyDescent="0.35">
      <c r="A29" s="676" t="s">
        <v>321</v>
      </c>
      <c r="B29" s="676"/>
      <c r="C29" s="676"/>
      <c r="D29" s="676"/>
      <c r="E29" s="676"/>
      <c r="F29" s="222"/>
      <c r="G29" s="222"/>
      <c r="H29" s="222"/>
    </row>
    <row r="30" spans="1:16" x14ac:dyDescent="0.35">
      <c r="A30" s="221"/>
      <c r="B30" s="221"/>
      <c r="C30" s="222"/>
      <c r="D30" s="222"/>
      <c r="E30" s="222"/>
      <c r="F30" s="222"/>
    </row>
    <row r="31" spans="1:16" ht="30.75" customHeight="1" x14ac:dyDescent="0.35">
      <c r="A31" s="663" t="s">
        <v>303</v>
      </c>
      <c r="B31" s="663"/>
      <c r="C31" s="222"/>
      <c r="D31" s="222"/>
      <c r="E31" s="222"/>
      <c r="F31" s="222"/>
    </row>
    <row r="32" spans="1:16" x14ac:dyDescent="0.35">
      <c r="A32" s="225"/>
      <c r="B32" s="218" t="s">
        <v>304</v>
      </c>
      <c r="C32" s="222"/>
      <c r="D32" s="222"/>
      <c r="E32" s="222"/>
      <c r="F32" s="222"/>
    </row>
    <row r="33" spans="1:6" x14ac:dyDescent="0.35">
      <c r="A33" s="226" t="s">
        <v>305</v>
      </c>
      <c r="B33" s="227">
        <v>483.79</v>
      </c>
      <c r="C33" s="222"/>
      <c r="D33" s="222"/>
      <c r="E33" s="222"/>
      <c r="F33" s="222"/>
    </row>
    <row r="34" spans="1:6" x14ac:dyDescent="0.35">
      <c r="A34" s="648"/>
      <c r="B34" s="649"/>
      <c r="C34" s="649"/>
      <c r="D34" s="649"/>
      <c r="E34" s="649"/>
      <c r="F34" s="650"/>
    </row>
    <row r="35" spans="1:6" x14ac:dyDescent="0.35">
      <c r="A35" s="651" t="s">
        <v>500</v>
      </c>
      <c r="B35" s="652"/>
      <c r="C35" s="652"/>
      <c r="D35" s="652"/>
      <c r="E35" s="652"/>
      <c r="F35" s="652"/>
    </row>
    <row r="36" spans="1:6" ht="27.65" customHeight="1" x14ac:dyDescent="0.35">
      <c r="A36" s="653"/>
      <c r="B36" s="654"/>
      <c r="C36" s="654"/>
      <c r="D36" s="655"/>
      <c r="E36" s="329" t="s">
        <v>316</v>
      </c>
      <c r="F36" s="330" t="s">
        <v>317</v>
      </c>
    </row>
    <row r="37" spans="1:6" x14ac:dyDescent="0.35">
      <c r="A37" s="656" t="s">
        <v>322</v>
      </c>
      <c r="B37" s="657"/>
      <c r="C37" s="657"/>
      <c r="D37" s="658"/>
      <c r="E37" s="228">
        <v>46432.77</v>
      </c>
      <c r="F37" s="228">
        <v>45538.11</v>
      </c>
    </row>
    <row r="38" spans="1:6" ht="27.15" customHeight="1" x14ac:dyDescent="0.35">
      <c r="A38" s="659" t="s">
        <v>319</v>
      </c>
      <c r="B38" s="660"/>
      <c r="C38" s="660"/>
      <c r="D38" s="660"/>
      <c r="E38" s="660"/>
      <c r="F38" s="661"/>
    </row>
  </sheetData>
  <mergeCells count="53">
    <mergeCell ref="A15:H15"/>
    <mergeCell ref="A1:D2"/>
    <mergeCell ref="A3:A4"/>
    <mergeCell ref="B3:C3"/>
    <mergeCell ref="A10:D10"/>
    <mergeCell ref="A14:H14"/>
    <mergeCell ref="E13:F13"/>
    <mergeCell ref="A13:B13"/>
    <mergeCell ref="C13:D13"/>
    <mergeCell ref="G13:H13"/>
    <mergeCell ref="A11:D11"/>
    <mergeCell ref="A31:B31"/>
    <mergeCell ref="A16:B16"/>
    <mergeCell ref="C16:D16"/>
    <mergeCell ref="E16:F16"/>
    <mergeCell ref="G16:H16"/>
    <mergeCell ref="A20:H20"/>
    <mergeCell ref="A21:B21"/>
    <mergeCell ref="C21:D21"/>
    <mergeCell ref="E21:F21"/>
    <mergeCell ref="G21:H21"/>
    <mergeCell ref="A25:G25"/>
    <mergeCell ref="B26:C26"/>
    <mergeCell ref="D26:E26"/>
    <mergeCell ref="F26:G26"/>
    <mergeCell ref="A29:E29"/>
    <mergeCell ref="K1:R1"/>
    <mergeCell ref="K2:R2"/>
    <mergeCell ref="K3:L3"/>
    <mergeCell ref="M3:N3"/>
    <mergeCell ref="O3:P3"/>
    <mergeCell ref="A34:F34"/>
    <mergeCell ref="A35:F35"/>
    <mergeCell ref="A36:D36"/>
    <mergeCell ref="A37:D37"/>
    <mergeCell ref="A38:F38"/>
    <mergeCell ref="K18:L18"/>
    <mergeCell ref="Q3:R3"/>
    <mergeCell ref="K7:R7"/>
    <mergeCell ref="K8:L8"/>
    <mergeCell ref="M8:N8"/>
    <mergeCell ref="O8:P8"/>
    <mergeCell ref="Q8:R8"/>
    <mergeCell ref="K12:Q12"/>
    <mergeCell ref="L13:M13"/>
    <mergeCell ref="N13:O13"/>
    <mergeCell ref="P13:Q13"/>
    <mergeCell ref="K16:O16"/>
    <mergeCell ref="K21:P21"/>
    <mergeCell ref="K22:P22"/>
    <mergeCell ref="K23:N23"/>
    <mergeCell ref="K24:N24"/>
    <mergeCell ref="K25:P25"/>
  </mergeCells>
  <phoneticPr fontId="18" type="noConversion"/>
  <hyperlinks>
    <hyperlink ref="A13" r:id="rId1" xr:uid="{10431BA3-EEB7-441C-AE18-022A55BC162B}"/>
    <hyperlink ref="F1" location="'FY 2023 IMPACT FILE CA'!A1" display="fields used in concat formula" xr:uid="{BF5CDDA4-92B6-48E0-95AD-87B5C206196A}"/>
  </hyperlinks>
  <pageMargins left="0.7" right="0.7" top="0.75" bottom="0.75" header="0.3" footer="0.3"/>
  <pageSetup orientation="portrait"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E765-C961-4F55-A670-C3BC46F82761}">
  <sheetPr>
    <tabColor rgb="FF00B0F0"/>
  </sheetPr>
  <dimension ref="A1:G53"/>
  <sheetViews>
    <sheetView topLeftCell="B1" workbookViewId="0">
      <selection sqref="A1:A1048576"/>
    </sheetView>
  </sheetViews>
  <sheetFormatPr defaultRowHeight="14.5" x14ac:dyDescent="0.35"/>
  <cols>
    <col min="1" max="1" width="48.81640625" hidden="1" customWidth="1"/>
    <col min="2" max="2" width="8.36328125" style="413" bestFit="1" customWidth="1"/>
    <col min="3" max="3" width="7.90625" style="415" customWidth="1"/>
    <col min="4" max="4" width="8.90625" style="413" bestFit="1" customWidth="1"/>
    <col min="5" max="5" width="15.90625" style="152" customWidth="1"/>
    <col min="6" max="6" width="15.81640625" style="152" customWidth="1"/>
  </cols>
  <sheetData>
    <row r="1" spans="1:7" ht="43.5" x14ac:dyDescent="0.35">
      <c r="A1" s="418"/>
      <c r="B1" s="277" t="s">
        <v>502</v>
      </c>
      <c r="C1" s="277" t="s">
        <v>503</v>
      </c>
      <c r="D1" s="277" t="s">
        <v>504</v>
      </c>
      <c r="E1" s="277" t="s">
        <v>505</v>
      </c>
      <c r="F1" s="277" t="s">
        <v>506</v>
      </c>
      <c r="G1" s="274" t="s">
        <v>3727</v>
      </c>
    </row>
    <row r="2" spans="1:7" x14ac:dyDescent="0.35">
      <c r="B2" s="413">
        <v>60001</v>
      </c>
      <c r="C2" s="415" t="s">
        <v>277</v>
      </c>
      <c r="D2" s="413">
        <v>2023</v>
      </c>
      <c r="E2" s="152" t="s">
        <v>280</v>
      </c>
      <c r="F2" s="152">
        <v>5</v>
      </c>
    </row>
    <row r="3" spans="1:7" x14ac:dyDescent="0.35">
      <c r="B3" s="413">
        <v>60003</v>
      </c>
      <c r="C3" s="415" t="s">
        <v>277</v>
      </c>
      <c r="D3" s="413">
        <v>2023</v>
      </c>
      <c r="E3" s="152" t="s">
        <v>280</v>
      </c>
      <c r="F3" s="152">
        <v>5</v>
      </c>
    </row>
    <row r="4" spans="1:7" x14ac:dyDescent="0.35">
      <c r="B4" s="413">
        <v>60004</v>
      </c>
      <c r="C4" s="415" t="s">
        <v>277</v>
      </c>
      <c r="D4" s="413">
        <v>2023</v>
      </c>
      <c r="E4" s="152" t="s">
        <v>280</v>
      </c>
      <c r="F4" s="152">
        <v>5</v>
      </c>
    </row>
    <row r="5" spans="1:7" x14ac:dyDescent="0.35">
      <c r="B5" s="413">
        <v>60006</v>
      </c>
      <c r="C5" s="415" t="s">
        <v>277</v>
      </c>
      <c r="D5" s="413">
        <v>2023</v>
      </c>
      <c r="E5" s="152" t="s">
        <v>280</v>
      </c>
      <c r="F5" s="152">
        <v>5</v>
      </c>
    </row>
    <row r="6" spans="1:7" x14ac:dyDescent="0.35">
      <c r="B6" s="413">
        <v>60008</v>
      </c>
      <c r="C6" s="415" t="s">
        <v>277</v>
      </c>
      <c r="D6" s="413">
        <v>2023</v>
      </c>
      <c r="E6" s="152" t="s">
        <v>280</v>
      </c>
      <c r="F6" s="152">
        <v>5</v>
      </c>
    </row>
    <row r="7" spans="1:7" x14ac:dyDescent="0.35">
      <c r="B7" s="413">
        <v>60009</v>
      </c>
      <c r="C7" s="415" t="s">
        <v>277</v>
      </c>
      <c r="D7" s="413">
        <v>2023</v>
      </c>
      <c r="E7" s="152" t="s">
        <v>280</v>
      </c>
      <c r="F7" s="152">
        <v>5</v>
      </c>
    </row>
    <row r="8" spans="1:7" x14ac:dyDescent="0.35">
      <c r="B8" s="413">
        <v>60010</v>
      </c>
      <c r="C8" s="415" t="s">
        <v>277</v>
      </c>
      <c r="D8" s="413">
        <v>2023</v>
      </c>
      <c r="E8" s="152" t="s">
        <v>280</v>
      </c>
      <c r="F8" s="152">
        <v>5</v>
      </c>
    </row>
    <row r="9" spans="1:7" x14ac:dyDescent="0.35">
      <c r="B9" s="413">
        <v>60011</v>
      </c>
      <c r="C9" s="415" t="s">
        <v>277</v>
      </c>
      <c r="D9" s="413">
        <v>2023</v>
      </c>
      <c r="E9" s="152" t="s">
        <v>280</v>
      </c>
      <c r="F9" s="152">
        <v>5</v>
      </c>
    </row>
    <row r="10" spans="1:7" x14ac:dyDescent="0.35">
      <c r="B10" s="413">
        <v>60012</v>
      </c>
      <c r="C10" s="415" t="s">
        <v>277</v>
      </c>
      <c r="D10" s="413">
        <v>2023</v>
      </c>
      <c r="E10" s="152" t="s">
        <v>280</v>
      </c>
      <c r="F10" s="152">
        <v>5</v>
      </c>
    </row>
    <row r="11" spans="1:7" x14ac:dyDescent="0.35">
      <c r="B11" s="413">
        <v>60013</v>
      </c>
      <c r="C11" s="415" t="s">
        <v>277</v>
      </c>
      <c r="D11" s="413">
        <v>2023</v>
      </c>
      <c r="E11" s="152" t="s">
        <v>280</v>
      </c>
      <c r="F11" s="152">
        <v>5</v>
      </c>
    </row>
    <row r="12" spans="1:7" x14ac:dyDescent="0.35">
      <c r="B12" s="413">
        <v>60014</v>
      </c>
      <c r="C12" s="415" t="s">
        <v>277</v>
      </c>
      <c r="D12" s="413">
        <v>2023</v>
      </c>
      <c r="E12" s="152" t="s">
        <v>280</v>
      </c>
      <c r="F12" s="152">
        <v>5</v>
      </c>
    </row>
    <row r="13" spans="1:7" x14ac:dyDescent="0.35">
      <c r="B13" s="413">
        <v>60015</v>
      </c>
      <c r="C13" s="415" t="s">
        <v>277</v>
      </c>
      <c r="D13" s="413">
        <v>2023</v>
      </c>
      <c r="E13" s="152" t="s">
        <v>280</v>
      </c>
      <c r="F13" s="152">
        <v>5</v>
      </c>
    </row>
    <row r="14" spans="1:7" x14ac:dyDescent="0.35">
      <c r="B14" s="413">
        <v>60020</v>
      </c>
      <c r="C14" s="415" t="s">
        <v>277</v>
      </c>
      <c r="D14" s="413">
        <v>2023</v>
      </c>
      <c r="E14" s="152" t="s">
        <v>280</v>
      </c>
      <c r="F14" s="152">
        <v>5</v>
      </c>
    </row>
    <row r="15" spans="1:7" x14ac:dyDescent="0.35">
      <c r="B15" s="413">
        <v>60022</v>
      </c>
      <c r="C15" s="415" t="s">
        <v>277</v>
      </c>
      <c r="D15" s="413">
        <v>2023</v>
      </c>
      <c r="E15" s="152" t="s">
        <v>280</v>
      </c>
      <c r="F15" s="152">
        <v>5</v>
      </c>
    </row>
    <row r="16" spans="1:7" x14ac:dyDescent="0.35">
      <c r="B16" s="413">
        <v>60023</v>
      </c>
      <c r="C16" s="415" t="s">
        <v>277</v>
      </c>
      <c r="D16" s="413">
        <v>2023</v>
      </c>
      <c r="E16" s="152" t="s">
        <v>280</v>
      </c>
      <c r="F16" s="152">
        <v>5</v>
      </c>
    </row>
    <row r="17" spans="2:6" x14ac:dyDescent="0.35">
      <c r="B17" s="413">
        <v>60024</v>
      </c>
      <c r="C17" s="415" t="s">
        <v>277</v>
      </c>
      <c r="D17" s="413">
        <v>2023</v>
      </c>
      <c r="E17" s="152" t="s">
        <v>280</v>
      </c>
      <c r="F17" s="152">
        <v>5</v>
      </c>
    </row>
    <row r="18" spans="2:6" x14ac:dyDescent="0.35">
      <c r="B18" s="413">
        <v>60027</v>
      </c>
      <c r="C18" s="415" t="s">
        <v>277</v>
      </c>
      <c r="D18" s="413">
        <v>2023</v>
      </c>
      <c r="E18" s="152" t="s">
        <v>280</v>
      </c>
      <c r="F18" s="152">
        <v>5</v>
      </c>
    </row>
    <row r="19" spans="2:6" x14ac:dyDescent="0.35">
      <c r="B19" s="413">
        <v>60028</v>
      </c>
      <c r="C19" s="415" t="s">
        <v>277</v>
      </c>
      <c r="D19" s="413">
        <v>2023</v>
      </c>
      <c r="E19" s="152" t="s">
        <v>280</v>
      </c>
      <c r="F19" s="152">
        <v>5</v>
      </c>
    </row>
    <row r="20" spans="2:6" x14ac:dyDescent="0.35">
      <c r="B20" s="413">
        <v>60030</v>
      </c>
      <c r="C20" s="415" t="s">
        <v>277</v>
      </c>
      <c r="D20" s="413">
        <v>2023</v>
      </c>
      <c r="E20" s="152" t="s">
        <v>280</v>
      </c>
      <c r="F20" s="152">
        <v>5</v>
      </c>
    </row>
    <row r="21" spans="2:6" x14ac:dyDescent="0.35">
      <c r="B21" s="413">
        <v>60031</v>
      </c>
      <c r="C21" s="415" t="s">
        <v>277</v>
      </c>
      <c r="D21" s="413">
        <v>2023</v>
      </c>
      <c r="E21" s="152" t="s">
        <v>280</v>
      </c>
      <c r="F21" s="152">
        <v>5</v>
      </c>
    </row>
    <row r="22" spans="2:6" x14ac:dyDescent="0.35">
      <c r="B22" s="413">
        <v>60032</v>
      </c>
      <c r="C22" s="415" t="s">
        <v>277</v>
      </c>
      <c r="D22" s="413">
        <v>2023</v>
      </c>
      <c r="E22" s="152" t="s">
        <v>280</v>
      </c>
      <c r="F22" s="152">
        <v>5</v>
      </c>
    </row>
    <row r="23" spans="2:6" x14ac:dyDescent="0.35">
      <c r="B23" s="413">
        <v>60034</v>
      </c>
      <c r="C23" s="415" t="s">
        <v>277</v>
      </c>
      <c r="D23" s="413">
        <v>2023</v>
      </c>
      <c r="E23" s="152" t="s">
        <v>280</v>
      </c>
      <c r="F23" s="152">
        <v>5</v>
      </c>
    </row>
    <row r="24" spans="2:6" x14ac:dyDescent="0.35">
      <c r="B24" s="413">
        <v>60044</v>
      </c>
      <c r="C24" s="415" t="s">
        <v>277</v>
      </c>
      <c r="D24" s="413">
        <v>2023</v>
      </c>
      <c r="E24" s="152" t="s">
        <v>280</v>
      </c>
      <c r="F24" s="152">
        <v>5</v>
      </c>
    </row>
    <row r="25" spans="2:6" x14ac:dyDescent="0.35">
      <c r="B25" s="413">
        <v>60049</v>
      </c>
      <c r="C25" s="415" t="s">
        <v>277</v>
      </c>
      <c r="D25" s="413">
        <v>2023</v>
      </c>
      <c r="E25" s="152" t="s">
        <v>280</v>
      </c>
      <c r="F25" s="152">
        <v>5</v>
      </c>
    </row>
    <row r="26" spans="2:6" x14ac:dyDescent="0.35">
      <c r="B26" s="413">
        <v>60054</v>
      </c>
      <c r="C26" s="415" t="s">
        <v>277</v>
      </c>
      <c r="D26" s="413">
        <v>2023</v>
      </c>
      <c r="E26" s="152" t="s">
        <v>280</v>
      </c>
      <c r="F26" s="152">
        <v>5</v>
      </c>
    </row>
    <row r="27" spans="2:6" x14ac:dyDescent="0.35">
      <c r="B27" s="413">
        <v>60064</v>
      </c>
      <c r="C27" s="415" t="s">
        <v>277</v>
      </c>
      <c r="D27" s="413">
        <v>2023</v>
      </c>
      <c r="E27" s="152" t="s">
        <v>280</v>
      </c>
      <c r="F27" s="152">
        <v>5</v>
      </c>
    </row>
    <row r="28" spans="2:6" x14ac:dyDescent="0.35">
      <c r="B28" s="413">
        <v>60065</v>
      </c>
      <c r="C28" s="415" t="s">
        <v>277</v>
      </c>
      <c r="D28" s="413">
        <v>2023</v>
      </c>
      <c r="E28" s="152" t="s">
        <v>280</v>
      </c>
      <c r="F28" s="152">
        <v>5</v>
      </c>
    </row>
    <row r="29" spans="2:6" x14ac:dyDescent="0.35">
      <c r="B29" s="413">
        <v>60071</v>
      </c>
      <c r="C29" s="415" t="s">
        <v>277</v>
      </c>
      <c r="D29" s="413">
        <v>2023</v>
      </c>
      <c r="E29" s="152" t="s">
        <v>280</v>
      </c>
      <c r="F29" s="152">
        <v>5</v>
      </c>
    </row>
    <row r="30" spans="2:6" x14ac:dyDescent="0.35">
      <c r="B30" s="413">
        <v>60075</v>
      </c>
      <c r="C30" s="415" t="s">
        <v>277</v>
      </c>
      <c r="D30" s="413">
        <v>2023</v>
      </c>
      <c r="E30" s="152" t="s">
        <v>280</v>
      </c>
      <c r="F30" s="152">
        <v>5</v>
      </c>
    </row>
    <row r="31" spans="2:6" x14ac:dyDescent="0.35">
      <c r="B31" s="413">
        <v>60076</v>
      </c>
      <c r="C31" s="415" t="s">
        <v>277</v>
      </c>
      <c r="D31" s="413">
        <v>2023</v>
      </c>
      <c r="E31" s="152" t="s">
        <v>280</v>
      </c>
      <c r="F31" s="152">
        <v>5</v>
      </c>
    </row>
    <row r="32" spans="2:6" x14ac:dyDescent="0.35">
      <c r="B32" s="413">
        <v>60096</v>
      </c>
      <c r="C32" s="415" t="s">
        <v>277</v>
      </c>
      <c r="D32" s="413">
        <v>2023</v>
      </c>
      <c r="E32" s="152" t="s">
        <v>280</v>
      </c>
      <c r="F32" s="152">
        <v>5</v>
      </c>
    </row>
    <row r="33" spans="2:6" x14ac:dyDescent="0.35">
      <c r="B33" s="413">
        <v>60100</v>
      </c>
      <c r="C33" s="415" t="s">
        <v>277</v>
      </c>
      <c r="D33" s="413">
        <v>2023</v>
      </c>
      <c r="E33" s="152" t="s">
        <v>280</v>
      </c>
      <c r="F33" s="152">
        <v>5</v>
      </c>
    </row>
    <row r="34" spans="2:6" x14ac:dyDescent="0.35">
      <c r="B34" s="413">
        <v>60103</v>
      </c>
      <c r="C34" s="415" t="s">
        <v>277</v>
      </c>
      <c r="D34" s="413">
        <v>2023</v>
      </c>
      <c r="E34" s="152" t="s">
        <v>280</v>
      </c>
      <c r="F34" s="152">
        <v>5</v>
      </c>
    </row>
    <row r="35" spans="2:6" x14ac:dyDescent="0.35">
      <c r="B35" s="413">
        <v>60104</v>
      </c>
      <c r="C35" s="415" t="s">
        <v>277</v>
      </c>
      <c r="D35" s="413">
        <v>2023</v>
      </c>
      <c r="E35" s="152" t="s">
        <v>280</v>
      </c>
      <c r="F35" s="152">
        <v>5</v>
      </c>
    </row>
    <row r="36" spans="2:6" x14ac:dyDescent="0.35">
      <c r="B36" s="413">
        <v>60107</v>
      </c>
      <c r="C36" s="415" t="s">
        <v>277</v>
      </c>
      <c r="D36" s="413">
        <v>2023</v>
      </c>
      <c r="E36" s="152" t="s">
        <v>280</v>
      </c>
      <c r="F36" s="152">
        <v>5</v>
      </c>
    </row>
    <row r="37" spans="2:6" x14ac:dyDescent="0.35">
      <c r="B37" s="413">
        <v>60112</v>
      </c>
      <c r="C37" s="415" t="s">
        <v>277</v>
      </c>
      <c r="D37" s="413">
        <v>2023</v>
      </c>
      <c r="E37" s="152" t="s">
        <v>280</v>
      </c>
      <c r="F37" s="152">
        <v>5</v>
      </c>
    </row>
    <row r="38" spans="2:6" x14ac:dyDescent="0.35">
      <c r="B38" s="413">
        <v>60113</v>
      </c>
      <c r="C38" s="415" t="s">
        <v>277</v>
      </c>
      <c r="D38" s="413">
        <v>2023</v>
      </c>
      <c r="E38" s="152" t="s">
        <v>280</v>
      </c>
      <c r="F38" s="152">
        <v>5</v>
      </c>
    </row>
    <row r="39" spans="2:6" x14ac:dyDescent="0.35">
      <c r="B39" s="413">
        <v>60114</v>
      </c>
      <c r="C39" s="415" t="s">
        <v>277</v>
      </c>
      <c r="D39" s="413">
        <v>2023</v>
      </c>
      <c r="E39" s="152" t="s">
        <v>280</v>
      </c>
      <c r="F39" s="152">
        <v>5</v>
      </c>
    </row>
    <row r="40" spans="2:6" x14ac:dyDescent="0.35">
      <c r="B40" s="413">
        <v>60116</v>
      </c>
      <c r="C40" s="415" t="s">
        <v>277</v>
      </c>
      <c r="D40" s="413">
        <v>2023</v>
      </c>
      <c r="E40" s="152" t="s">
        <v>280</v>
      </c>
      <c r="F40" s="152">
        <v>5</v>
      </c>
    </row>
    <row r="41" spans="2:6" x14ac:dyDescent="0.35">
      <c r="B41" s="413">
        <v>60117</v>
      </c>
      <c r="C41" s="415" t="s">
        <v>277</v>
      </c>
      <c r="D41" s="413">
        <v>2023</v>
      </c>
      <c r="E41" s="152" t="s">
        <v>280</v>
      </c>
      <c r="F41" s="152">
        <v>5</v>
      </c>
    </row>
    <row r="42" spans="2:6" x14ac:dyDescent="0.35">
      <c r="B42" s="413">
        <v>60118</v>
      </c>
      <c r="C42" s="415" t="s">
        <v>277</v>
      </c>
      <c r="D42" s="413">
        <v>2023</v>
      </c>
      <c r="E42" s="152" t="s">
        <v>280</v>
      </c>
      <c r="F42" s="152">
        <v>5</v>
      </c>
    </row>
    <row r="43" spans="2:6" x14ac:dyDescent="0.35">
      <c r="B43" s="413">
        <v>60119</v>
      </c>
      <c r="C43" s="415" t="s">
        <v>277</v>
      </c>
      <c r="D43" s="413">
        <v>2023</v>
      </c>
      <c r="E43" s="152" t="s">
        <v>280</v>
      </c>
      <c r="F43" s="152">
        <v>5</v>
      </c>
    </row>
    <row r="44" spans="2:6" x14ac:dyDescent="0.35">
      <c r="B44" s="413">
        <v>60124</v>
      </c>
      <c r="C44" s="415" t="s">
        <v>277</v>
      </c>
      <c r="D44" s="413">
        <v>2023</v>
      </c>
      <c r="E44" s="152" t="s">
        <v>280</v>
      </c>
      <c r="F44" s="152">
        <v>5</v>
      </c>
    </row>
    <row r="45" spans="2:6" x14ac:dyDescent="0.35">
      <c r="B45" s="413">
        <v>60125</v>
      </c>
      <c r="C45" s="415" t="s">
        <v>277</v>
      </c>
      <c r="D45" s="413">
        <v>2023</v>
      </c>
      <c r="E45" s="152" t="s">
        <v>280</v>
      </c>
      <c r="F45" s="152">
        <v>5</v>
      </c>
    </row>
    <row r="46" spans="2:6" x14ac:dyDescent="0.35">
      <c r="B46" s="413">
        <v>60126</v>
      </c>
      <c r="C46" s="415" t="s">
        <v>277</v>
      </c>
      <c r="D46" s="413">
        <v>2023</v>
      </c>
      <c r="E46" s="152" t="s">
        <v>280</v>
      </c>
      <c r="F46" s="152">
        <v>5</v>
      </c>
    </row>
    <row r="47" spans="2:6" x14ac:dyDescent="0.35">
      <c r="B47" s="413">
        <v>60128</v>
      </c>
      <c r="C47" s="415" t="s">
        <v>277</v>
      </c>
      <c r="D47" s="413">
        <v>2023</v>
      </c>
      <c r="E47" s="152" t="s">
        <v>280</v>
      </c>
      <c r="F47" s="152">
        <v>5</v>
      </c>
    </row>
    <row r="48" spans="2:6" x14ac:dyDescent="0.35">
      <c r="B48" s="413">
        <v>60129</v>
      </c>
      <c r="C48" s="415" t="s">
        <v>277</v>
      </c>
      <c r="D48" s="413">
        <v>2023</v>
      </c>
      <c r="E48" s="152" t="s">
        <v>280</v>
      </c>
      <c r="F48" s="152">
        <v>5</v>
      </c>
    </row>
    <row r="49" spans="1:6" x14ac:dyDescent="0.35">
      <c r="B49" s="413">
        <v>60130</v>
      </c>
      <c r="C49" s="415" t="s">
        <v>277</v>
      </c>
      <c r="D49" s="413">
        <v>2023</v>
      </c>
      <c r="E49" s="152" t="s">
        <v>280</v>
      </c>
      <c r="F49" s="152">
        <v>5</v>
      </c>
    </row>
    <row r="50" spans="1:6" x14ac:dyDescent="0.35">
      <c r="B50" s="413">
        <v>60131</v>
      </c>
      <c r="C50" s="415" t="s">
        <v>277</v>
      </c>
      <c r="D50" s="413">
        <v>2023</v>
      </c>
      <c r="E50" s="152" t="s">
        <v>280</v>
      </c>
      <c r="F50" s="152">
        <v>5</v>
      </c>
    </row>
    <row r="51" spans="1:6" x14ac:dyDescent="0.35">
      <c r="B51" s="413">
        <v>60132</v>
      </c>
      <c r="C51" s="415" t="s">
        <v>277</v>
      </c>
      <c r="D51" s="413">
        <v>2023</v>
      </c>
      <c r="E51" s="152" t="s">
        <v>280</v>
      </c>
      <c r="F51" s="152">
        <v>5</v>
      </c>
    </row>
    <row r="53" spans="1:6" x14ac:dyDescent="0.35">
      <c r="A53" s="417"/>
    </row>
  </sheetData>
  <hyperlinks>
    <hyperlink ref="G1" r:id="rId1" xr:uid="{BC293CA9-6C2E-44FA-9879-90914654C558}"/>
  </hyperlinks>
  <pageMargins left="0.7" right="0.7" top="0.75" bottom="0.75" header="0.3" footer="0.3"/>
  <pageSetup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68d961d-c8da-44e2-92d2-9077cc164c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9049050CA5B48896732705FE1AB56" ma:contentTypeVersion="11" ma:contentTypeDescription="Create a new document." ma:contentTypeScope="" ma:versionID="14ca8fa2449be735cb527b2b4636b05e">
  <xsd:schema xmlns:xsd="http://www.w3.org/2001/XMLSchema" xmlns:xs="http://www.w3.org/2001/XMLSchema" xmlns:p="http://schemas.microsoft.com/office/2006/metadata/properties" xmlns:ns3="a513fa69-9461-4ce7-a6f1-60b3fd0a13da" xmlns:ns4="e68d961d-c8da-44e2-92d2-9077cc164ca4" targetNamespace="http://schemas.microsoft.com/office/2006/metadata/properties" ma:root="true" ma:fieldsID="f096a28c89b7d6a37107b1ff2edcfcd7" ns3:_="" ns4:_="">
    <xsd:import namespace="a513fa69-9461-4ce7-a6f1-60b3fd0a13da"/>
    <xsd:import namespace="e68d961d-c8da-44e2-92d2-9077cc164ca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3fa69-9461-4ce7-a6f1-60b3fd0a13d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8d961d-c8da-44e2-92d2-9077cc164c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61C006-AEBD-48B8-A245-CC4E5CD9022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e68d961d-c8da-44e2-92d2-9077cc164ca4"/>
    <ds:schemaRef ds:uri="a513fa69-9461-4ce7-a6f1-60b3fd0a13da"/>
    <ds:schemaRef ds:uri="http://www.w3.org/XML/1998/namespace"/>
    <ds:schemaRef ds:uri="http://purl.org/dc/terms/"/>
  </ds:schemaRefs>
</ds:datastoreItem>
</file>

<file path=customXml/itemProps2.xml><?xml version="1.0" encoding="utf-8"?>
<ds:datastoreItem xmlns:ds="http://schemas.openxmlformats.org/officeDocument/2006/customXml" ds:itemID="{CA024BC7-3FD0-48DE-AEAD-24BD10C52AD0}">
  <ds:schemaRefs>
    <ds:schemaRef ds:uri="http://schemas.microsoft.com/sharepoint/v3/contenttype/forms"/>
  </ds:schemaRefs>
</ds:datastoreItem>
</file>

<file path=customXml/itemProps3.xml><?xml version="1.0" encoding="utf-8"?>
<ds:datastoreItem xmlns:ds="http://schemas.openxmlformats.org/officeDocument/2006/customXml" ds:itemID="{B737FD7A-A290-4914-9082-59818A617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3fa69-9461-4ce7-a6f1-60b3fd0a13da"/>
    <ds:schemaRef ds:uri="e68d961d-c8da-44e2-92d2-9077cc164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About This Model</vt:lpstr>
      <vt:lpstr>IP Base Rate Sources &amp; Methods</vt:lpstr>
      <vt:lpstr>Fed Bs Rt+IME+GME+VBP+RAA+HAC</vt:lpstr>
      <vt:lpstr>New Rates</vt:lpstr>
      <vt:lpstr>Characteristics</vt:lpstr>
      <vt:lpstr>IMPACT FILE Variable Descriptio</vt:lpstr>
      <vt:lpstr>FY 2023 IMPACT FILE CA</vt:lpstr>
      <vt:lpstr> FY 2023 CN Tables 1A-1E</vt:lpstr>
      <vt:lpstr>FY_2023_HAC_Reduction_Program_H</vt:lpstr>
      <vt:lpstr>Table 15</vt:lpstr>
      <vt:lpstr>Table 16B</vt:lpstr>
      <vt:lpstr>ime-gme timelines</vt:lpstr>
      <vt:lpstr>Solvency Metric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Marks</dc:creator>
  <cp:keywords/>
  <dc:description/>
  <cp:lastModifiedBy>Jackson, Nicola</cp:lastModifiedBy>
  <cp:revision/>
  <dcterms:created xsi:type="dcterms:W3CDTF">2022-03-27T11:56:40Z</dcterms:created>
  <dcterms:modified xsi:type="dcterms:W3CDTF">2023-05-26T14:59:53Z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0x010100C669049050CA5B48896732705FE1AB56</vt:lpwstr>
  </property>
</Properties>
</file>